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67006F85-AE73-4874-B6D8-F8C35741BE50}" xr6:coauthVersionLast="47" xr6:coauthVersionMax="47" xr10:uidLastSave="{00000000-0000-0000-0000-000000000000}"/>
  <bookViews>
    <workbookView xWindow="-120" yWindow="-120" windowWidth="20640" windowHeight="11160" tabRatio="772" firstSheet="1" activeTab="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SINDICO!$1:$24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33" l="1"/>
  <c r="L10" i="133" s="1"/>
  <c r="J10" i="133"/>
  <c r="I16" i="133"/>
  <c r="H16" i="133"/>
  <c r="I22" i="135"/>
  <c r="J22" i="135" s="1"/>
  <c r="H22" i="135"/>
  <c r="K15" i="119"/>
  <c r="L15" i="119" s="1"/>
  <c r="J15" i="119"/>
  <c r="K11" i="120"/>
  <c r="L11" i="120" s="1"/>
  <c r="J11" i="120"/>
  <c r="K14" i="132"/>
  <c r="L14" i="132" s="1"/>
  <c r="J14" i="132"/>
  <c r="K24" i="120"/>
  <c r="L24" i="120" s="1"/>
  <c r="J24" i="120"/>
  <c r="K13" i="132"/>
  <c r="L13" i="132" s="1"/>
  <c r="J13" i="132"/>
  <c r="K12" i="133"/>
  <c r="L12" i="133" s="1"/>
  <c r="J12" i="133"/>
  <c r="S10" i="133" l="1"/>
  <c r="O10" i="133"/>
  <c r="Q10" i="133"/>
  <c r="M10" i="133"/>
  <c r="N10" i="133" s="1"/>
  <c r="Q22" i="135"/>
  <c r="M22" i="135"/>
  <c r="O22" i="135"/>
  <c r="K22" i="135"/>
  <c r="L22" i="135" s="1"/>
  <c r="S15" i="119"/>
  <c r="O15" i="119"/>
  <c r="Q15" i="119"/>
  <c r="M15" i="119"/>
  <c r="N15" i="119" s="1"/>
  <c r="P15" i="119" s="1"/>
  <c r="R15" i="119" s="1"/>
  <c r="T15" i="119" s="1"/>
  <c r="Q11" i="120"/>
  <c r="M11" i="120"/>
  <c r="N11" i="120" s="1"/>
  <c r="S11" i="120"/>
  <c r="O11" i="120"/>
  <c r="S14" i="132"/>
  <c r="Q14" i="132"/>
  <c r="M14" i="132"/>
  <c r="N14" i="132" s="1"/>
  <c r="O14" i="132"/>
  <c r="Q24" i="120"/>
  <c r="M24" i="120"/>
  <c r="N24" i="120" s="1"/>
  <c r="S24" i="120"/>
  <c r="O24" i="120"/>
  <c r="S13" i="132"/>
  <c r="O13" i="132"/>
  <c r="Q13" i="132"/>
  <c r="M13" i="132"/>
  <c r="N13" i="132" s="1"/>
  <c r="P13" i="132" s="1"/>
  <c r="R13" i="132" s="1"/>
  <c r="T13" i="132" s="1"/>
  <c r="S12" i="133"/>
  <c r="O12" i="133"/>
  <c r="Q12" i="133"/>
  <c r="M12" i="133"/>
  <c r="N12" i="133" s="1"/>
  <c r="N22" i="135" l="1"/>
  <c r="P22" i="135" s="1"/>
  <c r="R22" i="135" s="1"/>
  <c r="P12" i="133"/>
  <c r="R12" i="133" s="1"/>
  <c r="T12" i="133" s="1"/>
  <c r="U12" i="133" s="1"/>
  <c r="P24" i="120"/>
  <c r="R24" i="120" s="1"/>
  <c r="T24" i="120" s="1"/>
  <c r="P10" i="133"/>
  <c r="R10" i="133" s="1"/>
  <c r="T10" i="133" s="1"/>
  <c r="V10" i="133" s="1"/>
  <c r="T22" i="135"/>
  <c r="U22" i="135" s="1"/>
  <c r="S22" i="135"/>
  <c r="V15" i="119"/>
  <c r="W15" i="119" s="1"/>
  <c r="U15" i="119"/>
  <c r="P11" i="120"/>
  <c r="R11" i="120" s="1"/>
  <c r="T11" i="120" s="1"/>
  <c r="P14" i="132"/>
  <c r="R14" i="132" s="1"/>
  <c r="T14" i="132" s="1"/>
  <c r="V14" i="132" s="1"/>
  <c r="W14" i="132" s="1"/>
  <c r="V24" i="120"/>
  <c r="W24" i="120" s="1"/>
  <c r="U24" i="120"/>
  <c r="X24" i="120" s="1"/>
  <c r="V13" i="132"/>
  <c r="W13" i="132" s="1"/>
  <c r="U13" i="132"/>
  <c r="V12" i="133" l="1"/>
  <c r="W12" i="133" s="1"/>
  <c r="X12" i="133" s="1"/>
  <c r="X15" i="119"/>
  <c r="V22" i="135"/>
  <c r="U10" i="133"/>
  <c r="W10" i="133"/>
  <c r="U11" i="120"/>
  <c r="V11" i="120"/>
  <c r="W11" i="120" s="1"/>
  <c r="U14" i="132"/>
  <c r="X14" i="132" s="1"/>
  <c r="X13" i="132"/>
  <c r="X10" i="133" l="1"/>
  <c r="X11" i="120"/>
  <c r="K33" i="123"/>
  <c r="L33" i="123" s="1"/>
  <c r="J33" i="123"/>
  <c r="K16" i="121"/>
  <c r="L16" i="121" s="1"/>
  <c r="J16" i="121"/>
  <c r="Q33" i="123" l="1"/>
  <c r="M33" i="123"/>
  <c r="N33" i="123" s="1"/>
  <c r="S33" i="123"/>
  <c r="O33" i="123"/>
  <c r="S16" i="121"/>
  <c r="O16" i="121"/>
  <c r="Q16" i="121"/>
  <c r="M16" i="121"/>
  <c r="N16" i="121" s="1"/>
  <c r="P33" i="123" l="1"/>
  <c r="R33" i="123" s="1"/>
  <c r="T33" i="123" s="1"/>
  <c r="V33" i="123" s="1"/>
  <c r="W33" i="123" s="1"/>
  <c r="P16" i="121"/>
  <c r="R16" i="121" s="1"/>
  <c r="T16" i="121" s="1"/>
  <c r="V16" i="121" s="1"/>
  <c r="W16" i="121" s="1"/>
  <c r="U33" i="123" l="1"/>
  <c r="X33" i="123" s="1"/>
  <c r="U16" i="121"/>
  <c r="X16" i="121" s="1"/>
  <c r="K25" i="120" l="1"/>
  <c r="L25" i="120" s="1"/>
  <c r="J25" i="120"/>
  <c r="K10" i="123"/>
  <c r="L10" i="123" s="1"/>
  <c r="J10" i="123"/>
  <c r="K31" i="123"/>
  <c r="L31" i="123" s="1"/>
  <c r="J31" i="123"/>
  <c r="H30" i="123"/>
  <c r="S25" i="120" l="1"/>
  <c r="O25" i="120"/>
  <c r="Q25" i="120"/>
  <c r="M25" i="120"/>
  <c r="N25" i="120" s="1"/>
  <c r="Q10" i="123"/>
  <c r="M10" i="123"/>
  <c r="N10" i="123" s="1"/>
  <c r="S10" i="123"/>
  <c r="O10" i="123"/>
  <c r="O31" i="123"/>
  <c r="Q31" i="123"/>
  <c r="M31" i="123"/>
  <c r="N31" i="123" s="1"/>
  <c r="S31" i="123"/>
  <c r="I30" i="123"/>
  <c r="J30" i="123"/>
  <c r="P25" i="120" l="1"/>
  <c r="R25" i="120" s="1"/>
  <c r="T25" i="120" s="1"/>
  <c r="U25" i="120" s="1"/>
  <c r="P31" i="123"/>
  <c r="R31" i="123" s="1"/>
  <c r="T31" i="123" s="1"/>
  <c r="U31" i="123" s="1"/>
  <c r="P10" i="123"/>
  <c r="R10" i="123" s="1"/>
  <c r="T10" i="123" s="1"/>
  <c r="V10" i="123" s="1"/>
  <c r="W10" i="123" s="1"/>
  <c r="V25" i="120" l="1"/>
  <c r="W25" i="120" s="1"/>
  <c r="X25" i="120"/>
  <c r="V31" i="123"/>
  <c r="V30" i="123" s="1"/>
  <c r="U10" i="123"/>
  <c r="X10" i="123" s="1"/>
  <c r="W31" i="123"/>
  <c r="X31" i="123" s="1"/>
  <c r="X30" i="123" s="1"/>
  <c r="U30" i="123"/>
  <c r="W30" i="123" l="1"/>
  <c r="I21" i="135" l="1"/>
  <c r="J21" i="135" s="1"/>
  <c r="Q21" i="135" s="1"/>
  <c r="H21" i="135"/>
  <c r="I13" i="135"/>
  <c r="J13" i="135" s="1"/>
  <c r="H13" i="135"/>
  <c r="I11" i="135"/>
  <c r="J11" i="135" s="1"/>
  <c r="Q11" i="135" s="1"/>
  <c r="H11" i="135"/>
  <c r="K26" i="120"/>
  <c r="L26" i="120" s="1"/>
  <c r="J26" i="120"/>
  <c r="K21" i="135" l="1"/>
  <c r="L21" i="135" s="1"/>
  <c r="O21" i="135"/>
  <c r="M21" i="135"/>
  <c r="M13" i="135"/>
  <c r="Q13" i="135"/>
  <c r="O13" i="135"/>
  <c r="K13" i="135"/>
  <c r="L13" i="135" s="1"/>
  <c r="K11" i="135"/>
  <c r="L11" i="135" s="1"/>
  <c r="O11" i="135"/>
  <c r="M11" i="135"/>
  <c r="S26" i="120"/>
  <c r="O26" i="120"/>
  <c r="Q26" i="120"/>
  <c r="M26" i="120"/>
  <c r="N26" i="120" s="1"/>
  <c r="I20" i="135"/>
  <c r="J20" i="135" s="1"/>
  <c r="H20" i="135"/>
  <c r="K11" i="133"/>
  <c r="L11" i="133" s="1"/>
  <c r="J11" i="133"/>
  <c r="K11" i="132"/>
  <c r="L11" i="132" s="1"/>
  <c r="J11" i="132"/>
  <c r="I12" i="135"/>
  <c r="J12" i="135" s="1"/>
  <c r="H12" i="135"/>
  <c r="F23" i="135"/>
  <c r="G23" i="135"/>
  <c r="I19" i="135"/>
  <c r="J19" i="135" s="1"/>
  <c r="H19" i="135"/>
  <c r="K14" i="120"/>
  <c r="L14" i="120" s="1"/>
  <c r="J14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S13" i="135" s="1"/>
  <c r="N21" i="135"/>
  <c r="P21" i="135" s="1"/>
  <c r="R21" i="135" s="1"/>
  <c r="T21" i="135" s="1"/>
  <c r="U21" i="135" s="1"/>
  <c r="N11" i="135"/>
  <c r="P11" i="135" s="1"/>
  <c r="R11" i="135" s="1"/>
  <c r="P26" i="120"/>
  <c r="R26" i="120" s="1"/>
  <c r="T26" i="120" s="1"/>
  <c r="Q20" i="135"/>
  <c r="M20" i="135"/>
  <c r="O20" i="135"/>
  <c r="K20" i="135"/>
  <c r="L20" i="135" s="1"/>
  <c r="S11" i="133"/>
  <c r="O11" i="133"/>
  <c r="Q11" i="133"/>
  <c r="M11" i="133"/>
  <c r="N11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4" i="120"/>
  <c r="O14" i="120"/>
  <c r="Q14" i="120"/>
  <c r="M14" i="120"/>
  <c r="N14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V11" i="132" s="1"/>
  <c r="W11" i="132" s="1"/>
  <c r="S21" i="135"/>
  <c r="V21" i="135" s="1"/>
  <c r="T13" i="135"/>
  <c r="U13" i="135" s="1"/>
  <c r="V13" i="135" s="1"/>
  <c r="T11" i="135"/>
  <c r="U11" i="135" s="1"/>
  <c r="S11" i="135"/>
  <c r="N20" i="135"/>
  <c r="P20" i="135" s="1"/>
  <c r="R20" i="135" s="1"/>
  <c r="S20" i="135" s="1"/>
  <c r="U26" i="120"/>
  <c r="V26" i="120"/>
  <c r="W26" i="120" s="1"/>
  <c r="P11" i="133"/>
  <c r="R11" i="133" s="1"/>
  <c r="T11" i="133" s="1"/>
  <c r="U11" i="132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4" i="120"/>
  <c r="R14" i="120" s="1"/>
  <c r="T14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K17" i="121"/>
  <c r="L17" i="121" s="1"/>
  <c r="J17" i="121"/>
  <c r="T20" i="135" l="1"/>
  <c r="U20" i="135" s="1"/>
  <c r="V20" i="135" s="1"/>
  <c r="V11" i="135"/>
  <c r="X11" i="132"/>
  <c r="X26" i="120"/>
  <c r="S12" i="135"/>
  <c r="V12" i="135" s="1"/>
  <c r="U11" i="133"/>
  <c r="V11" i="133"/>
  <c r="S19" i="135"/>
  <c r="V19" i="135" s="1"/>
  <c r="V10" i="120"/>
  <c r="W10" i="120" s="1"/>
  <c r="X10" i="120" s="1"/>
  <c r="U14" i="120"/>
  <c r="V14" i="120"/>
  <c r="W14" i="120" s="1"/>
  <c r="U20" i="119"/>
  <c r="N18" i="135"/>
  <c r="P18" i="135" s="1"/>
  <c r="R18" i="135" s="1"/>
  <c r="S18" i="135" s="1"/>
  <c r="U10" i="134"/>
  <c r="X10" i="134" s="1"/>
  <c r="Q17" i="121"/>
  <c r="M17" i="121"/>
  <c r="N17" i="121" s="1"/>
  <c r="S17" i="121"/>
  <c r="O17" i="121"/>
  <c r="W11" i="133" l="1"/>
  <c r="X11" i="133" s="1"/>
  <c r="T18" i="135"/>
  <c r="U18" i="135" s="1"/>
  <c r="V18" i="135" s="1"/>
  <c r="X14" i="120"/>
  <c r="P17" i="121"/>
  <c r="R17" i="121" s="1"/>
  <c r="T17" i="121" s="1"/>
  <c r="V17" i="121" s="1"/>
  <c r="W17" i="121" s="1"/>
  <c r="U17" i="121" l="1"/>
  <c r="X17" i="121" s="1"/>
  <c r="K12" i="134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X12" i="134" s="1"/>
  <c r="V12" i="134"/>
  <c r="W12" i="134" s="1"/>
  <c r="U9" i="134"/>
  <c r="W9" i="134"/>
  <c r="V9" i="134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Q10" i="132"/>
  <c r="M10" i="132"/>
  <c r="N10" i="132" s="1"/>
  <c r="S10" i="132"/>
  <c r="O10" i="132"/>
  <c r="J11" i="134"/>
  <c r="P12" i="132" l="1"/>
  <c r="R12" i="132" s="1"/>
  <c r="T12" i="132" s="1"/>
  <c r="U12" i="132" s="1"/>
  <c r="P9" i="123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12" i="132"/>
  <c r="W12" i="132" s="1"/>
  <c r="U9" i="123" l="1"/>
  <c r="X9" i="123" s="1"/>
  <c r="U10" i="132"/>
  <c r="X10" i="132" s="1"/>
  <c r="U13" i="120"/>
  <c r="X13" i="120" s="1"/>
  <c r="V12" i="120"/>
  <c r="W12" i="120" s="1"/>
  <c r="X12" i="120" s="1"/>
  <c r="U20" i="121"/>
  <c r="X20" i="121" s="1"/>
  <c r="U20" i="123"/>
  <c r="X20" i="123" s="1"/>
  <c r="X12" i="132"/>
  <c r="V11" i="134"/>
  <c r="V14" i="134"/>
  <c r="U14" i="134" l="1"/>
  <c r="U11" i="134"/>
  <c r="W14" i="134"/>
  <c r="W11" i="134"/>
  <c r="X14" i="134" l="1"/>
  <c r="X11" i="134"/>
  <c r="K13" i="133" l="1"/>
  <c r="L13" i="133" s="1"/>
  <c r="J13" i="133"/>
  <c r="Q13" i="133" l="1"/>
  <c r="M13" i="133"/>
  <c r="N13" i="133" s="1"/>
  <c r="S13" i="133"/>
  <c r="O13" i="133"/>
  <c r="P13" i="133" l="1"/>
  <c r="R13" i="133" s="1"/>
  <c r="T13" i="133" s="1"/>
  <c r="V13" i="133" s="1"/>
  <c r="W13" i="133" l="1"/>
  <c r="U13" i="133"/>
  <c r="X13" i="133" l="1"/>
  <c r="K15" i="12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Q13" i="131" l="1"/>
  <c r="S13" i="13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3" i="120"/>
  <c r="L23" i="120" s="1"/>
  <c r="J23" i="120"/>
  <c r="K17" i="120"/>
  <c r="L17" i="120" s="1"/>
  <c r="J17" i="120"/>
  <c r="Q23" i="120" l="1"/>
  <c r="S23" i="120"/>
  <c r="O23" i="120"/>
  <c r="M23" i="120"/>
  <c r="N23" i="120" s="1"/>
  <c r="S17" i="120"/>
  <c r="O17" i="120"/>
  <c r="Q17" i="120"/>
  <c r="M17" i="120"/>
  <c r="N17" i="120" s="1"/>
  <c r="P17" i="120" l="1"/>
  <c r="R17" i="120" s="1"/>
  <c r="T17" i="120" s="1"/>
  <c r="U17" i="120" s="1"/>
  <c r="P23" i="120"/>
  <c r="R23" i="120" s="1"/>
  <c r="T23" i="120" s="1"/>
  <c r="U23" i="120" s="1"/>
  <c r="V17" i="120" l="1"/>
  <c r="W17" i="120" s="1"/>
  <c r="X17" i="120" s="1"/>
  <c r="V23" i="120"/>
  <c r="W23" i="120" s="1"/>
  <c r="X23" i="120" s="1"/>
  <c r="K14" i="133" l="1"/>
  <c r="L14" i="133" s="1"/>
  <c r="K15" i="133"/>
  <c r="L15" i="133" s="1"/>
  <c r="M15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9" i="123"/>
  <c r="L29" i="123" s="1"/>
  <c r="K19" i="123"/>
  <c r="L19" i="123" s="1"/>
  <c r="K18" i="123"/>
  <c r="L18" i="123" s="1"/>
  <c r="K15" i="123"/>
  <c r="L15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27" i="120"/>
  <c r="L27" i="120" s="1"/>
  <c r="M27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4" i="133"/>
  <c r="S14" i="133"/>
  <c r="M14" i="133"/>
  <c r="N14" i="133" s="1"/>
  <c r="Q14" i="133"/>
  <c r="S15" i="133"/>
  <c r="O15" i="133"/>
  <c r="N15" i="133"/>
  <c r="Q15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9" i="123"/>
  <c r="O29" i="123"/>
  <c r="Q29" i="123"/>
  <c r="M29" i="123"/>
  <c r="N29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5" i="123"/>
  <c r="O15" i="123"/>
  <c r="Q15" i="123"/>
  <c r="M15" i="123"/>
  <c r="N15" i="123" s="1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27" i="120"/>
  <c r="O27" i="120"/>
  <c r="N27" i="120"/>
  <c r="Q27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4" i="133"/>
  <c r="R14" i="133" s="1"/>
  <c r="T14" i="133" s="1"/>
  <c r="P15" i="133"/>
  <c r="R15" i="133" s="1"/>
  <c r="T15" i="133" s="1"/>
  <c r="R11" i="118"/>
  <c r="T11" i="118" s="1"/>
  <c r="P19" i="123"/>
  <c r="R19" i="123" s="1"/>
  <c r="T19" i="123" s="1"/>
  <c r="P15" i="123"/>
  <c r="R15" i="123" s="1"/>
  <c r="T15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29" i="123"/>
  <c r="R29" i="123" s="1"/>
  <c r="T29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7" i="120"/>
  <c r="R27" i="120" s="1"/>
  <c r="T27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M14" i="131" s="1"/>
  <c r="R14" i="131"/>
  <c r="P14" i="131"/>
  <c r="N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23" l="1"/>
  <c r="U15" i="123" l="1"/>
  <c r="J15" i="133"/>
  <c r="G15" i="133"/>
  <c r="V15" i="123" l="1"/>
  <c r="W15" i="123" s="1"/>
  <c r="X15" i="123" s="1"/>
  <c r="V15" i="133" l="1"/>
  <c r="W15" i="133" s="1"/>
  <c r="J13" i="121"/>
  <c r="U15" i="133" l="1"/>
  <c r="X15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4" i="133" l="1"/>
  <c r="J12" i="123" l="1"/>
  <c r="I13" i="123" l="1"/>
  <c r="O23" i="135" l="1"/>
  <c r="K23" i="135"/>
  <c r="I23" i="135"/>
  <c r="H14" i="135"/>
  <c r="H9" i="135"/>
  <c r="H10" i="135" l="1"/>
  <c r="J11" i="123"/>
  <c r="G12" i="123"/>
  <c r="I11" i="123"/>
  <c r="H11" i="123"/>
  <c r="H23" i="135" l="1"/>
  <c r="J23" i="135"/>
  <c r="J18" i="123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8" i="120"/>
  <c r="O11" i="131" l="1"/>
  <c r="Q11" i="131" s="1"/>
  <c r="S11" i="131" s="1"/>
  <c r="O15" i="13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7" i="120"/>
  <c r="G27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29" i="123" l="1"/>
  <c r="J14" i="123" l="1"/>
  <c r="J13" i="123" l="1"/>
  <c r="J19" i="123" l="1"/>
  <c r="J17" i="123" s="1"/>
  <c r="J18" i="121" l="1"/>
  <c r="G33" i="123" l="1"/>
  <c r="I32" i="123"/>
  <c r="H32" i="123"/>
  <c r="G14" i="133" l="1"/>
  <c r="Q16" i="133"/>
  <c r="M16" i="133"/>
  <c r="K16" i="133"/>
  <c r="U32" i="123" l="1"/>
  <c r="J32" i="123"/>
  <c r="N16" i="133" l="1"/>
  <c r="V32" i="123"/>
  <c r="J16" i="133"/>
  <c r="L16" i="133" l="1"/>
  <c r="W32" i="123"/>
  <c r="X32" i="123"/>
  <c r="J11" i="118" l="1"/>
  <c r="I14" i="118" l="1"/>
  <c r="I8" i="119" l="1"/>
  <c r="H8" i="119"/>
  <c r="J28" i="123" l="1"/>
  <c r="J35" i="123" s="1"/>
  <c r="I28" i="123"/>
  <c r="I35" i="123" s="1"/>
  <c r="H28" i="123"/>
  <c r="H35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9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K31" i="121"/>
  <c r="K28" i="120"/>
  <c r="L12" i="127" l="1"/>
  <c r="H14" i="118"/>
  <c r="L35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3" i="135"/>
  <c r="U19" i="123"/>
  <c r="V19" i="123"/>
  <c r="W19" i="123" s="1"/>
  <c r="V28" i="121"/>
  <c r="U28" i="121"/>
  <c r="U27" i="120"/>
  <c r="V27" i="120"/>
  <c r="W27" i="120" s="1"/>
  <c r="S14" i="134"/>
  <c r="U12" i="131"/>
  <c r="V12" i="131" s="1"/>
  <c r="V29" i="123"/>
  <c r="W29" i="123" s="1"/>
  <c r="U29" i="123"/>
  <c r="V13" i="119"/>
  <c r="W13" i="119" s="1"/>
  <c r="U13" i="119"/>
  <c r="V29" i="121"/>
  <c r="W29" i="121" s="1"/>
  <c r="U29" i="121"/>
  <c r="V14" i="133"/>
  <c r="U14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3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6" i="133"/>
  <c r="U11" i="118"/>
  <c r="O16" i="133"/>
  <c r="O16" i="132"/>
  <c r="W11" i="119"/>
  <c r="U11" i="119"/>
  <c r="R20" i="131"/>
  <c r="N20" i="131"/>
  <c r="U12" i="118"/>
  <c r="Q28" i="120"/>
  <c r="O35" i="123"/>
  <c r="S22" i="119"/>
  <c r="S35" i="123"/>
  <c r="Q31" i="121"/>
  <c r="M28" i="120"/>
  <c r="M35" i="123"/>
  <c r="S14" i="118"/>
  <c r="O22" i="119"/>
  <c r="Q14" i="118"/>
  <c r="M12" i="127"/>
  <c r="Q35" i="123"/>
  <c r="S31" i="121"/>
  <c r="M22" i="119"/>
  <c r="Q22" i="119"/>
  <c r="O14" i="118"/>
  <c r="M14" i="118"/>
  <c r="M31" i="121"/>
  <c r="W14" i="133" l="1"/>
  <c r="W16" i="133" s="1"/>
  <c r="V16" i="133"/>
  <c r="W17" i="119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27" i="120"/>
  <c r="X19" i="123"/>
  <c r="X11" i="121"/>
  <c r="X18" i="121"/>
  <c r="X10" i="121"/>
  <c r="W16" i="131"/>
  <c r="W10" i="131"/>
  <c r="X15" i="120"/>
  <c r="W11" i="131"/>
  <c r="X14" i="133"/>
  <c r="X16" i="133" s="1"/>
  <c r="X29" i="121"/>
  <c r="X29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3" i="135"/>
  <c r="U13" i="123"/>
  <c r="W13" i="123"/>
  <c r="V13" i="123"/>
  <c r="V9" i="121"/>
  <c r="U9" i="121"/>
  <c r="V11" i="118"/>
  <c r="W11" i="118" s="1"/>
  <c r="X11" i="118" s="1"/>
  <c r="P16" i="133"/>
  <c r="X11" i="119"/>
  <c r="W28" i="123"/>
  <c r="V28" i="123"/>
  <c r="O20" i="131"/>
  <c r="R16" i="132"/>
  <c r="P16" i="132"/>
  <c r="U28" i="123"/>
  <c r="V12" i="118"/>
  <c r="W12" i="118" s="1"/>
  <c r="X12" i="118" s="1"/>
  <c r="N35" i="123"/>
  <c r="N22" i="119"/>
  <c r="U14" i="119"/>
  <c r="N31" i="121"/>
  <c r="N12" i="127"/>
  <c r="U19" i="119"/>
  <c r="V19" i="119"/>
  <c r="N14" i="118"/>
  <c r="U35" i="123" l="1"/>
  <c r="W35" i="123"/>
  <c r="X17" i="119"/>
  <c r="X16" i="119" s="1"/>
  <c r="V31" i="121"/>
  <c r="U31" i="121"/>
  <c r="V17" i="123"/>
  <c r="V35" i="123" s="1"/>
  <c r="X28" i="121"/>
  <c r="X27" i="121" s="1"/>
  <c r="X18" i="123"/>
  <c r="X17" i="123" s="1"/>
  <c r="X12" i="123"/>
  <c r="X11" i="123" s="1"/>
  <c r="P23" i="135"/>
  <c r="X13" i="123"/>
  <c r="W9" i="121"/>
  <c r="W31" i="121" s="1"/>
  <c r="X9" i="121"/>
  <c r="R16" i="133"/>
  <c r="X28" i="123"/>
  <c r="U12" i="119"/>
  <c r="T16" i="132"/>
  <c r="Q20" i="131"/>
  <c r="W12" i="119"/>
  <c r="V12" i="119"/>
  <c r="W14" i="119"/>
  <c r="V14" i="119"/>
  <c r="W19" i="119"/>
  <c r="P14" i="118"/>
  <c r="P12" i="127"/>
  <c r="P31" i="121"/>
  <c r="P35" i="123"/>
  <c r="P22" i="119"/>
  <c r="X35" i="123" l="1"/>
  <c r="X31" i="121"/>
  <c r="T9" i="135"/>
  <c r="S9" i="135"/>
  <c r="R23" i="135"/>
  <c r="T16" i="133"/>
  <c r="V16" i="132"/>
  <c r="W16" i="132"/>
  <c r="U16" i="132"/>
  <c r="S20" i="131"/>
  <c r="X12" i="119"/>
  <c r="X14" i="119"/>
  <c r="X20" i="119"/>
  <c r="X19" i="119" s="1"/>
  <c r="R31" i="121"/>
  <c r="R35" i="123"/>
  <c r="R12" i="127"/>
  <c r="R14" i="118"/>
  <c r="R22" i="119"/>
  <c r="S23" i="135" l="1"/>
  <c r="T23" i="135"/>
  <c r="U9" i="135"/>
  <c r="U23" i="135" s="1"/>
  <c r="U16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35" i="123"/>
  <c r="T31" i="121"/>
  <c r="V9" i="135" l="1"/>
  <c r="V23" i="135" s="1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28" i="120"/>
  <c r="G9" i="120"/>
  <c r="S28" i="120" l="1"/>
  <c r="O28" i="120"/>
  <c r="L28" i="120"/>
  <c r="N28" i="120"/>
  <c r="J28" i="120"/>
  <c r="P28" i="120" l="1"/>
  <c r="R28" i="120" l="1"/>
  <c r="T28" i="120" l="1"/>
  <c r="U28" i="120" l="1"/>
  <c r="W28" i="120"/>
  <c r="V28" i="120" l="1"/>
  <c r="X28" i="120"/>
</calcChain>
</file>

<file path=xl/sharedStrings.xml><?xml version="1.0" encoding="utf-8"?>
<sst xmlns="http://schemas.openxmlformats.org/spreadsheetml/2006/main" count="1120" uniqueCount="323">
  <si>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</si>
  <si>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</si>
  <si>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</si>
  <si>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</si>
  <si>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</si>
  <si>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</si>
  <si>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</si>
  <si>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</si>
  <si>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</si>
  <si>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</si>
  <si>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</si>
  <si>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</si>
  <si>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</si>
  <si>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</si>
  <si>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</si>
  <si>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</si>
  <si>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</si>
  <si>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</si>
  <si>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</si>
  <si>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</si>
  <si>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</si>
  <si>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</si>
  <si>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</si>
  <si>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</si>
  <si>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</si>
  <si>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</si>
  <si>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</si>
  <si>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</si>
  <si>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</si>
  <si>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</si>
  <si>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</si>
  <si>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</si>
  <si>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</si>
  <si>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</si>
  <si>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</si>
  <si>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</si>
  <si>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</si>
  <si>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</si>
  <si>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</si>
  <si>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</si>
  <si>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</si>
  <si>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</si>
  <si>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</si>
  <si>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</si>
  <si>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</si>
  <si>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</si>
  <si>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</si>
  <si>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</si>
  <si>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</si>
  <si>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</si>
  <si>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</si>
  <si>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</si>
  <si>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</si>
  <si>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</si>
  <si>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</si>
  <si>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</si>
  <si>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</si>
  <si>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</si>
  <si>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</si>
  <si>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</si>
  <si>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</si>
  <si>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</si>
  <si>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</si>
  <si>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</si>
  <si>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</si>
  <si>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</si>
  <si>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</si>
  <si>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</si>
  <si>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</si>
  <si>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</si>
  <si>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</si>
  <si>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</si>
  <si>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</si>
  <si>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</si>
  <si>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</si>
  <si>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</si>
  <si>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</si>
  <si>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</si>
  <si>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</si>
  <si>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</si>
  <si>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</si>
  <si>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</si>
  <si>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</si>
  <si>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</si>
  <si>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</si>
  <si>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</si>
  <si>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</si>
  <si>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</si>
  <si>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</si>
  <si>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</si>
  <si>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</si>
  <si>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</si>
  <si>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</si>
  <si>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</si>
  <si>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</si>
  <si>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</si>
  <si>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</si>
  <si>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</si>
  <si>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</si>
  <si>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</si>
  <si>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</si>
  <si>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</si>
  <si>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</si>
  <si>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</si>
  <si>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</si>
  <si>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</si>
  <si>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</si>
  <si>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</si>
  <si>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</si>
  <si>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</si>
  <si>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</si>
  <si>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</si>
  <si>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</si>
  <si>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</si>
  <si>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</si>
  <si>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</si>
  <si>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</si>
  <si>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</si>
  <si>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</si>
  <si>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</si>
  <si>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</si>
  <si>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</si>
  <si>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</si>
  <si>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</si>
  <si>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</si>
  <si>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</si>
  <si>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</si>
  <si>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</si>
  <si>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</si>
  <si>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</si>
  <si>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</si>
  <si>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</si>
  <si>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</si>
  <si>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</si>
  <si>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</si>
  <si>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</si>
  <si>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</si>
  <si>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</si>
  <si>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</si>
  <si>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</si>
  <si>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</si>
  <si>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</si>
  <si>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</si>
  <si>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</si>
  <si>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</si>
  <si>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</si>
  <si>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</si>
  <si>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</si>
  <si>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</si>
  <si>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</si>
  <si>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</si>
  <si>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</si>
  <si>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</si>
  <si>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</si>
  <si>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</si>
  <si>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</si>
  <si>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</si>
  <si>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</si>
  <si>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</si>
  <si>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</si>
  <si>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</si>
  <si>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</si>
  <si>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</si>
  <si>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</si>
  <si>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</si>
  <si>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</si>
  <si>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</si>
  <si>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</si>
  <si>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</si>
  <si>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</si>
  <si>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</si>
  <si>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</si>
  <si>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</si>
  <si>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</si>
  <si>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</si>
  <si>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</si>
  <si>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</si>
  <si>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</si>
  <si>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</si>
  <si>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</si>
  <si>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</si>
  <si>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</si>
  <si>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</si>
  <si>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</si>
  <si>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</si>
  <si>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</si>
  <si>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</si>
  <si>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</si>
  <si>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</si>
  <si>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</si>
  <si>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</si>
  <si>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</si>
  <si>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</si>
  <si>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</si>
  <si>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</si>
  <si>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</si>
  <si>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</si>
  <si>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</si>
  <si>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</si>
  <si>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</si>
  <si>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</si>
  <si>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</si>
  <si>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</si>
  <si>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</si>
  <si>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</si>
  <si>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</si>
  <si>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</si>
  <si>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</si>
  <si>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</si>
  <si>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</si>
  <si>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</si>
  <si>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</si>
  <si>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</si>
  <si>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</si>
  <si>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</si>
  <si>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</si>
  <si>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</si>
  <si>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</si>
  <si>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</si>
  <si>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</si>
  <si>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</si>
  <si>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</si>
  <si>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</si>
  <si>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</si>
  <si>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</si>
  <si>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</si>
  <si>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</si>
  <si>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</si>
  <si>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</si>
  <si>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</si>
  <si>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</si>
  <si>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</si>
  <si>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</si>
  <si>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</si>
  <si>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</si>
  <si>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</si>
  <si>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</si>
  <si>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</si>
  <si>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</si>
  <si>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</si>
  <si>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</si>
  <si>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</si>
  <si>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</si>
  <si>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</si>
  <si>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</si>
  <si>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</si>
  <si>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</si>
  <si>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</si>
  <si>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</si>
  <si>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</si>
  <si>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</si>
  <si>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</si>
  <si>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</si>
  <si>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</si>
  <si>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</si>
  <si>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</si>
  <si>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</si>
  <si>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</si>
  <si>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</si>
  <si>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</si>
  <si>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</si>
  <si>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</si>
  <si>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</si>
  <si>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</si>
  <si>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</si>
  <si>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</si>
  <si>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</si>
  <si>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</si>
  <si>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</si>
  <si>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</si>
  <si>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</si>
  <si>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</si>
  <si>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</si>
  <si>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</si>
  <si>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</si>
  <si>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</si>
  <si>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</si>
  <si>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</si>
  <si>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</si>
  <si>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</si>
  <si>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</si>
  <si>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</si>
  <si>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</si>
  <si>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</si>
  <si>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</si>
  <si>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</si>
  <si>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</si>
  <si>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</si>
  <si>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</si>
  <si>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</si>
  <si>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</si>
  <si>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</si>
  <si>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</si>
  <si>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</si>
  <si>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</si>
  <si>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</si>
  <si>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293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</si>
  <si>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</si>
  <si>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</si>
  <si>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</si>
  <si>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</si>
  <si>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</si>
  <si>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</si>
  <si>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</si>
  <si>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</si>
  <si>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</si>
  <si>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</si>
  <si>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</si>
  <si>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</si>
  <si>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</si>
  <si>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</si>
  <si>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</si>
  <si>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</si>
  <si>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</si>
  <si>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</si>
  <si>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</si>
  <si>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</si>
  <si>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</si>
  <si>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</si>
  <si>
    <t>OMAR RENE DAVALOS HERNANDEZ</t>
  </si>
  <si>
    <t>MEDICO MUNICIPAL</t>
  </si>
  <si>
    <t>302</t>
  </si>
  <si>
    <t>SUELDO  DEL 01 AL 15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</si>
</sst>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49" fontId="4" fillId="0" borderId="15" xfId="0" applyNumberFormat="1" applyFont="1" applyBorder="1" applyAlignment="1">
      <alignment horizontal="center"/>
    </xf>
    <xf numFmtId="49" fontId="29" fillId="5" borderId="0" xfId="0" applyNumberFormat="1" applyFont="1" applyFill="1" applyAlignment="1">
      <alignment horizontal="center"/>
    </xf>
    <xf numFmtId="0" fontId="29" fillId="5" borderId="0" xfId="0" applyFont="1" applyFill="1" applyAlignment="1" applyProtection="1">
      <alignment horizontal="left"/>
      <protection locked="0"/>
    </xf>
    <xf numFmtId="43" fontId="29" fillId="0" borderId="0" xfId="2" applyFont="1" applyBorder="1" applyAlignment="1" applyProtection="1">
      <alignment horizontal="right"/>
    </xf>
    <xf numFmtId="0" fontId="21" fillId="5" borderId="4" xfId="0" applyFont="1" applyFill="1" applyBorder="1"/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2506577</xdr:colOff>
      <xdr:row>24</xdr:row>
      <xdr:rowOff>50132</xdr:rowOff>
    </xdr:from>
    <xdr:ext cx="1570791" cy="885658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7CF60062-1025-425F-9099-96B147390E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7235" y="17178421"/>
          <a:ext cx="1570791" cy="885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3" t="s">
        <v>223</v>
      </c>
    </row>
    <row r="3" spans="1:9" x14ac:dyDescent="0.2">
      <c r="B3" s="8" t="s">
        <v>49</v>
      </c>
      <c r="C3" s="7"/>
      <c r="D3" s="7"/>
      <c r="E3" s="7"/>
      <c r="F3" s="7"/>
      <c r="G3" s="7"/>
      <c r="I3" s="122">
        <v>141.69999999999999</v>
      </c>
    </row>
    <row r="4" spans="1:9" x14ac:dyDescent="0.2">
      <c r="B4" s="19" t="s">
        <v>221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7" t="s">
        <v>11</v>
      </c>
      <c r="C7" s="257"/>
      <c r="D7" s="257"/>
      <c r="E7" s="7"/>
      <c r="F7" s="258" t="s">
        <v>50</v>
      </c>
      <c r="G7" s="259"/>
      <c r="I7" s="123" t="s">
        <v>224</v>
      </c>
    </row>
    <row r="8" spans="1:9" ht="14.25" customHeight="1" x14ac:dyDescent="0.2">
      <c r="B8" s="260" t="s">
        <v>10</v>
      </c>
      <c r="C8" s="260"/>
      <c r="D8" s="260"/>
      <c r="E8" s="7"/>
      <c r="F8" s="261" t="s">
        <v>51</v>
      </c>
      <c r="G8" s="262"/>
      <c r="I8" s="122">
        <v>89.62</v>
      </c>
    </row>
    <row r="9" spans="1:9" ht="8.25" customHeight="1" x14ac:dyDescent="0.2">
      <c r="B9" s="254"/>
      <c r="C9" s="254"/>
      <c r="D9" s="254"/>
      <c r="E9" s="7"/>
      <c r="F9" s="255"/>
      <c r="G9" s="256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222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8" t="s">
        <v>55</v>
      </c>
      <c r="G32" s="259"/>
    </row>
    <row r="33" spans="2:7" x14ac:dyDescent="0.2">
      <c r="E33" s="7"/>
      <c r="F33" s="261" t="s">
        <v>56</v>
      </c>
      <c r="G33" s="262"/>
    </row>
    <row r="34" spans="2:7" ht="5.25" customHeight="1" x14ac:dyDescent="0.2">
      <c r="E34" s="7"/>
      <c r="F34" s="255"/>
      <c r="G34" s="256"/>
    </row>
    <row r="35" spans="2:7" x14ac:dyDescent="0.2">
      <c r="B35" s="257" t="s">
        <v>11</v>
      </c>
      <c r="C35" s="257"/>
      <c r="D35" s="257"/>
      <c r="E35" s="7"/>
      <c r="F35" s="9" t="s">
        <v>17</v>
      </c>
      <c r="G35" s="9" t="s">
        <v>18</v>
      </c>
    </row>
    <row r="36" spans="2:7" x14ac:dyDescent="0.2">
      <c r="B36" s="260" t="s">
        <v>10</v>
      </c>
      <c r="C36" s="260"/>
      <c r="D36" s="260"/>
      <c r="E36" s="7"/>
      <c r="F36" s="9"/>
      <c r="G36" s="9" t="s">
        <v>19</v>
      </c>
    </row>
    <row r="37" spans="2:7" x14ac:dyDescent="0.2">
      <c r="B37" s="254"/>
      <c r="C37" s="254"/>
      <c r="D37" s="254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C1"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7" t="s">
        <v>1</v>
      </c>
      <c r="H7" s="278"/>
      <c r="I7" s="279"/>
      <c r="J7" s="24" t="s">
        <v>26</v>
      </c>
      <c r="K7" s="25"/>
      <c r="L7" s="280" t="s">
        <v>9</v>
      </c>
      <c r="M7" s="281"/>
      <c r="N7" s="281"/>
      <c r="O7" s="281"/>
      <c r="P7" s="281"/>
      <c r="Q7" s="282"/>
      <c r="R7" s="24" t="s">
        <v>30</v>
      </c>
      <c r="S7" s="24" t="s">
        <v>10</v>
      </c>
      <c r="T7" s="23" t="s">
        <v>54</v>
      </c>
      <c r="U7" s="283" t="s">
        <v>2</v>
      </c>
      <c r="V7" s="284"/>
      <c r="W7" s="23" t="s">
        <v>0</v>
      </c>
      <c r="X7" s="34"/>
    </row>
    <row r="8" spans="1:25" ht="22.5" x14ac:dyDescent="0.2">
      <c r="A8" s="45" t="s">
        <v>103</v>
      </c>
      <c r="B8" s="45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7" t="s">
        <v>231</v>
      </c>
      <c r="B11" s="178" t="s">
        <v>117</v>
      </c>
      <c r="C11" s="180" t="s">
        <v>232</v>
      </c>
      <c r="D11" s="180" t="s">
        <v>289</v>
      </c>
      <c r="E11" s="181">
        <v>15</v>
      </c>
      <c r="F11" s="182">
        <f>G11/E11</f>
        <v>961.73333333333335</v>
      </c>
      <c r="G11" s="183">
        <v>14426</v>
      </c>
      <c r="H11" s="184">
        <v>0</v>
      </c>
      <c r="I11" s="185">
        <f>SUM(G11:H11)</f>
        <v>14426</v>
      </c>
      <c r="J11" s="186">
        <f>H11/2</f>
        <v>0</v>
      </c>
      <c r="K11" s="186">
        <f>G11+J11</f>
        <v>14426</v>
      </c>
      <c r="L11" s="186">
        <f t="shared" ref="L11" si="0">VLOOKUP(K11,Tarifa1,1)</f>
        <v>13316.71</v>
      </c>
      <c r="M11" s="186">
        <f>K11-L11</f>
        <v>1109.2900000000009</v>
      </c>
      <c r="N11" s="187">
        <f t="shared" ref="N11" si="1">VLOOKUP(K11,Tarifa1,3)</f>
        <v>0.23519999999999999</v>
      </c>
      <c r="O11" s="186">
        <f>M11*N11</f>
        <v>260.90500800000018</v>
      </c>
      <c r="P11" s="188">
        <f t="shared" ref="P11" si="2">VLOOKUP(K11,Tarifa1,2)</f>
        <v>2133.3000000000002</v>
      </c>
      <c r="Q11" s="186">
        <f>O11+P11</f>
        <v>2394.2050080000004</v>
      </c>
      <c r="R11" s="186">
        <f t="shared" ref="R11" si="3">VLOOKUP(K11,Credito1,2)</f>
        <v>0</v>
      </c>
      <c r="S11" s="186">
        <f>Q11-R11</f>
        <v>2394.2050080000004</v>
      </c>
      <c r="T11" s="185">
        <f>-IF(S11&gt;0,0,S11)</f>
        <v>0</v>
      </c>
      <c r="U11" s="185">
        <f>IF(S11&lt;0,0,S11)</f>
        <v>2394.2050080000004</v>
      </c>
      <c r="V11" s="185">
        <f>SUM(U11:U11)</f>
        <v>2394.2050080000004</v>
      </c>
      <c r="W11" s="185">
        <f>I11+T11-V11</f>
        <v>12031.794991999999</v>
      </c>
      <c r="X11" s="94"/>
    </row>
    <row r="12" spans="1:25" ht="18" x14ac:dyDescent="0.25">
      <c r="A12" s="212"/>
      <c r="B12" s="212"/>
      <c r="C12" s="212"/>
      <c r="D12" s="212"/>
      <c r="E12" s="213"/>
      <c r="F12" s="212"/>
      <c r="G12" s="214"/>
      <c r="H12" s="214"/>
      <c r="I12" s="214"/>
      <c r="J12" s="215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</row>
    <row r="13" spans="1:25" ht="41.25" customHeight="1" thickBot="1" x14ac:dyDescent="0.3">
      <c r="A13" s="264"/>
      <c r="B13" s="264"/>
      <c r="C13" s="264"/>
      <c r="D13" s="264"/>
      <c r="E13" s="264"/>
      <c r="F13" s="265"/>
      <c r="G13" s="192">
        <f t="shared" ref="G13:W13" si="4">SUM(G11:G12)</f>
        <v>14426</v>
      </c>
      <c r="H13" s="192">
        <f t="shared" si="4"/>
        <v>0</v>
      </c>
      <c r="I13" s="192">
        <f t="shared" si="4"/>
        <v>14426</v>
      </c>
      <c r="J13" s="193">
        <f t="shared" si="4"/>
        <v>0</v>
      </c>
      <c r="K13" s="193">
        <f t="shared" si="4"/>
        <v>14426</v>
      </c>
      <c r="L13" s="193">
        <f t="shared" si="4"/>
        <v>13316.71</v>
      </c>
      <c r="M13" s="193">
        <f t="shared" si="4"/>
        <v>1109.2900000000009</v>
      </c>
      <c r="N13" s="193">
        <f t="shared" si="4"/>
        <v>0.23519999999999999</v>
      </c>
      <c r="O13" s="193">
        <f t="shared" si="4"/>
        <v>260.90500800000018</v>
      </c>
      <c r="P13" s="193">
        <f t="shared" si="4"/>
        <v>2133.3000000000002</v>
      </c>
      <c r="Q13" s="193">
        <f t="shared" si="4"/>
        <v>2394.2050080000004</v>
      </c>
      <c r="R13" s="193">
        <f t="shared" si="4"/>
        <v>0</v>
      </c>
      <c r="S13" s="193">
        <f t="shared" si="4"/>
        <v>2394.2050080000004</v>
      </c>
      <c r="T13" s="192">
        <f t="shared" si="4"/>
        <v>0</v>
      </c>
      <c r="U13" s="192">
        <f t="shared" si="4"/>
        <v>2394.2050080000004</v>
      </c>
      <c r="V13" s="192">
        <f t="shared" si="4"/>
        <v>2394.2050080000004</v>
      </c>
      <c r="W13" s="192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3" zoomScale="77" zoomScaleNormal="77" workbookViewId="0">
      <selection activeCell="W13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3"/>
      <c r="B9" s="229"/>
      <c r="C9" s="125"/>
      <c r="D9" s="158" t="s">
        <v>119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41"/>
    </row>
    <row r="10" spans="1:25" s="95" customFormat="1" ht="80.099999999999994" customHeight="1" x14ac:dyDescent="0.25">
      <c r="A10" s="117" t="s">
        <v>87</v>
      </c>
      <c r="B10" s="177" t="s">
        <v>167</v>
      </c>
      <c r="C10" s="232" t="s">
        <v>117</v>
      </c>
      <c r="D10" s="230" t="s">
        <v>158</v>
      </c>
      <c r="E10" s="179" t="s">
        <v>120</v>
      </c>
      <c r="F10" s="181">
        <v>15</v>
      </c>
      <c r="G10" s="182"/>
      <c r="H10" s="183">
        <v>3868.5</v>
      </c>
      <c r="I10" s="184">
        <v>0</v>
      </c>
      <c r="J10" s="185">
        <f>SUM(H10:I10)</f>
        <v>3868.5</v>
      </c>
      <c r="K10" s="186">
        <f>IF(H10/15&lt;=SMG,0,I10/2)</f>
        <v>0</v>
      </c>
      <c r="L10" s="186">
        <f t="shared" ref="L10:L11" si="0">H10+K10</f>
        <v>3868.5</v>
      </c>
      <c r="M10" s="186">
        <f>VLOOKUP(L10,Tarifa1,1)</f>
        <v>2699.41</v>
      </c>
      <c r="N10" s="186">
        <f t="shared" ref="N10:N11" si="1">L10-M10</f>
        <v>1169.0900000000001</v>
      </c>
      <c r="O10" s="187">
        <f>VLOOKUP(L10,Tarifa1,3)</f>
        <v>0.10879999999999999</v>
      </c>
      <c r="P10" s="186">
        <f t="shared" ref="P10:P11" si="2">N10*O10</f>
        <v>127.19699200000001</v>
      </c>
      <c r="Q10" s="188">
        <f>VLOOKUP(L10,Tarifa1,2)</f>
        <v>158.55000000000001</v>
      </c>
      <c r="R10" s="186">
        <f t="shared" ref="R10:R11" si="3">P10+Q10</f>
        <v>285.74699200000003</v>
      </c>
      <c r="S10" s="189">
        <f>VLOOKUP(L10,Credito1,2)</f>
        <v>0</v>
      </c>
      <c r="T10" s="186">
        <f t="shared" ref="T10:T11" si="4">ROUND(R10-S10,2)</f>
        <v>285.75</v>
      </c>
      <c r="U10" s="185">
        <f>-IF(T10&gt;0,0,T10)</f>
        <v>0</v>
      </c>
      <c r="V10" s="194">
        <f>IF(T10&lt;0,0,T10)</f>
        <v>285.75</v>
      </c>
      <c r="W10" s="185">
        <f>SUM(V10:V10)</f>
        <v>285.75</v>
      </c>
      <c r="X10" s="185">
        <f>J10+U10-W10</f>
        <v>3582.75</v>
      </c>
      <c r="Y10" s="94"/>
    </row>
    <row r="11" spans="1:25" s="95" customFormat="1" ht="80.099999999999994" customHeight="1" x14ac:dyDescent="0.25">
      <c r="A11" s="196"/>
      <c r="B11" s="223">
        <v>188</v>
      </c>
      <c r="C11" s="232" t="s">
        <v>117</v>
      </c>
      <c r="D11" s="224" t="s">
        <v>168</v>
      </c>
      <c r="E11" s="180" t="s">
        <v>290</v>
      </c>
      <c r="F11" s="181">
        <v>15</v>
      </c>
      <c r="G11" s="182"/>
      <c r="H11" s="183">
        <v>6071</v>
      </c>
      <c r="I11" s="184">
        <v>0</v>
      </c>
      <c r="J11" s="183">
        <f>H11</f>
        <v>6071</v>
      </c>
      <c r="K11" s="186">
        <f t="shared" ref="K11" si="5">IF(H11/15&lt;=SMG,0,I11/2)</f>
        <v>0</v>
      </c>
      <c r="L11" s="186">
        <f t="shared" si="0"/>
        <v>6071</v>
      </c>
      <c r="M11" s="186">
        <f t="shared" ref="M11" si="6">VLOOKUP(L11,Tarifa1,1)</f>
        <v>5514.76</v>
      </c>
      <c r="N11" s="186">
        <f t="shared" si="1"/>
        <v>556.23999999999978</v>
      </c>
      <c r="O11" s="187">
        <f t="shared" ref="O11" si="7">VLOOKUP(L11,Tarifa1,3)</f>
        <v>0.1792</v>
      </c>
      <c r="P11" s="186">
        <f t="shared" si="2"/>
        <v>99.678207999999955</v>
      </c>
      <c r="Q11" s="188">
        <f t="shared" ref="Q11" si="8">VLOOKUP(L11,Tarifa1,2)</f>
        <v>504.3</v>
      </c>
      <c r="R11" s="186">
        <f t="shared" si="3"/>
        <v>603.978208</v>
      </c>
      <c r="S11" s="189">
        <f t="shared" ref="S11" si="9">VLOOKUP(L11,Credito1,2)</f>
        <v>0</v>
      </c>
      <c r="T11" s="186">
        <f t="shared" si="4"/>
        <v>603.98</v>
      </c>
      <c r="U11" s="185">
        <f>-IF(T11&gt;0,0,T11)</f>
        <v>0</v>
      </c>
      <c r="V11" s="185">
        <f t="shared" ref="V11" si="10">IF(T11&lt;0,0,T11)</f>
        <v>603.98</v>
      </c>
      <c r="W11" s="185">
        <f>SUM(V11:V11)</f>
        <v>603.98</v>
      </c>
      <c r="X11" s="185">
        <f>J11+U11-W11+I11</f>
        <v>5467.02</v>
      </c>
      <c r="Y11" s="94"/>
    </row>
    <row r="12" spans="1:25" s="95" customFormat="1" ht="80.099999999999994" customHeight="1" x14ac:dyDescent="0.25">
      <c r="A12" s="233"/>
      <c r="B12" s="178" t="s">
        <v>260</v>
      </c>
      <c r="C12" s="178" t="s">
        <v>117</v>
      </c>
      <c r="D12" s="190" t="s">
        <v>261</v>
      </c>
      <c r="E12" s="179" t="s">
        <v>120</v>
      </c>
      <c r="F12" s="181">
        <v>15</v>
      </c>
      <c r="G12" s="182"/>
      <c r="H12" s="183">
        <v>3868.5</v>
      </c>
      <c r="I12" s="184">
        <v>0</v>
      </c>
      <c r="J12" s="185">
        <f>SUM(H12:I12)</f>
        <v>3868.5</v>
      </c>
      <c r="K12" s="186">
        <f>IF(H12/15&lt;=SMG,0,I12/2)</f>
        <v>0</v>
      </c>
      <c r="L12" s="186">
        <f t="shared" ref="L12" si="11">H12+K12</f>
        <v>3868.5</v>
      </c>
      <c r="M12" s="186">
        <f>VLOOKUP(L12,Tarifa1,1)</f>
        <v>2699.41</v>
      </c>
      <c r="N12" s="186">
        <f t="shared" ref="N12" si="12">L12-M12</f>
        <v>1169.0900000000001</v>
      </c>
      <c r="O12" s="187">
        <f>VLOOKUP(L12,Tarifa1,3)</f>
        <v>0.10879999999999999</v>
      </c>
      <c r="P12" s="186">
        <f t="shared" ref="P12" si="13">N12*O12</f>
        <v>127.19699200000001</v>
      </c>
      <c r="Q12" s="188">
        <f>VLOOKUP(L12,Tarifa1,2)</f>
        <v>158.55000000000001</v>
      </c>
      <c r="R12" s="186">
        <f t="shared" ref="R12" si="14">P12+Q12</f>
        <v>285.74699200000003</v>
      </c>
      <c r="S12" s="189">
        <f>VLOOKUP(L12,Credito1,2)</f>
        <v>0</v>
      </c>
      <c r="T12" s="186">
        <f t="shared" ref="T12" si="15">ROUND(R12-S12,2)</f>
        <v>285.75</v>
      </c>
      <c r="U12" s="185">
        <f>-IF(T12&gt;0,0,T12)</f>
        <v>0</v>
      </c>
      <c r="V12" s="194">
        <f>IF(T12&lt;0,0,T12)</f>
        <v>285.75</v>
      </c>
      <c r="W12" s="185">
        <f>SUM(V12:V12)</f>
        <v>285.75</v>
      </c>
      <c r="X12" s="185">
        <f>J12+U12-W12</f>
        <v>3582.75</v>
      </c>
      <c r="Y12" s="94"/>
    </row>
    <row r="13" spans="1:25" s="95" customFormat="1" ht="80.099999999999994" customHeight="1" x14ac:dyDescent="0.25">
      <c r="A13" s="233"/>
      <c r="B13" s="223">
        <v>284</v>
      </c>
      <c r="C13" s="178" t="s">
        <v>117</v>
      </c>
      <c r="D13" s="231" t="s">
        <v>257</v>
      </c>
      <c r="E13" s="179" t="s">
        <v>120</v>
      </c>
      <c r="F13" s="181">
        <v>15</v>
      </c>
      <c r="G13" s="182"/>
      <c r="H13" s="183">
        <v>3868.5</v>
      </c>
      <c r="I13" s="184">
        <v>0</v>
      </c>
      <c r="J13" s="185">
        <f>SUM(H13:I13)</f>
        <v>3868.5</v>
      </c>
      <c r="K13" s="186">
        <f>IF(H13/15&lt;=SMG,0,I13/2)</f>
        <v>0</v>
      </c>
      <c r="L13" s="186">
        <f t="shared" ref="L13" si="16">H13+K13</f>
        <v>3868.5</v>
      </c>
      <c r="M13" s="186">
        <f>VLOOKUP(L13,Tarifa1,1)</f>
        <v>2699.41</v>
      </c>
      <c r="N13" s="186">
        <f t="shared" ref="N13" si="17">L13-M13</f>
        <v>1169.0900000000001</v>
      </c>
      <c r="O13" s="187">
        <f>VLOOKUP(L13,Tarifa1,3)</f>
        <v>0.10879999999999999</v>
      </c>
      <c r="P13" s="186">
        <f t="shared" ref="P13" si="18">N13*O13</f>
        <v>127.19699200000001</v>
      </c>
      <c r="Q13" s="188">
        <f>VLOOKUP(L13,Tarifa1,2)</f>
        <v>158.55000000000001</v>
      </c>
      <c r="R13" s="186">
        <f t="shared" ref="R13" si="19">P13+Q13</f>
        <v>285.74699200000003</v>
      </c>
      <c r="S13" s="189">
        <f>VLOOKUP(L13,Credito1,2)</f>
        <v>0</v>
      </c>
      <c r="T13" s="186">
        <f t="shared" ref="T13" si="20">ROUND(R13-S13,2)</f>
        <v>285.75</v>
      </c>
      <c r="U13" s="185">
        <f>-IF(T13&gt;0,0,T13)</f>
        <v>0</v>
      </c>
      <c r="V13" s="194">
        <f>IF(T13&lt;0,0,T13)</f>
        <v>285.75</v>
      </c>
      <c r="W13" s="185">
        <f>SUM(V13:V13)</f>
        <v>285.75</v>
      </c>
      <c r="X13" s="185">
        <f>J13+U13-W13</f>
        <v>3582.75</v>
      </c>
      <c r="Y13" s="94"/>
    </row>
    <row r="14" spans="1:25" s="95" customFormat="1" ht="80.099999999999994" customHeight="1" x14ac:dyDescent="0.25">
      <c r="A14" s="212"/>
      <c r="B14" s="223">
        <v>299</v>
      </c>
      <c r="C14" s="178" t="s">
        <v>117</v>
      </c>
      <c r="D14" s="231" t="s">
        <v>318</v>
      </c>
      <c r="E14" s="179" t="s">
        <v>120</v>
      </c>
      <c r="F14" s="181">
        <v>15</v>
      </c>
      <c r="G14" s="182"/>
      <c r="H14" s="183">
        <v>3887.85</v>
      </c>
      <c r="I14" s="184">
        <v>0</v>
      </c>
      <c r="J14" s="185">
        <f>SUM(H14:I14)</f>
        <v>3887.85</v>
      </c>
      <c r="K14" s="186">
        <f>IF(H14/15&lt;=SMG,0,I14/2)</f>
        <v>0</v>
      </c>
      <c r="L14" s="186">
        <f t="shared" ref="L14" si="21">H14+K14</f>
        <v>3887.85</v>
      </c>
      <c r="M14" s="186">
        <f>VLOOKUP(L14,Tarifa1,1)</f>
        <v>2699.41</v>
      </c>
      <c r="N14" s="186">
        <f t="shared" ref="N14" si="22">L14-M14</f>
        <v>1188.44</v>
      </c>
      <c r="O14" s="187">
        <f>VLOOKUP(L14,Tarifa1,3)</f>
        <v>0.10879999999999999</v>
      </c>
      <c r="P14" s="186">
        <f t="shared" ref="P14" si="23">N14*O14</f>
        <v>129.30227199999999</v>
      </c>
      <c r="Q14" s="188">
        <f>VLOOKUP(L14,Tarifa1,2)</f>
        <v>158.55000000000001</v>
      </c>
      <c r="R14" s="186">
        <f t="shared" ref="R14" si="24">P14+Q14</f>
        <v>287.85227199999997</v>
      </c>
      <c r="S14" s="189">
        <f>VLOOKUP(L14,Credito1,2)</f>
        <v>0</v>
      </c>
      <c r="T14" s="186">
        <f t="shared" ref="T14" si="25">ROUND(R14-S14,2)</f>
        <v>287.85000000000002</v>
      </c>
      <c r="U14" s="185">
        <f>-IF(T14&gt;0,0,T14)</f>
        <v>0</v>
      </c>
      <c r="V14" s="194">
        <f>IF(T14&lt;0,0,T14)</f>
        <v>287.85000000000002</v>
      </c>
      <c r="W14" s="185">
        <f>SUM(V14:V14)</f>
        <v>287.85000000000002</v>
      </c>
      <c r="X14" s="185">
        <f>J14+U14-W14</f>
        <v>3600</v>
      </c>
      <c r="Y14" s="94"/>
    </row>
    <row r="15" spans="1:25" ht="18" x14ac:dyDescent="0.25">
      <c r="A15" s="212"/>
      <c r="B15" s="212"/>
      <c r="C15" s="212"/>
      <c r="D15" s="212"/>
      <c r="E15" s="212"/>
      <c r="F15" s="213"/>
      <c r="G15" s="212"/>
      <c r="H15" s="214"/>
      <c r="I15" s="214"/>
      <c r="J15" s="214"/>
      <c r="K15" s="215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</row>
    <row r="16" spans="1:25" ht="4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2">
        <f t="shared" ref="H16:X16" si="26">SUM(H10:H15)</f>
        <v>21564.35</v>
      </c>
      <c r="I16" s="192">
        <f t="shared" si="26"/>
        <v>0</v>
      </c>
      <c r="J16" s="192">
        <f t="shared" si="26"/>
        <v>21564.35</v>
      </c>
      <c r="K16" s="193">
        <f t="shared" si="26"/>
        <v>0</v>
      </c>
      <c r="L16" s="193">
        <f t="shared" si="26"/>
        <v>21564.35</v>
      </c>
      <c r="M16" s="193">
        <f t="shared" si="26"/>
        <v>16312.4</v>
      </c>
      <c r="N16" s="193">
        <f t="shared" si="26"/>
        <v>5251.9500000000007</v>
      </c>
      <c r="O16" s="193">
        <f t="shared" si="26"/>
        <v>0.61439999999999995</v>
      </c>
      <c r="P16" s="193">
        <f t="shared" si="26"/>
        <v>610.57145600000001</v>
      </c>
      <c r="Q16" s="193">
        <f t="shared" si="26"/>
        <v>1138.5</v>
      </c>
      <c r="R16" s="193">
        <f t="shared" si="26"/>
        <v>1749.0714560000001</v>
      </c>
      <c r="S16" s="193">
        <f t="shared" si="26"/>
        <v>0</v>
      </c>
      <c r="T16" s="193">
        <f t="shared" si="26"/>
        <v>1749.08</v>
      </c>
      <c r="U16" s="192">
        <f t="shared" si="26"/>
        <v>0</v>
      </c>
      <c r="V16" s="192">
        <f t="shared" si="26"/>
        <v>1749.08</v>
      </c>
      <c r="W16" s="192">
        <f t="shared" si="26"/>
        <v>1749.08</v>
      </c>
      <c r="X16" s="192">
        <f t="shared" si="26"/>
        <v>19815.27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4"/>
  <sheetViews>
    <sheetView topLeftCell="B21" zoomScale="80" zoomScaleNormal="80" workbookViewId="0">
      <selection activeCell="U21" sqref="U1:U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24.28515625" style="68" customWidth="1"/>
    <col min="5" max="5" width="11.28515625" style="68" hidden="1" customWidth="1"/>
    <col min="6" max="6" width="17.5703125" style="68" customWidth="1"/>
    <col min="7" max="7" width="14" style="68" customWidth="1"/>
    <col min="8" max="8" width="14" style="68" hidden="1" customWidth="1"/>
    <col min="9" max="9" width="12.7109375" style="68" hidden="1" customWidth="1"/>
    <col min="10" max="10" width="13.140625" style="68" hidden="1" customWidth="1"/>
    <col min="11" max="13" width="11" style="68" hidden="1" customWidth="1"/>
    <col min="14" max="15" width="13.140625" style="68" hidden="1" customWidth="1"/>
    <col min="16" max="16" width="10.5703125" style="68" hidden="1" customWidth="1"/>
    <col min="17" max="17" width="10.42578125" style="68" hidden="1" customWidth="1"/>
    <col min="18" max="18" width="13.140625" style="68" hidden="1" customWidth="1"/>
    <col min="19" max="19" width="11.5703125" style="68" hidden="1" customWidth="1"/>
    <col min="20" max="21" width="13.28515625" style="68" customWidth="1"/>
    <col min="22" max="22" width="15.42578125" style="68" customWidth="1"/>
    <col min="23" max="23" width="87.7109375" style="68" customWidth="1"/>
    <col min="24" max="24" width="73.42578125" style="68" customWidth="1"/>
    <col min="25" max="16384" width="11.42578125" style="68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4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4"/>
    </row>
    <row r="3" spans="1:25" ht="19.5" x14ac:dyDescent="0.25">
      <c r="A3" s="42" t="s">
        <v>199</v>
      </c>
      <c r="B3" s="267" t="s">
        <v>322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37"/>
      <c r="Y3" s="237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7" t="s">
        <v>1</v>
      </c>
      <c r="G5" s="278"/>
      <c r="H5" s="279"/>
      <c r="I5" s="24" t="s">
        <v>26</v>
      </c>
      <c r="J5" s="25"/>
      <c r="K5" s="280" t="s">
        <v>9</v>
      </c>
      <c r="L5" s="281"/>
      <c r="M5" s="281"/>
      <c r="N5" s="281"/>
      <c r="O5" s="281"/>
      <c r="P5" s="282"/>
      <c r="Q5" s="24" t="s">
        <v>30</v>
      </c>
      <c r="R5" s="24" t="s">
        <v>10</v>
      </c>
      <c r="S5" s="23" t="s">
        <v>54</v>
      </c>
      <c r="T5" s="283" t="s">
        <v>2</v>
      </c>
      <c r="U5" s="284"/>
      <c r="V5" s="23" t="s">
        <v>0</v>
      </c>
      <c r="W5" s="110"/>
      <c r="X5" s="4"/>
    </row>
    <row r="6" spans="1:25" ht="32.25" customHeight="1" x14ac:dyDescent="0.2">
      <c r="A6" s="26" t="s">
        <v>21</v>
      </c>
      <c r="B6" s="45" t="s">
        <v>103</v>
      </c>
      <c r="C6" s="45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1"/>
      <c r="X7" s="4"/>
    </row>
    <row r="8" spans="1:25" ht="28.5" customHeight="1" x14ac:dyDescent="0.25">
      <c r="A8" s="39"/>
      <c r="B8" s="109"/>
      <c r="C8" s="109"/>
      <c r="D8" s="37" t="s">
        <v>62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0"/>
      <c r="X8" s="4"/>
    </row>
    <row r="9" spans="1:25" ht="77.099999999999994" customHeight="1" x14ac:dyDescent="0.25">
      <c r="A9" s="117" t="s">
        <v>85</v>
      </c>
      <c r="B9" s="178" t="s">
        <v>140</v>
      </c>
      <c r="C9" s="178" t="s">
        <v>117</v>
      </c>
      <c r="D9" s="179" t="s">
        <v>67</v>
      </c>
      <c r="E9" s="181">
        <v>15</v>
      </c>
      <c r="F9" s="183">
        <v>9993</v>
      </c>
      <c r="G9" s="184">
        <v>0</v>
      </c>
      <c r="H9" s="185">
        <f t="shared" ref="H9:H14" si="0">SUM(F9:G9)</f>
        <v>9993</v>
      </c>
      <c r="I9" s="186">
        <f t="shared" ref="I9:I16" si="1">IF(F9/15&lt;=SMG,0,G9/2)</f>
        <v>0</v>
      </c>
      <c r="J9" s="186">
        <f t="shared" ref="J9" si="2">F9+I9</f>
        <v>9993</v>
      </c>
      <c r="K9" s="186">
        <f t="shared" ref="K9:K16" si="3">VLOOKUP(J9,Tarifa1,1)</f>
        <v>6602.71</v>
      </c>
      <c r="L9" s="186">
        <f t="shared" ref="L9" si="4">J9-K9</f>
        <v>3390.29</v>
      </c>
      <c r="M9" s="187">
        <f t="shared" ref="M9:M16" si="5">VLOOKUP(J9,Tarifa1,3)</f>
        <v>0.21360000000000001</v>
      </c>
      <c r="N9" s="186">
        <f t="shared" ref="N9" si="6">L9*M9</f>
        <v>724.16594400000008</v>
      </c>
      <c r="O9" s="188">
        <f t="shared" ref="O9:O16" si="7">VLOOKUP(J9,Tarifa1,2)</f>
        <v>699.3</v>
      </c>
      <c r="P9" s="186">
        <f t="shared" ref="P9" si="8">N9+O9</f>
        <v>1423.465944</v>
      </c>
      <c r="Q9" s="186">
        <f t="shared" ref="Q9:Q16" si="9">VLOOKUP(J9,Credito1,2)</f>
        <v>0</v>
      </c>
      <c r="R9" s="186">
        <f t="shared" ref="R9" si="10">ROUND(P9-Q9,2)</f>
        <v>1423.47</v>
      </c>
      <c r="S9" s="185">
        <f t="shared" ref="S9:S10" si="11">-IF(R9&gt;0,0,R9)</f>
        <v>0</v>
      </c>
      <c r="T9" s="185">
        <f t="shared" ref="T9:T10" si="12">IF(R9&lt;0,0,R9)</f>
        <v>1423.47</v>
      </c>
      <c r="U9" s="185">
        <f>SUM(T9:T9)</f>
        <v>1423.47</v>
      </c>
      <c r="V9" s="185">
        <f>H9+S9-U9</f>
        <v>8569.5300000000007</v>
      </c>
      <c r="W9" s="90"/>
      <c r="X9" s="4"/>
    </row>
    <row r="10" spans="1:25" s="95" customFormat="1" ht="77.099999999999994" customHeight="1" x14ac:dyDescent="0.25">
      <c r="A10" s="117"/>
      <c r="B10" s="178" t="s">
        <v>198</v>
      </c>
      <c r="C10" s="178" t="s">
        <v>117</v>
      </c>
      <c r="D10" s="179" t="s">
        <v>81</v>
      </c>
      <c r="E10" s="181">
        <v>15</v>
      </c>
      <c r="F10" s="183">
        <v>8164</v>
      </c>
      <c r="G10" s="184">
        <v>0</v>
      </c>
      <c r="H10" s="185">
        <f t="shared" si="0"/>
        <v>8164</v>
      </c>
      <c r="I10" s="186">
        <f t="shared" si="1"/>
        <v>0</v>
      </c>
      <c r="J10" s="186">
        <f t="shared" ref="J10:J16" si="13">F10+I10</f>
        <v>8164</v>
      </c>
      <c r="K10" s="186">
        <f t="shared" si="3"/>
        <v>6602.71</v>
      </c>
      <c r="L10" s="186">
        <f t="shared" ref="L10:L16" si="14">J10-K10</f>
        <v>1561.29</v>
      </c>
      <c r="M10" s="187">
        <f t="shared" si="5"/>
        <v>0.21360000000000001</v>
      </c>
      <c r="N10" s="186">
        <f t="shared" ref="N10:N16" si="15">L10*M10</f>
        <v>333.49154400000003</v>
      </c>
      <c r="O10" s="188">
        <f t="shared" si="7"/>
        <v>699.3</v>
      </c>
      <c r="P10" s="186">
        <f t="shared" ref="P10:P16" si="16">N10+O10</f>
        <v>1032.7915439999999</v>
      </c>
      <c r="Q10" s="186">
        <f t="shared" si="9"/>
        <v>0</v>
      </c>
      <c r="R10" s="186">
        <f t="shared" ref="R10:R16" si="17">ROUND(P10-Q10,2)</f>
        <v>1032.79</v>
      </c>
      <c r="S10" s="185">
        <f t="shared" si="11"/>
        <v>0</v>
      </c>
      <c r="T10" s="185">
        <f t="shared" si="12"/>
        <v>1032.79</v>
      </c>
      <c r="U10" s="185">
        <f>SUM(T10:T10)</f>
        <v>1032.79</v>
      </c>
      <c r="V10" s="185">
        <f>H10+S10-U10</f>
        <v>7131.21</v>
      </c>
      <c r="W10" s="90"/>
      <c r="X10" s="4"/>
    </row>
    <row r="11" spans="1:25" s="95" customFormat="1" ht="77.099999999999994" customHeight="1" x14ac:dyDescent="0.25">
      <c r="A11" s="233"/>
      <c r="B11" s="178" t="s">
        <v>186</v>
      </c>
      <c r="C11" s="178" t="s">
        <v>117</v>
      </c>
      <c r="D11" s="180" t="s">
        <v>81</v>
      </c>
      <c r="E11" s="181">
        <v>15</v>
      </c>
      <c r="F11" s="183">
        <v>8164</v>
      </c>
      <c r="G11" s="184">
        <v>0</v>
      </c>
      <c r="H11" s="185">
        <f t="shared" ref="H11" si="18">SUM(F11:G11)</f>
        <v>8164</v>
      </c>
      <c r="I11" s="186">
        <f t="shared" ref="I11" si="19">IF(F11/15&lt;=SMG,0,G11/2)</f>
        <v>0</v>
      </c>
      <c r="J11" s="186">
        <f t="shared" ref="J11" si="20">F11+I11</f>
        <v>8164</v>
      </c>
      <c r="K11" s="186">
        <f t="shared" ref="K11" si="21">VLOOKUP(J11,Tarifa1,1)</f>
        <v>6602.71</v>
      </c>
      <c r="L11" s="186">
        <f t="shared" ref="L11" si="22">J11-K11</f>
        <v>1561.29</v>
      </c>
      <c r="M11" s="187">
        <f t="shared" ref="M11" si="23">VLOOKUP(J11,Tarifa1,3)</f>
        <v>0.21360000000000001</v>
      </c>
      <c r="N11" s="186">
        <f t="shared" ref="N11" si="24">L11*M11</f>
        <v>333.49154400000003</v>
      </c>
      <c r="O11" s="188">
        <f t="shared" ref="O11" si="25">VLOOKUP(J11,Tarifa1,2)</f>
        <v>699.3</v>
      </c>
      <c r="P11" s="186">
        <f t="shared" ref="P11" si="26">N11+O11</f>
        <v>1032.7915439999999</v>
      </c>
      <c r="Q11" s="186">
        <f t="shared" ref="Q11" si="27">VLOOKUP(J11,Credito1,2)</f>
        <v>0</v>
      </c>
      <c r="R11" s="186">
        <f t="shared" ref="R11" si="28">ROUND(P11-Q11,2)</f>
        <v>1032.79</v>
      </c>
      <c r="S11" s="185">
        <f t="shared" ref="S11" si="29">-IF(R11&gt;0,0,R11)</f>
        <v>0</v>
      </c>
      <c r="T11" s="185">
        <f t="shared" ref="T11" si="30">IF(R11&lt;0,0,R11)</f>
        <v>1032.79</v>
      </c>
      <c r="U11" s="185">
        <f>SUM(T11:T11)</f>
        <v>1032.79</v>
      </c>
      <c r="V11" s="185">
        <f>H11+S11-U11</f>
        <v>7131.21</v>
      </c>
      <c r="W11" s="90"/>
      <c r="X11" s="4"/>
    </row>
    <row r="12" spans="1:25" s="95" customFormat="1" ht="77.099999999999994" customHeight="1" x14ac:dyDescent="0.25">
      <c r="A12" s="233"/>
      <c r="B12" s="178" t="s">
        <v>194</v>
      </c>
      <c r="C12" s="178" t="s">
        <v>117</v>
      </c>
      <c r="D12" s="180" t="s">
        <v>297</v>
      </c>
      <c r="E12" s="181">
        <v>15</v>
      </c>
      <c r="F12" s="183">
        <v>7782.5</v>
      </c>
      <c r="G12" s="184">
        <v>0</v>
      </c>
      <c r="H12" s="185">
        <f t="shared" ref="H12" si="31">SUM(F12:G12)</f>
        <v>7782.5</v>
      </c>
      <c r="I12" s="186">
        <f t="shared" ref="I12" si="32">IF(F12/15&lt;=SMG,0,G12/2)</f>
        <v>0</v>
      </c>
      <c r="J12" s="186">
        <f t="shared" ref="J12" si="33">F12+I12</f>
        <v>7782.5</v>
      </c>
      <c r="K12" s="186">
        <f t="shared" ref="K12" si="34">VLOOKUP(J12,Tarifa1,1)</f>
        <v>6602.71</v>
      </c>
      <c r="L12" s="186">
        <f t="shared" ref="L12" si="35">J12-K12</f>
        <v>1179.79</v>
      </c>
      <c r="M12" s="187">
        <f t="shared" ref="M12" si="36">VLOOKUP(J12,Tarifa1,3)</f>
        <v>0.21360000000000001</v>
      </c>
      <c r="N12" s="186">
        <f t="shared" ref="N12" si="37">L12*M12</f>
        <v>252.00314400000002</v>
      </c>
      <c r="O12" s="188">
        <f t="shared" ref="O12" si="38">VLOOKUP(J12,Tarifa1,2)</f>
        <v>699.3</v>
      </c>
      <c r="P12" s="186">
        <f t="shared" ref="P12" si="39">N12+O12</f>
        <v>951.30314399999997</v>
      </c>
      <c r="Q12" s="186">
        <f t="shared" ref="Q12" si="40">VLOOKUP(J12,Credito1,2)</f>
        <v>0</v>
      </c>
      <c r="R12" s="186">
        <f t="shared" ref="R12" si="41">ROUND(P12-Q12,2)</f>
        <v>951.3</v>
      </c>
      <c r="S12" s="185">
        <f t="shared" ref="S12" si="42">-IF(R12&gt;0,0,R12)</f>
        <v>0</v>
      </c>
      <c r="T12" s="185">
        <f t="shared" ref="T12" si="43">IF(R12&lt;0,0,R12)</f>
        <v>951.3</v>
      </c>
      <c r="U12" s="185">
        <f>SUM(T12:T12)</f>
        <v>951.3</v>
      </c>
      <c r="V12" s="185">
        <f>H12+S12-U12</f>
        <v>6831.2</v>
      </c>
      <c r="W12" s="90"/>
      <c r="X12" s="4"/>
    </row>
    <row r="13" spans="1:25" s="95" customFormat="1" ht="77.099999999999994" customHeight="1" x14ac:dyDescent="0.25">
      <c r="A13" s="233"/>
      <c r="B13" s="178" t="s">
        <v>238</v>
      </c>
      <c r="C13" s="178" t="s">
        <v>117</v>
      </c>
      <c r="D13" s="180" t="s">
        <v>297</v>
      </c>
      <c r="E13" s="181">
        <v>15</v>
      </c>
      <c r="F13" s="183">
        <v>7782.5</v>
      </c>
      <c r="G13" s="184">
        <v>0</v>
      </c>
      <c r="H13" s="185">
        <f t="shared" ref="H13" si="44">SUM(F13:G13)</f>
        <v>7782.5</v>
      </c>
      <c r="I13" s="186">
        <f t="shared" ref="I13" si="45">IF(F13/15&lt;=SMG,0,G13/2)</f>
        <v>0</v>
      </c>
      <c r="J13" s="186">
        <f t="shared" ref="J13" si="46">F13+I13</f>
        <v>7782.5</v>
      </c>
      <c r="K13" s="186">
        <f t="shared" ref="K13" si="47">VLOOKUP(J13,Tarifa1,1)</f>
        <v>6602.71</v>
      </c>
      <c r="L13" s="186">
        <f t="shared" ref="L13" si="48">J13-K13</f>
        <v>1179.79</v>
      </c>
      <c r="M13" s="187">
        <f t="shared" ref="M13" si="49">VLOOKUP(J13,Tarifa1,3)</f>
        <v>0.21360000000000001</v>
      </c>
      <c r="N13" s="186">
        <f t="shared" ref="N13" si="50">L13*M13</f>
        <v>252.00314400000002</v>
      </c>
      <c r="O13" s="188">
        <f t="shared" ref="O13" si="51">VLOOKUP(J13,Tarifa1,2)</f>
        <v>699.3</v>
      </c>
      <c r="P13" s="186">
        <f t="shared" ref="P13" si="52">N13+O13</f>
        <v>951.30314399999997</v>
      </c>
      <c r="Q13" s="186">
        <f t="shared" ref="Q13" si="53">VLOOKUP(J13,Credito1,2)</f>
        <v>0</v>
      </c>
      <c r="R13" s="186">
        <f t="shared" ref="R13" si="54">ROUND(P13-Q13,2)</f>
        <v>951.3</v>
      </c>
      <c r="S13" s="185">
        <f t="shared" ref="S13" si="55">-IF(R13&gt;0,0,R13)</f>
        <v>0</v>
      </c>
      <c r="T13" s="185">
        <f t="shared" ref="T13" si="56">IF(R13&lt;0,0,R13)</f>
        <v>951.3</v>
      </c>
      <c r="U13" s="185">
        <f>SUM(T13:T13)</f>
        <v>951.3</v>
      </c>
      <c r="V13" s="185">
        <f>H13+S13-U13</f>
        <v>6831.2</v>
      </c>
      <c r="W13" s="90"/>
      <c r="X13" s="4"/>
    </row>
    <row r="14" spans="1:25" s="95" customFormat="1" ht="77.099999999999994" customHeight="1" x14ac:dyDescent="0.25">
      <c r="A14" s="233"/>
      <c r="B14" s="178" t="s">
        <v>107</v>
      </c>
      <c r="C14" s="178" t="s">
        <v>117</v>
      </c>
      <c r="D14" s="179" t="s">
        <v>82</v>
      </c>
      <c r="E14" s="181">
        <v>15</v>
      </c>
      <c r="F14" s="183">
        <v>7401</v>
      </c>
      <c r="G14" s="184">
        <v>0</v>
      </c>
      <c r="H14" s="185">
        <f t="shared" si="0"/>
        <v>7401</v>
      </c>
      <c r="I14" s="186">
        <f t="shared" si="1"/>
        <v>0</v>
      </c>
      <c r="J14" s="186">
        <f t="shared" si="13"/>
        <v>7401</v>
      </c>
      <c r="K14" s="186">
        <f t="shared" si="3"/>
        <v>6602.71</v>
      </c>
      <c r="L14" s="186">
        <f t="shared" si="14"/>
        <v>798.29</v>
      </c>
      <c r="M14" s="187">
        <f t="shared" si="5"/>
        <v>0.21360000000000001</v>
      </c>
      <c r="N14" s="186">
        <f t="shared" si="15"/>
        <v>170.51474400000001</v>
      </c>
      <c r="O14" s="188">
        <f t="shared" si="7"/>
        <v>699.3</v>
      </c>
      <c r="P14" s="186">
        <f t="shared" si="16"/>
        <v>869.81474400000002</v>
      </c>
      <c r="Q14" s="186">
        <f t="shared" si="9"/>
        <v>0</v>
      </c>
      <c r="R14" s="186">
        <f t="shared" si="17"/>
        <v>869.81</v>
      </c>
      <c r="S14" s="185">
        <f t="shared" ref="S14" si="57">-IF(R14&gt;0,0,R14)</f>
        <v>0</v>
      </c>
      <c r="T14" s="185">
        <f t="shared" ref="T14" si="58">IF(R14&lt;0,0,R14)</f>
        <v>869.81</v>
      </c>
      <c r="U14" s="185">
        <f>SUM(T14:T14)</f>
        <v>869.81</v>
      </c>
      <c r="V14" s="185">
        <f>H14+S14-U14</f>
        <v>6531.1900000000005</v>
      </c>
      <c r="W14" s="91"/>
      <c r="X14" s="4"/>
    </row>
    <row r="15" spans="1:25" ht="77.099999999999994" customHeight="1" x14ac:dyDescent="0.25">
      <c r="A15" s="233"/>
      <c r="B15" s="178" t="s">
        <v>207</v>
      </c>
      <c r="C15" s="178" t="s">
        <v>117</v>
      </c>
      <c r="D15" s="179" t="s">
        <v>82</v>
      </c>
      <c r="E15" s="235">
        <v>15</v>
      </c>
      <c r="F15" s="183">
        <v>7401</v>
      </c>
      <c r="G15" s="184">
        <v>0</v>
      </c>
      <c r="H15" s="185">
        <f t="shared" ref="H15" si="59">SUM(F15:G15)</f>
        <v>7401</v>
      </c>
      <c r="I15" s="186">
        <f t="shared" si="1"/>
        <v>0</v>
      </c>
      <c r="J15" s="186">
        <f t="shared" si="13"/>
        <v>7401</v>
      </c>
      <c r="K15" s="186">
        <f t="shared" si="3"/>
        <v>6602.71</v>
      </c>
      <c r="L15" s="186">
        <f t="shared" si="14"/>
        <v>798.29</v>
      </c>
      <c r="M15" s="187">
        <f t="shared" si="5"/>
        <v>0.21360000000000001</v>
      </c>
      <c r="N15" s="186">
        <f t="shared" si="15"/>
        <v>170.51474400000001</v>
      </c>
      <c r="O15" s="188">
        <f t="shared" si="7"/>
        <v>699.3</v>
      </c>
      <c r="P15" s="186">
        <f t="shared" si="16"/>
        <v>869.81474400000002</v>
      </c>
      <c r="Q15" s="186">
        <f t="shared" si="9"/>
        <v>0</v>
      </c>
      <c r="R15" s="186">
        <f t="shared" si="17"/>
        <v>869.81</v>
      </c>
      <c r="S15" s="185">
        <f t="shared" ref="S15" si="60">-IF(R15&gt;0,0,R15)</f>
        <v>0</v>
      </c>
      <c r="T15" s="185">
        <f t="shared" ref="T15" si="61">IF(R15&lt;0,0,R15)</f>
        <v>869.81</v>
      </c>
      <c r="U15" s="185">
        <f>SUM(T15:T15)</f>
        <v>869.81</v>
      </c>
      <c r="V15" s="185">
        <f>H15+S15-U15</f>
        <v>6531.1900000000005</v>
      </c>
      <c r="W15" s="91"/>
      <c r="X15" s="4"/>
    </row>
    <row r="16" spans="1:25" ht="77.099999999999994" customHeight="1" x14ac:dyDescent="0.25">
      <c r="A16" s="233"/>
      <c r="B16" s="178" t="s">
        <v>211</v>
      </c>
      <c r="C16" s="178" t="s">
        <v>117</v>
      </c>
      <c r="D16" s="179" t="s">
        <v>82</v>
      </c>
      <c r="E16" s="181">
        <v>15</v>
      </c>
      <c r="F16" s="183">
        <v>7401</v>
      </c>
      <c r="G16" s="184">
        <v>0</v>
      </c>
      <c r="H16" s="185">
        <f t="shared" ref="H16" si="62">SUM(F16:G16)</f>
        <v>7401</v>
      </c>
      <c r="I16" s="186">
        <f t="shared" si="1"/>
        <v>0</v>
      </c>
      <c r="J16" s="186">
        <f t="shared" si="13"/>
        <v>7401</v>
      </c>
      <c r="K16" s="186">
        <f t="shared" si="3"/>
        <v>6602.71</v>
      </c>
      <c r="L16" s="186">
        <f t="shared" si="14"/>
        <v>798.29</v>
      </c>
      <c r="M16" s="187">
        <f t="shared" si="5"/>
        <v>0.21360000000000001</v>
      </c>
      <c r="N16" s="186">
        <f t="shared" si="15"/>
        <v>170.51474400000001</v>
      </c>
      <c r="O16" s="188">
        <f t="shared" si="7"/>
        <v>699.3</v>
      </c>
      <c r="P16" s="186">
        <f t="shared" si="16"/>
        <v>869.81474400000002</v>
      </c>
      <c r="Q16" s="186">
        <f t="shared" si="9"/>
        <v>0</v>
      </c>
      <c r="R16" s="186">
        <f t="shared" si="17"/>
        <v>869.81</v>
      </c>
      <c r="S16" s="185">
        <f t="shared" ref="S16" si="63">-IF(R16&gt;0,0,R16)</f>
        <v>0</v>
      </c>
      <c r="T16" s="185">
        <f t="shared" ref="T16" si="64">IF(R16&lt;0,0,R16)</f>
        <v>869.81</v>
      </c>
      <c r="U16" s="185">
        <f>SUM(T16:T16)</f>
        <v>869.81</v>
      </c>
      <c r="V16" s="185">
        <f>H16+S16-U16</f>
        <v>6531.1900000000005</v>
      </c>
      <c r="W16" s="91"/>
      <c r="X16" s="4"/>
    </row>
    <row r="17" spans="1:24" ht="77.099999999999994" customHeight="1" x14ac:dyDescent="0.25">
      <c r="A17" s="233"/>
      <c r="B17" s="178" t="s">
        <v>226</v>
      </c>
      <c r="C17" s="178" t="s">
        <v>117</v>
      </c>
      <c r="D17" s="179" t="s">
        <v>82</v>
      </c>
      <c r="E17" s="181"/>
      <c r="F17" s="183">
        <v>7401</v>
      </c>
      <c r="G17" s="184">
        <v>0</v>
      </c>
      <c r="H17" s="185">
        <f t="shared" ref="H17" si="65">SUM(F17:G17)</f>
        <v>7401</v>
      </c>
      <c r="I17" s="186">
        <f t="shared" ref="I17:I21" si="66">IF(F17/15&lt;=SMG,0,G17/2)</f>
        <v>0</v>
      </c>
      <c r="J17" s="186">
        <f t="shared" ref="J17" si="67">F17+I17</f>
        <v>7401</v>
      </c>
      <c r="K17" s="186">
        <f t="shared" ref="K17:K21" si="68">VLOOKUP(J17,Tarifa1,1)</f>
        <v>6602.71</v>
      </c>
      <c r="L17" s="186">
        <f t="shared" ref="L17" si="69">J17-K17</f>
        <v>798.29</v>
      </c>
      <c r="M17" s="187">
        <f t="shared" ref="M17:M21" si="70">VLOOKUP(J17,Tarifa1,3)</f>
        <v>0.21360000000000001</v>
      </c>
      <c r="N17" s="186">
        <f t="shared" ref="N17" si="71">L17*M17</f>
        <v>170.51474400000001</v>
      </c>
      <c r="O17" s="188">
        <f t="shared" ref="O17:O21" si="72">VLOOKUP(J17,Tarifa1,2)</f>
        <v>699.3</v>
      </c>
      <c r="P17" s="186">
        <f t="shared" ref="P17" si="73">N17+O17</f>
        <v>869.81474400000002</v>
      </c>
      <c r="Q17" s="186">
        <f t="shared" ref="Q17:Q21" si="74">VLOOKUP(J17,Credito1,2)</f>
        <v>0</v>
      </c>
      <c r="R17" s="186">
        <f t="shared" ref="R17" si="75">ROUND(P17-Q17,2)</f>
        <v>869.81</v>
      </c>
      <c r="S17" s="185">
        <f t="shared" ref="S17" si="76">-IF(R17&gt;0,0,R17)</f>
        <v>0</v>
      </c>
      <c r="T17" s="185">
        <f t="shared" ref="T17" si="77">IF(R17&lt;0,0,R17)</f>
        <v>869.81</v>
      </c>
      <c r="U17" s="185">
        <f>SUM(T17:T17)</f>
        <v>869.81</v>
      </c>
      <c r="V17" s="185">
        <f>H17+S17-U17</f>
        <v>6531.1900000000005</v>
      </c>
      <c r="W17" s="91"/>
      <c r="X17" s="4"/>
    </row>
    <row r="18" spans="1:24" ht="77.099999999999994" customHeight="1" x14ac:dyDescent="0.25">
      <c r="A18" s="233"/>
      <c r="B18" s="178" t="s">
        <v>292</v>
      </c>
      <c r="C18" s="178" t="s">
        <v>117</v>
      </c>
      <c r="D18" s="179" t="s">
        <v>82</v>
      </c>
      <c r="E18" s="181"/>
      <c r="F18" s="183">
        <v>7401</v>
      </c>
      <c r="G18" s="184">
        <v>0</v>
      </c>
      <c r="H18" s="185">
        <f t="shared" ref="H18:H21" si="78">SUM(F18:G18)</f>
        <v>7401</v>
      </c>
      <c r="I18" s="186">
        <f t="shared" si="66"/>
        <v>0</v>
      </c>
      <c r="J18" s="186">
        <f t="shared" ref="J18:J21" si="79">F18+I18</f>
        <v>7401</v>
      </c>
      <c r="K18" s="186">
        <f t="shared" si="68"/>
        <v>6602.71</v>
      </c>
      <c r="L18" s="186">
        <f t="shared" ref="L18:L21" si="80">J18-K18</f>
        <v>798.29</v>
      </c>
      <c r="M18" s="187">
        <f t="shared" si="70"/>
        <v>0.21360000000000001</v>
      </c>
      <c r="N18" s="186">
        <f t="shared" ref="N18:N21" si="81">L18*M18</f>
        <v>170.51474400000001</v>
      </c>
      <c r="O18" s="188">
        <f t="shared" si="72"/>
        <v>699.3</v>
      </c>
      <c r="P18" s="186">
        <f t="shared" ref="P18:P21" si="82">N18+O18</f>
        <v>869.81474400000002</v>
      </c>
      <c r="Q18" s="186">
        <f t="shared" si="74"/>
        <v>0</v>
      </c>
      <c r="R18" s="186">
        <f t="shared" ref="R18:R21" si="83">ROUND(P18-Q18,2)</f>
        <v>869.81</v>
      </c>
      <c r="S18" s="185">
        <f t="shared" ref="S18:S21" si="84">-IF(R18&gt;0,0,R18)</f>
        <v>0</v>
      </c>
      <c r="T18" s="185">
        <f t="shared" ref="T18:T21" si="85">IF(R18&lt;0,0,R18)</f>
        <v>869.81</v>
      </c>
      <c r="U18" s="185">
        <f>SUM(T18:T18)</f>
        <v>869.81</v>
      </c>
      <c r="V18" s="185">
        <f>H18+S18-U18</f>
        <v>6531.1900000000005</v>
      </c>
      <c r="W18" s="91"/>
      <c r="X18" s="4"/>
    </row>
    <row r="19" spans="1:24" ht="77.099999999999994" customHeight="1" x14ac:dyDescent="0.25">
      <c r="A19" s="233"/>
      <c r="B19" s="178" t="s">
        <v>293</v>
      </c>
      <c r="C19" s="178" t="s">
        <v>117</v>
      </c>
      <c r="D19" s="179" t="s">
        <v>82</v>
      </c>
      <c r="E19" s="181"/>
      <c r="F19" s="183">
        <v>7401</v>
      </c>
      <c r="G19" s="184">
        <v>0</v>
      </c>
      <c r="H19" s="185">
        <f t="shared" si="78"/>
        <v>7401</v>
      </c>
      <c r="I19" s="186">
        <f t="shared" si="66"/>
        <v>0</v>
      </c>
      <c r="J19" s="186">
        <f t="shared" si="79"/>
        <v>7401</v>
      </c>
      <c r="K19" s="186">
        <f t="shared" si="68"/>
        <v>6602.71</v>
      </c>
      <c r="L19" s="186">
        <f t="shared" si="80"/>
        <v>798.29</v>
      </c>
      <c r="M19" s="187">
        <f t="shared" si="70"/>
        <v>0.21360000000000001</v>
      </c>
      <c r="N19" s="186">
        <f t="shared" si="81"/>
        <v>170.51474400000001</v>
      </c>
      <c r="O19" s="188">
        <f t="shared" si="72"/>
        <v>699.3</v>
      </c>
      <c r="P19" s="186">
        <f t="shared" si="82"/>
        <v>869.81474400000002</v>
      </c>
      <c r="Q19" s="186">
        <f t="shared" si="74"/>
        <v>0</v>
      </c>
      <c r="R19" s="186">
        <f t="shared" si="83"/>
        <v>869.81</v>
      </c>
      <c r="S19" s="185">
        <f t="shared" si="84"/>
        <v>0</v>
      </c>
      <c r="T19" s="185">
        <f t="shared" si="85"/>
        <v>869.81</v>
      </c>
      <c r="U19" s="185">
        <f>SUM(T19:T19)</f>
        <v>869.81</v>
      </c>
      <c r="V19" s="185">
        <f>H19+S19-U19</f>
        <v>6531.1900000000005</v>
      </c>
      <c r="W19" s="91"/>
      <c r="X19" s="4"/>
    </row>
    <row r="20" spans="1:24" ht="77.099999999999994" customHeight="1" x14ac:dyDescent="0.25">
      <c r="A20" s="233"/>
      <c r="B20" s="178" t="s">
        <v>296</v>
      </c>
      <c r="C20" s="178" t="s">
        <v>117</v>
      </c>
      <c r="D20" s="179" t="s">
        <v>82</v>
      </c>
      <c r="E20" s="181"/>
      <c r="F20" s="183">
        <v>7401</v>
      </c>
      <c r="G20" s="184">
        <v>0</v>
      </c>
      <c r="H20" s="185">
        <f t="shared" si="78"/>
        <v>7401</v>
      </c>
      <c r="I20" s="186">
        <f t="shared" si="66"/>
        <v>0</v>
      </c>
      <c r="J20" s="186">
        <f t="shared" si="79"/>
        <v>7401</v>
      </c>
      <c r="K20" s="186">
        <f t="shared" si="68"/>
        <v>6602.71</v>
      </c>
      <c r="L20" s="186">
        <f t="shared" si="80"/>
        <v>798.29</v>
      </c>
      <c r="M20" s="187">
        <f t="shared" si="70"/>
        <v>0.21360000000000001</v>
      </c>
      <c r="N20" s="186">
        <f t="shared" si="81"/>
        <v>170.51474400000001</v>
      </c>
      <c r="O20" s="188">
        <f t="shared" si="72"/>
        <v>699.3</v>
      </c>
      <c r="P20" s="186">
        <f t="shared" si="82"/>
        <v>869.81474400000002</v>
      </c>
      <c r="Q20" s="186">
        <f t="shared" si="74"/>
        <v>0</v>
      </c>
      <c r="R20" s="186">
        <f t="shared" si="83"/>
        <v>869.81</v>
      </c>
      <c r="S20" s="185">
        <f t="shared" si="84"/>
        <v>0</v>
      </c>
      <c r="T20" s="185">
        <f t="shared" si="85"/>
        <v>869.81</v>
      </c>
      <c r="U20" s="185">
        <f>SUM(T20:T20)</f>
        <v>869.81</v>
      </c>
      <c r="V20" s="185">
        <f>H20+S20-U20</f>
        <v>6531.1900000000005</v>
      </c>
      <c r="W20" s="91"/>
      <c r="X20" s="4"/>
    </row>
    <row r="21" spans="1:24" ht="77.099999999999994" customHeight="1" x14ac:dyDescent="0.25">
      <c r="A21" s="233"/>
      <c r="B21" s="178" t="s">
        <v>301</v>
      </c>
      <c r="C21" s="178" t="s">
        <v>117</v>
      </c>
      <c r="D21" s="179" t="s">
        <v>82</v>
      </c>
      <c r="E21" s="181"/>
      <c r="F21" s="183">
        <v>7401</v>
      </c>
      <c r="G21" s="184">
        <v>0</v>
      </c>
      <c r="H21" s="185">
        <f t="shared" si="78"/>
        <v>7401</v>
      </c>
      <c r="I21" s="186">
        <f t="shared" si="66"/>
        <v>0</v>
      </c>
      <c r="J21" s="186">
        <f t="shared" si="79"/>
        <v>7401</v>
      </c>
      <c r="K21" s="186">
        <f t="shared" si="68"/>
        <v>6602.71</v>
      </c>
      <c r="L21" s="186">
        <f t="shared" si="80"/>
        <v>798.29</v>
      </c>
      <c r="M21" s="187">
        <f t="shared" si="70"/>
        <v>0.21360000000000001</v>
      </c>
      <c r="N21" s="186">
        <f t="shared" si="81"/>
        <v>170.51474400000001</v>
      </c>
      <c r="O21" s="188">
        <f t="shared" si="72"/>
        <v>699.3</v>
      </c>
      <c r="P21" s="186">
        <f t="shared" si="82"/>
        <v>869.81474400000002</v>
      </c>
      <c r="Q21" s="186">
        <f t="shared" si="74"/>
        <v>0</v>
      </c>
      <c r="R21" s="186">
        <f t="shared" si="83"/>
        <v>869.81</v>
      </c>
      <c r="S21" s="185">
        <f t="shared" si="84"/>
        <v>0</v>
      </c>
      <c r="T21" s="185">
        <f t="shared" si="85"/>
        <v>869.81</v>
      </c>
      <c r="U21" s="185">
        <f>SUM(T21:T21)</f>
        <v>869.81</v>
      </c>
      <c r="V21" s="185">
        <f>H21+S21-U21</f>
        <v>6531.1900000000005</v>
      </c>
      <c r="W21" s="91"/>
      <c r="X21" s="4"/>
    </row>
    <row r="22" spans="1:24" ht="77.099999999999994" customHeight="1" x14ac:dyDescent="0.25">
      <c r="A22" s="233"/>
      <c r="B22" s="178" t="s">
        <v>317</v>
      </c>
      <c r="C22" s="178" t="s">
        <v>117</v>
      </c>
      <c r="D22" s="179" t="s">
        <v>82</v>
      </c>
      <c r="E22" s="181"/>
      <c r="F22" s="183">
        <v>7401</v>
      </c>
      <c r="G22" s="184">
        <v>0</v>
      </c>
      <c r="H22" s="185">
        <f t="shared" ref="H22" si="86">SUM(F22:G22)</f>
        <v>7401</v>
      </c>
      <c r="I22" s="186">
        <f t="shared" ref="I22" si="87">IF(F22/15&lt;=SMG,0,G22/2)</f>
        <v>0</v>
      </c>
      <c r="J22" s="186">
        <f t="shared" ref="J22" si="88">F22+I22</f>
        <v>7401</v>
      </c>
      <c r="K22" s="186">
        <f t="shared" ref="K22" si="89">VLOOKUP(J22,Tarifa1,1)</f>
        <v>6602.71</v>
      </c>
      <c r="L22" s="186">
        <f t="shared" ref="L22" si="90">J22-K22</f>
        <v>798.29</v>
      </c>
      <c r="M22" s="187">
        <f t="shared" ref="M22" si="91">VLOOKUP(J22,Tarifa1,3)</f>
        <v>0.21360000000000001</v>
      </c>
      <c r="N22" s="186">
        <f t="shared" ref="N22" si="92">L22*M22</f>
        <v>170.51474400000001</v>
      </c>
      <c r="O22" s="188">
        <f t="shared" ref="O22" si="93">VLOOKUP(J22,Tarifa1,2)</f>
        <v>699.3</v>
      </c>
      <c r="P22" s="186">
        <f t="shared" ref="P22" si="94">N22+O22</f>
        <v>869.81474400000002</v>
      </c>
      <c r="Q22" s="186">
        <f t="shared" ref="Q22" si="95">VLOOKUP(J22,Credito1,2)</f>
        <v>0</v>
      </c>
      <c r="R22" s="186">
        <f t="shared" ref="R22" si="96">ROUND(P22-Q22,2)</f>
        <v>869.81</v>
      </c>
      <c r="S22" s="185">
        <f t="shared" ref="S22" si="97">-IF(R22&gt;0,0,R22)</f>
        <v>0</v>
      </c>
      <c r="T22" s="185">
        <f t="shared" ref="T22" si="98">IF(R22&lt;0,0,R22)</f>
        <v>869.81</v>
      </c>
      <c r="U22" s="185">
        <f>SUM(T22:T22)</f>
        <v>869.81</v>
      </c>
      <c r="V22" s="185">
        <f>H22+S22-U22</f>
        <v>6531.1900000000005</v>
      </c>
      <c r="W22" s="91"/>
      <c r="X22" s="4"/>
    </row>
    <row r="23" spans="1:24" ht="29.25" customHeight="1" thickBot="1" x14ac:dyDescent="0.3">
      <c r="A23" s="263" t="s">
        <v>45</v>
      </c>
      <c r="B23" s="264"/>
      <c r="C23" s="264"/>
      <c r="D23" s="264"/>
      <c r="E23" s="264"/>
      <c r="F23" s="192">
        <f>SUM(F9:F22)</f>
        <v>108495</v>
      </c>
      <c r="G23" s="192">
        <f>SUM(G9:G22)</f>
        <v>0</v>
      </c>
      <c r="H23" s="192">
        <f>SUM(H9:H22)</f>
        <v>108495</v>
      </c>
      <c r="I23" s="193">
        <f t="shared" ref="I23:R23" si="99">SUM(I9:I14)</f>
        <v>0</v>
      </c>
      <c r="J23" s="193">
        <f t="shared" si="99"/>
        <v>49287</v>
      </c>
      <c r="K23" s="193">
        <f t="shared" si="99"/>
        <v>39616.26</v>
      </c>
      <c r="L23" s="193">
        <f t="shared" si="99"/>
        <v>9670.7400000000016</v>
      </c>
      <c r="M23" s="193">
        <f t="shared" si="99"/>
        <v>1.2816000000000001</v>
      </c>
      <c r="N23" s="193">
        <f t="shared" si="99"/>
        <v>2065.6700639999999</v>
      </c>
      <c r="O23" s="193">
        <f t="shared" si="99"/>
        <v>4195.8</v>
      </c>
      <c r="P23" s="193">
        <f t="shared" si="99"/>
        <v>6261.4700640000001</v>
      </c>
      <c r="Q23" s="193">
        <f t="shared" si="99"/>
        <v>0</v>
      </c>
      <c r="R23" s="193">
        <f t="shared" si="99"/>
        <v>6261.4600000000009</v>
      </c>
      <c r="S23" s="192">
        <f>SUM(S9:S22)</f>
        <v>0</v>
      </c>
      <c r="T23" s="192">
        <f>SUM(T9:T22)</f>
        <v>13219.939999999997</v>
      </c>
      <c r="U23" s="192">
        <f>SUM(U9:U22)</f>
        <v>13219.939999999997</v>
      </c>
      <c r="V23" s="192">
        <f>SUM(V9:V22)</f>
        <v>95275.060000000012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7"/>
  <sheetViews>
    <sheetView topLeftCell="B11" zoomScale="73" zoomScaleNormal="73" workbookViewId="0">
      <selection activeCell="W11" sqref="W1:W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39.140625" style="68" customWidth="1"/>
    <col min="5" max="5" width="19.5703125" style="68" customWidth="1"/>
    <col min="6" max="6" width="6.5703125" style="68" hidden="1" customWidth="1"/>
    <col min="7" max="7" width="10" style="68" hidden="1" customWidth="1"/>
    <col min="8" max="8" width="16.28515625" style="68" customWidth="1"/>
    <col min="9" max="9" width="14" style="68" customWidth="1"/>
    <col min="10" max="10" width="12.7109375" style="68" hidden="1" customWidth="1"/>
    <col min="11" max="11" width="13.140625" style="68" hidden="1" customWidth="1"/>
    <col min="12" max="14" width="11" style="68" hidden="1" customWidth="1"/>
    <col min="15" max="16" width="13.140625" style="68" hidden="1" customWidth="1"/>
    <col min="17" max="17" width="10.5703125" style="68" hidden="1" customWidth="1"/>
    <col min="18" max="19" width="13.140625" style="68" hidden="1" customWidth="1"/>
    <col min="20" max="20" width="11.5703125" style="68" hidden="1" customWidth="1"/>
    <col min="21" max="21" width="9.7109375" style="68" hidden="1" customWidth="1"/>
    <col min="22" max="22" width="14.42578125" style="68" customWidth="1"/>
    <col min="23" max="23" width="13" style="68" customWidth="1"/>
    <col min="24" max="24" width="15.85546875" style="68" customWidth="1"/>
    <col min="25" max="25" width="76" style="68" customWidth="1"/>
    <col min="26" max="16384" width="11.42578125" style="68"/>
  </cols>
  <sheetData>
    <row r="1" spans="1:25" ht="18" x14ac:dyDescent="0.25">
      <c r="A1" s="276" t="s">
        <v>79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9"/>
      <c r="B6" s="69"/>
      <c r="C6" s="69"/>
      <c r="D6" s="69"/>
      <c r="E6" s="69"/>
      <c r="F6" s="70" t="s">
        <v>23</v>
      </c>
      <c r="G6" s="70" t="s">
        <v>6</v>
      </c>
      <c r="H6" s="298" t="s">
        <v>1</v>
      </c>
      <c r="I6" s="299"/>
      <c r="J6" s="300"/>
      <c r="K6" s="71" t="s">
        <v>26</v>
      </c>
      <c r="L6" s="72"/>
      <c r="M6" s="301" t="s">
        <v>9</v>
      </c>
      <c r="N6" s="302"/>
      <c r="O6" s="302"/>
      <c r="P6" s="302"/>
      <c r="Q6" s="302"/>
      <c r="R6" s="303"/>
      <c r="S6" s="71" t="s">
        <v>30</v>
      </c>
      <c r="T6" s="71" t="s">
        <v>10</v>
      </c>
      <c r="U6" s="70" t="s">
        <v>54</v>
      </c>
      <c r="V6" s="304" t="s">
        <v>2</v>
      </c>
      <c r="W6" s="305"/>
      <c r="X6" s="70" t="s">
        <v>0</v>
      </c>
      <c r="Y6" s="73"/>
    </row>
    <row r="7" spans="1:25" ht="22.5" x14ac:dyDescent="0.2">
      <c r="A7" s="74" t="s">
        <v>21</v>
      </c>
      <c r="B7" s="75" t="s">
        <v>103</v>
      </c>
      <c r="C7" s="75" t="s">
        <v>118</v>
      </c>
      <c r="D7" s="74" t="s">
        <v>22</v>
      </c>
      <c r="E7" s="74"/>
      <c r="F7" s="76" t="s">
        <v>24</v>
      </c>
      <c r="G7" s="74" t="s">
        <v>25</v>
      </c>
      <c r="H7" s="70" t="s">
        <v>6</v>
      </c>
      <c r="I7" s="70" t="s">
        <v>59</v>
      </c>
      <c r="J7" s="70" t="s">
        <v>28</v>
      </c>
      <c r="K7" s="77" t="s">
        <v>27</v>
      </c>
      <c r="L7" s="72" t="s">
        <v>32</v>
      </c>
      <c r="M7" s="72" t="s">
        <v>12</v>
      </c>
      <c r="N7" s="72" t="s">
        <v>34</v>
      </c>
      <c r="O7" s="72" t="s">
        <v>36</v>
      </c>
      <c r="P7" s="72" t="s">
        <v>37</v>
      </c>
      <c r="Q7" s="72" t="s">
        <v>14</v>
      </c>
      <c r="R7" s="72" t="s">
        <v>10</v>
      </c>
      <c r="S7" s="77" t="s">
        <v>40</v>
      </c>
      <c r="T7" s="77" t="s">
        <v>41</v>
      </c>
      <c r="U7" s="74" t="s">
        <v>31</v>
      </c>
      <c r="V7" s="70" t="s">
        <v>3</v>
      </c>
      <c r="W7" s="70" t="s">
        <v>7</v>
      </c>
      <c r="X7" s="74" t="s">
        <v>4</v>
      </c>
      <c r="Y7" s="78" t="s">
        <v>58</v>
      </c>
    </row>
    <row r="8" spans="1:25" x14ac:dyDescent="0.2">
      <c r="A8" s="79"/>
      <c r="B8" s="74"/>
      <c r="C8" s="74"/>
      <c r="D8" s="74"/>
      <c r="E8" s="74"/>
      <c r="F8" s="74"/>
      <c r="G8" s="74"/>
      <c r="H8" s="74" t="s">
        <v>47</v>
      </c>
      <c r="I8" s="74" t="s">
        <v>60</v>
      </c>
      <c r="J8" s="74" t="s">
        <v>29</v>
      </c>
      <c r="K8" s="77" t="s">
        <v>43</v>
      </c>
      <c r="L8" s="71" t="s">
        <v>33</v>
      </c>
      <c r="M8" s="71" t="s">
        <v>13</v>
      </c>
      <c r="N8" s="71" t="s">
        <v>35</v>
      </c>
      <c r="O8" s="71" t="s">
        <v>35</v>
      </c>
      <c r="P8" s="71" t="s">
        <v>38</v>
      </c>
      <c r="Q8" s="71" t="s">
        <v>15</v>
      </c>
      <c r="R8" s="71" t="s">
        <v>39</v>
      </c>
      <c r="S8" s="77" t="s">
        <v>19</v>
      </c>
      <c r="T8" s="80" t="s">
        <v>132</v>
      </c>
      <c r="U8" s="74" t="s">
        <v>53</v>
      </c>
      <c r="V8" s="74"/>
      <c r="W8" s="74" t="s">
        <v>44</v>
      </c>
      <c r="X8" s="74" t="s">
        <v>5</v>
      </c>
      <c r="Y8" s="81"/>
    </row>
    <row r="9" spans="1:25" ht="36" x14ac:dyDescent="0.25">
      <c r="A9" s="82"/>
      <c r="B9" s="83"/>
      <c r="C9" s="83"/>
      <c r="D9" s="236" t="s">
        <v>139</v>
      </c>
      <c r="E9" s="84" t="s">
        <v>62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5"/>
    </row>
    <row r="10" spans="1:25" ht="54.75" customHeight="1" x14ac:dyDescent="0.25">
      <c r="A10" s="82"/>
      <c r="B10" s="178" t="s">
        <v>321</v>
      </c>
      <c r="C10" s="178" t="s">
        <v>117</v>
      </c>
      <c r="D10" s="234" t="s">
        <v>319</v>
      </c>
      <c r="E10" s="180" t="s">
        <v>320</v>
      </c>
      <c r="F10" s="181"/>
      <c r="G10" s="182"/>
      <c r="H10" s="183">
        <v>9268.77</v>
      </c>
      <c r="I10" s="184">
        <v>0</v>
      </c>
      <c r="J10" s="185">
        <f t="shared" ref="J10" si="0">SUM(H10:I10)</f>
        <v>9268.77</v>
      </c>
      <c r="K10" s="186">
        <f t="shared" ref="K10" si="1">IF(H10/15&lt;=SMG,0,I10/2)</f>
        <v>0</v>
      </c>
      <c r="L10" s="186">
        <f t="shared" ref="L10" si="2">H10+K10</f>
        <v>9268.77</v>
      </c>
      <c r="M10" s="186">
        <f t="shared" ref="M10" si="3">VLOOKUP(L10,Tarifa1,1)</f>
        <v>6602.71</v>
      </c>
      <c r="N10" s="186">
        <f t="shared" ref="N10" si="4">L10-M10</f>
        <v>2666.0600000000004</v>
      </c>
      <c r="O10" s="187">
        <f t="shared" ref="O10" si="5">VLOOKUP(L10,Tarifa1,3)</f>
        <v>0.21360000000000001</v>
      </c>
      <c r="P10" s="186">
        <f t="shared" ref="P10" si="6">N10*O10</f>
        <v>569.47041600000011</v>
      </c>
      <c r="Q10" s="188">
        <f t="shared" ref="Q10" si="7">VLOOKUP(L10,Tarifa1,2)</f>
        <v>699.3</v>
      </c>
      <c r="R10" s="186">
        <f t="shared" ref="R10" si="8">P10+Q10</f>
        <v>1268.7704160000001</v>
      </c>
      <c r="S10" s="186">
        <f t="shared" ref="S10" si="9">VLOOKUP(L10,Credito1,2)</f>
        <v>0</v>
      </c>
      <c r="T10" s="186">
        <f t="shared" ref="T10" si="10">ROUND(R10-S10,2)</f>
        <v>1268.77</v>
      </c>
      <c r="U10" s="185">
        <f t="shared" ref="U10" si="11">-IF(T10&gt;0,0,T10)</f>
        <v>0</v>
      </c>
      <c r="V10" s="185">
        <f t="shared" ref="V10" si="12">IF(T10&lt;0,0,T10)</f>
        <v>1268.77</v>
      </c>
      <c r="W10" s="185">
        <f>SUM(V10:V10)</f>
        <v>1268.77</v>
      </c>
      <c r="X10" s="185">
        <f>J10+U10-W10</f>
        <v>8000</v>
      </c>
      <c r="Y10" s="253"/>
    </row>
    <row r="11" spans="1:25" s="95" customFormat="1" ht="80.099999999999994" customHeight="1" x14ac:dyDescent="0.25">
      <c r="A11" s="117"/>
      <c r="B11" s="178" t="s">
        <v>299</v>
      </c>
      <c r="C11" s="178" t="s">
        <v>117</v>
      </c>
      <c r="D11" s="234" t="s">
        <v>298</v>
      </c>
      <c r="E11" s="180" t="s">
        <v>300</v>
      </c>
      <c r="F11" s="181"/>
      <c r="G11" s="182"/>
      <c r="H11" s="183">
        <v>6725.54</v>
      </c>
      <c r="I11" s="184">
        <v>0</v>
      </c>
      <c r="J11" s="185">
        <f>SUM(H11:I11)</f>
        <v>6725.54</v>
      </c>
      <c r="K11" s="186">
        <f>IF(H11/15&lt;=SMG,0,I11/2)</f>
        <v>0</v>
      </c>
      <c r="L11" s="186">
        <f t="shared" ref="L11:L13" si="13">H11+K11</f>
        <v>6725.54</v>
      </c>
      <c r="M11" s="186">
        <f>VLOOKUP(L11,Tarifa1,1)</f>
        <v>6602.71</v>
      </c>
      <c r="N11" s="186">
        <f t="shared" ref="N11:N13" si="14">L11-M11</f>
        <v>122.82999999999993</v>
      </c>
      <c r="O11" s="187">
        <f>VLOOKUP(L11,Tarifa1,3)</f>
        <v>0.21360000000000001</v>
      </c>
      <c r="P11" s="186">
        <f t="shared" ref="P11:P13" si="15">N11*O11</f>
        <v>26.236487999999987</v>
      </c>
      <c r="Q11" s="188">
        <f>VLOOKUP(L11,Tarifa1,2)</f>
        <v>699.3</v>
      </c>
      <c r="R11" s="186">
        <f t="shared" ref="R11:R13" si="16">P11+Q11</f>
        <v>725.53648799999996</v>
      </c>
      <c r="S11" s="189">
        <f>VLOOKUP(L11,Credito1,2)</f>
        <v>0</v>
      </c>
      <c r="T11" s="186">
        <f t="shared" ref="T11:T13" si="17">ROUND(R11-S11,2)</f>
        <v>725.54</v>
      </c>
      <c r="U11" s="185">
        <f>-IF(T11&gt;0,0,T11)</f>
        <v>0</v>
      </c>
      <c r="V11" s="185">
        <f>IF(T11&lt;0,0,T11)</f>
        <v>725.54</v>
      </c>
      <c r="W11" s="185">
        <f>SUM(V11:V11)</f>
        <v>725.54</v>
      </c>
      <c r="X11" s="185">
        <f>J11+U11-W11</f>
        <v>6000</v>
      </c>
      <c r="Y11" s="94"/>
    </row>
    <row r="12" spans="1:25" s="95" customFormat="1" ht="80.099999999999994" customHeight="1" x14ac:dyDescent="0.25">
      <c r="A12" s="117"/>
      <c r="B12" s="178" t="s">
        <v>308</v>
      </c>
      <c r="C12" s="178" t="s">
        <v>117</v>
      </c>
      <c r="D12" s="234" t="s">
        <v>316</v>
      </c>
      <c r="E12" s="180" t="s">
        <v>137</v>
      </c>
      <c r="F12" s="181"/>
      <c r="G12" s="182"/>
      <c r="H12" s="183">
        <v>6028</v>
      </c>
      <c r="I12" s="184">
        <v>0</v>
      </c>
      <c r="J12" s="185">
        <f t="shared" ref="J12" si="18">SUM(H12:I12)</f>
        <v>6028</v>
      </c>
      <c r="K12" s="186">
        <f t="shared" ref="K12" si="19">IF(H12/15&lt;=SMG,0,I12/2)</f>
        <v>0</v>
      </c>
      <c r="L12" s="186">
        <f t="shared" si="13"/>
        <v>6028</v>
      </c>
      <c r="M12" s="186">
        <f t="shared" ref="M12" si="20">VLOOKUP(L12,Tarifa1,1)</f>
        <v>5514.76</v>
      </c>
      <c r="N12" s="186">
        <f t="shared" si="14"/>
        <v>513.23999999999978</v>
      </c>
      <c r="O12" s="187">
        <f t="shared" ref="O12" si="21">VLOOKUP(L12,Tarifa1,3)</f>
        <v>0.1792</v>
      </c>
      <c r="P12" s="186">
        <f t="shared" si="15"/>
        <v>91.972607999999966</v>
      </c>
      <c r="Q12" s="188">
        <f t="shared" ref="Q12" si="22">VLOOKUP(L12,Tarifa1,2)</f>
        <v>504.3</v>
      </c>
      <c r="R12" s="186">
        <f t="shared" si="16"/>
        <v>596.27260799999999</v>
      </c>
      <c r="S12" s="186">
        <f t="shared" ref="S12" si="23">VLOOKUP(L12,Credito1,2)</f>
        <v>0</v>
      </c>
      <c r="T12" s="186">
        <f t="shared" si="17"/>
        <v>596.27</v>
      </c>
      <c r="U12" s="185">
        <f t="shared" ref="U12" si="24">-IF(T12&gt;0,0,T12)</f>
        <v>0</v>
      </c>
      <c r="V12" s="185">
        <f t="shared" ref="V12" si="25">IF(T12&lt;0,0,T12)</f>
        <v>596.27</v>
      </c>
      <c r="W12" s="185">
        <f>SUM(V12:V12)</f>
        <v>596.27</v>
      </c>
      <c r="X12" s="185">
        <f>J12+U12-W12</f>
        <v>5431.73</v>
      </c>
      <c r="Y12" s="94"/>
    </row>
    <row r="13" spans="1:25" s="95" customFormat="1" ht="80.099999999999994" customHeight="1" x14ac:dyDescent="0.25">
      <c r="A13" s="117"/>
      <c r="B13" s="178" t="s">
        <v>218</v>
      </c>
      <c r="C13" s="178" t="s">
        <v>117</v>
      </c>
      <c r="D13" s="118" t="s">
        <v>217</v>
      </c>
      <c r="E13" s="179" t="s">
        <v>137</v>
      </c>
      <c r="F13" s="181"/>
      <c r="G13" s="182"/>
      <c r="H13" s="183">
        <v>5767.5</v>
      </c>
      <c r="I13" s="184">
        <v>0</v>
      </c>
      <c r="J13" s="185">
        <f t="shared" ref="J13" si="26">SUM(H13:I13)</f>
        <v>5767.5</v>
      </c>
      <c r="K13" s="186">
        <f t="shared" ref="K13" si="27">IF(H13/15&lt;=SMG,0,I13/2)</f>
        <v>0</v>
      </c>
      <c r="L13" s="186">
        <f t="shared" si="13"/>
        <v>5767.5</v>
      </c>
      <c r="M13" s="186">
        <f t="shared" ref="M13" si="28">VLOOKUP(L13,Tarifa1,1)</f>
        <v>5514.76</v>
      </c>
      <c r="N13" s="186">
        <f t="shared" si="14"/>
        <v>252.73999999999978</v>
      </c>
      <c r="O13" s="187">
        <f t="shared" ref="O13" si="29">VLOOKUP(L13,Tarifa1,3)</f>
        <v>0.1792</v>
      </c>
      <c r="P13" s="186">
        <f t="shared" si="15"/>
        <v>45.291007999999962</v>
      </c>
      <c r="Q13" s="188">
        <f t="shared" ref="Q13" si="30">VLOOKUP(L13,Tarifa1,2)</f>
        <v>504.3</v>
      </c>
      <c r="R13" s="186">
        <f t="shared" si="16"/>
        <v>549.59100799999999</v>
      </c>
      <c r="S13" s="186">
        <f t="shared" ref="S13" si="31">VLOOKUP(L13,Credito1,2)</f>
        <v>0</v>
      </c>
      <c r="T13" s="186">
        <f t="shared" si="17"/>
        <v>549.59</v>
      </c>
      <c r="U13" s="185">
        <f t="shared" ref="U13" si="32">-IF(T13&gt;0,0,T13)</f>
        <v>0</v>
      </c>
      <c r="V13" s="185">
        <f t="shared" ref="V13" si="33">IF(T13&lt;0,0,T13)</f>
        <v>549.59</v>
      </c>
      <c r="W13" s="185">
        <f>SUM(V13:V13)</f>
        <v>549.59</v>
      </c>
      <c r="X13" s="185">
        <f>J13+U13-W13</f>
        <v>5217.91</v>
      </c>
      <c r="Y13" s="94"/>
    </row>
    <row r="14" spans="1:25" s="95" customFormat="1" ht="80.099999999999994" customHeight="1" x14ac:dyDescent="0.25">
      <c r="A14" s="117" t="s">
        <v>93</v>
      </c>
      <c r="B14" s="178" t="s">
        <v>141</v>
      </c>
      <c r="C14" s="178" t="s">
        <v>159</v>
      </c>
      <c r="D14" s="118" t="s">
        <v>136</v>
      </c>
      <c r="E14" s="180" t="s">
        <v>138</v>
      </c>
      <c r="F14" s="181">
        <v>15</v>
      </c>
      <c r="G14" s="182">
        <f>H14/F14</f>
        <v>299.3</v>
      </c>
      <c r="H14" s="183">
        <v>4489.5</v>
      </c>
      <c r="I14" s="184">
        <v>0</v>
      </c>
      <c r="J14" s="185">
        <f>SUM(H14:I14)</f>
        <v>4489.5</v>
      </c>
      <c r="K14" s="186">
        <f t="shared" ref="K14:K15" si="34">IF(H14/15&lt;=SMG,0,I14/2)</f>
        <v>0</v>
      </c>
      <c r="L14" s="186">
        <f t="shared" ref="L14:L15" si="35">H14+K14</f>
        <v>4489.5</v>
      </c>
      <c r="M14" s="186">
        <f t="shared" ref="M14:M15" si="36">VLOOKUP(L14,Tarifa1,1)</f>
        <v>2699.41</v>
      </c>
      <c r="N14" s="186">
        <f t="shared" ref="N14:N15" si="37">L14-M14</f>
        <v>1790.0900000000001</v>
      </c>
      <c r="O14" s="187">
        <f t="shared" ref="O14:O15" si="38">VLOOKUP(L14,Tarifa1,3)</f>
        <v>0.10879999999999999</v>
      </c>
      <c r="P14" s="186">
        <f t="shared" ref="P14:P15" si="39">N14*O14</f>
        <v>194.76179200000001</v>
      </c>
      <c r="Q14" s="188">
        <f t="shared" ref="Q14:Q15" si="40">VLOOKUP(L14,Tarifa1,2)</f>
        <v>158.55000000000001</v>
      </c>
      <c r="R14" s="186">
        <f t="shared" ref="R14:R15" si="41">P14+Q14</f>
        <v>353.31179200000003</v>
      </c>
      <c r="S14" s="186">
        <f t="shared" ref="S14:S15" si="42">VLOOKUP(L14,Credito1,2)</f>
        <v>0</v>
      </c>
      <c r="T14" s="186">
        <f t="shared" ref="T14:T15" si="43">ROUND(R14-S14,2)</f>
        <v>353.31</v>
      </c>
      <c r="U14" s="185">
        <f>-IF(T14&gt;0,0,T14)</f>
        <v>0</v>
      </c>
      <c r="V14" s="185">
        <f t="shared" ref="V14" si="44">IF(T14&lt;0,0,T14)</f>
        <v>353.31</v>
      </c>
      <c r="W14" s="185">
        <f>SUM(V14:V14)</f>
        <v>353.31</v>
      </c>
      <c r="X14" s="185">
        <f>J14+U14-W14</f>
        <v>4136.1899999999996</v>
      </c>
      <c r="Y14" s="94"/>
    </row>
    <row r="15" spans="1:25" s="95" customFormat="1" ht="80.099999999999994" customHeight="1" x14ac:dyDescent="0.25">
      <c r="A15" s="233"/>
      <c r="B15" s="178" t="s">
        <v>142</v>
      </c>
      <c r="C15" s="178" t="s">
        <v>117</v>
      </c>
      <c r="D15" s="234" t="s">
        <v>135</v>
      </c>
      <c r="E15" s="180" t="s">
        <v>138</v>
      </c>
      <c r="F15" s="181">
        <v>15</v>
      </c>
      <c r="G15" s="182">
        <f>H15/F15</f>
        <v>299.3</v>
      </c>
      <c r="H15" s="183">
        <v>4489.5</v>
      </c>
      <c r="I15" s="184">
        <v>0</v>
      </c>
      <c r="J15" s="185">
        <f>SUM(H15:I15)</f>
        <v>4489.5</v>
      </c>
      <c r="K15" s="186">
        <f t="shared" si="34"/>
        <v>0</v>
      </c>
      <c r="L15" s="186">
        <f t="shared" si="35"/>
        <v>4489.5</v>
      </c>
      <c r="M15" s="186">
        <f t="shared" si="36"/>
        <v>2699.41</v>
      </c>
      <c r="N15" s="186">
        <f t="shared" si="37"/>
        <v>1790.0900000000001</v>
      </c>
      <c r="O15" s="187">
        <f t="shared" si="38"/>
        <v>0.10879999999999999</v>
      </c>
      <c r="P15" s="186">
        <f t="shared" si="39"/>
        <v>194.76179200000001</v>
      </c>
      <c r="Q15" s="188">
        <f t="shared" si="40"/>
        <v>158.55000000000001</v>
      </c>
      <c r="R15" s="186">
        <f t="shared" si="41"/>
        <v>353.31179200000003</v>
      </c>
      <c r="S15" s="186">
        <f t="shared" si="42"/>
        <v>0</v>
      </c>
      <c r="T15" s="186">
        <f t="shared" si="43"/>
        <v>353.31</v>
      </c>
      <c r="U15" s="185">
        <f>-IF(T15&gt;0,0,T15)</f>
        <v>0</v>
      </c>
      <c r="V15" s="185">
        <f t="shared" ref="V15" si="45">IF(T15&lt;0,0,T15)</f>
        <v>353.31</v>
      </c>
      <c r="W15" s="185">
        <f>SUM(V15:V15)</f>
        <v>353.31</v>
      </c>
      <c r="X15" s="185">
        <f>J15+U15-W15</f>
        <v>4136.1899999999996</v>
      </c>
      <c r="Y15" s="94"/>
    </row>
    <row r="16" spans="1:25" ht="40.5" customHeight="1" thickBot="1" x14ac:dyDescent="0.3">
      <c r="A16" s="263" t="s">
        <v>45</v>
      </c>
      <c r="B16" s="264"/>
      <c r="C16" s="264"/>
      <c r="D16" s="264"/>
      <c r="E16" s="264"/>
      <c r="F16" s="264"/>
      <c r="G16" s="265"/>
      <c r="H16" s="192">
        <f>SUM(H10:H15)</f>
        <v>36768.81</v>
      </c>
      <c r="I16" s="192">
        <f>SUM(I10:I15)</f>
        <v>0</v>
      </c>
      <c r="J16" s="192">
        <f t="shared" ref="J16:U16" si="46">SUM(J11:J15)</f>
        <v>27500.04</v>
      </c>
      <c r="K16" s="193">
        <f t="shared" si="46"/>
        <v>0</v>
      </c>
      <c r="L16" s="193">
        <f t="shared" si="46"/>
        <v>27500.04</v>
      </c>
      <c r="M16" s="193">
        <f t="shared" si="46"/>
        <v>23031.050000000003</v>
      </c>
      <c r="N16" s="193">
        <f t="shared" si="46"/>
        <v>4468.99</v>
      </c>
      <c r="O16" s="193">
        <f t="shared" si="46"/>
        <v>0.78960000000000008</v>
      </c>
      <c r="P16" s="193">
        <f t="shared" si="46"/>
        <v>553.02368799999999</v>
      </c>
      <c r="Q16" s="193">
        <f t="shared" si="46"/>
        <v>2024.9999999999998</v>
      </c>
      <c r="R16" s="193">
        <f t="shared" si="46"/>
        <v>2578.0236879999998</v>
      </c>
      <c r="S16" s="193">
        <f t="shared" si="46"/>
        <v>0</v>
      </c>
      <c r="T16" s="193">
        <f t="shared" si="46"/>
        <v>2578.02</v>
      </c>
      <c r="U16" s="192">
        <f t="shared" si="46"/>
        <v>0</v>
      </c>
      <c r="V16" s="192">
        <f>SUM(V10:V15)</f>
        <v>3846.79</v>
      </c>
      <c r="W16" s="192">
        <f>SUM(W10:W15)</f>
        <v>3846.79</v>
      </c>
      <c r="X16" s="192">
        <f>SUM(X10:X15)</f>
        <v>32922.019999999997</v>
      </c>
    </row>
    <row r="17" spans="1:24" ht="18.75" thickTop="1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6"/>
  <sheetViews>
    <sheetView topLeftCell="C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6" t="s">
        <v>79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25.5" customHeight="1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1" s="52" customFormat="1" ht="15.75" x14ac:dyDescent="0.25">
      <c r="A5" s="48"/>
      <c r="B5" s="129"/>
      <c r="C5" s="129"/>
      <c r="D5" s="129"/>
      <c r="E5" s="129"/>
      <c r="F5" s="130" t="s">
        <v>23</v>
      </c>
      <c r="G5" s="130" t="s">
        <v>6</v>
      </c>
      <c r="H5" s="268" t="s">
        <v>1</v>
      </c>
      <c r="I5" s="269"/>
      <c r="J5" s="270"/>
      <c r="K5" s="131" t="s">
        <v>26</v>
      </c>
      <c r="L5" s="132"/>
      <c r="M5" s="271" t="s">
        <v>9</v>
      </c>
      <c r="N5" s="272"/>
      <c r="O5" s="272"/>
      <c r="P5" s="272"/>
      <c r="Q5" s="272"/>
      <c r="R5" s="273"/>
      <c r="S5" s="131" t="s">
        <v>54</v>
      </c>
      <c r="T5" s="131" t="s">
        <v>10</v>
      </c>
      <c r="U5" s="130" t="s">
        <v>54</v>
      </c>
      <c r="V5" s="274" t="s">
        <v>2</v>
      </c>
      <c r="W5" s="275"/>
      <c r="X5" s="130" t="s">
        <v>0</v>
      </c>
      <c r="Y5" s="48"/>
    </row>
    <row r="6" spans="1:31" s="52" customFormat="1" ht="29.25" customHeight="1" x14ac:dyDescent="0.25">
      <c r="A6" s="53" t="s">
        <v>21</v>
      </c>
      <c r="B6" s="133" t="s">
        <v>103</v>
      </c>
      <c r="C6" s="133" t="s">
        <v>126</v>
      </c>
      <c r="D6" s="134" t="s">
        <v>22</v>
      </c>
      <c r="E6" s="134"/>
      <c r="F6" s="135" t="s">
        <v>24</v>
      </c>
      <c r="G6" s="134" t="s">
        <v>25</v>
      </c>
      <c r="H6" s="130" t="s">
        <v>6</v>
      </c>
      <c r="I6" s="130" t="s">
        <v>59</v>
      </c>
      <c r="J6" s="130" t="s">
        <v>28</v>
      </c>
      <c r="K6" s="136" t="s">
        <v>27</v>
      </c>
      <c r="L6" s="132" t="s">
        <v>32</v>
      </c>
      <c r="M6" s="132" t="s">
        <v>12</v>
      </c>
      <c r="N6" s="132" t="s">
        <v>34</v>
      </c>
      <c r="O6" s="132" t="s">
        <v>36</v>
      </c>
      <c r="P6" s="132" t="s">
        <v>37</v>
      </c>
      <c r="Q6" s="132" t="s">
        <v>14</v>
      </c>
      <c r="R6" s="132" t="s">
        <v>10</v>
      </c>
      <c r="S6" s="136" t="s">
        <v>40</v>
      </c>
      <c r="T6" s="136" t="s">
        <v>41</v>
      </c>
      <c r="U6" s="134" t="s">
        <v>31</v>
      </c>
      <c r="V6" s="130" t="s">
        <v>3</v>
      </c>
      <c r="W6" s="130" t="s">
        <v>7</v>
      </c>
      <c r="X6" s="134" t="s">
        <v>4</v>
      </c>
      <c r="Y6" s="53" t="s">
        <v>58</v>
      </c>
    </row>
    <row r="7" spans="1:31" s="52" customFormat="1" ht="15.75" x14ac:dyDescent="0.25">
      <c r="A7" s="61"/>
      <c r="B7" s="137"/>
      <c r="C7" s="137"/>
      <c r="D7" s="138"/>
      <c r="E7" s="138"/>
      <c r="F7" s="138"/>
      <c r="G7" s="138"/>
      <c r="H7" s="138" t="s">
        <v>47</v>
      </c>
      <c r="I7" s="138" t="s">
        <v>60</v>
      </c>
      <c r="J7" s="138" t="s">
        <v>29</v>
      </c>
      <c r="K7" s="139" t="s">
        <v>43</v>
      </c>
      <c r="L7" s="131" t="s">
        <v>33</v>
      </c>
      <c r="M7" s="131" t="s">
        <v>13</v>
      </c>
      <c r="N7" s="131" t="s">
        <v>35</v>
      </c>
      <c r="O7" s="131" t="s">
        <v>35</v>
      </c>
      <c r="P7" s="131" t="s">
        <v>38</v>
      </c>
      <c r="Q7" s="131" t="s">
        <v>15</v>
      </c>
      <c r="R7" s="131" t="s">
        <v>39</v>
      </c>
      <c r="S7" s="136" t="s">
        <v>53</v>
      </c>
      <c r="T7" s="140" t="s">
        <v>234</v>
      </c>
      <c r="U7" s="138" t="s">
        <v>53</v>
      </c>
      <c r="V7" s="138"/>
      <c r="W7" s="138" t="s">
        <v>44</v>
      </c>
      <c r="X7" s="138" t="s">
        <v>5</v>
      </c>
      <c r="Y7" s="58"/>
    </row>
    <row r="8" spans="1:31" s="52" customFormat="1" ht="43.5" customHeight="1" x14ac:dyDescent="0.25">
      <c r="A8" s="63"/>
      <c r="B8" s="141" t="s">
        <v>103</v>
      </c>
      <c r="C8" s="141" t="s">
        <v>126</v>
      </c>
      <c r="D8" s="142" t="s">
        <v>63</v>
      </c>
      <c r="E8" s="143" t="s">
        <v>62</v>
      </c>
      <c r="F8" s="143"/>
      <c r="G8" s="143"/>
      <c r="H8" s="144">
        <f>SUM(H9:H11)</f>
        <v>46002.5</v>
      </c>
      <c r="I8" s="144">
        <f>SUM(I9:I11)</f>
        <v>0</v>
      </c>
      <c r="J8" s="144">
        <f>SUM(J9:J11)</f>
        <v>46002.5</v>
      </c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4">
        <f>SUM(U9:U11)</f>
        <v>0</v>
      </c>
      <c r="V8" s="144">
        <f>SUM(V9:V11)</f>
        <v>8415.6899999999987</v>
      </c>
      <c r="W8" s="144">
        <f>SUM(W9:W11)</f>
        <v>8415.6899999999987</v>
      </c>
      <c r="X8" s="144">
        <f>SUM(X9:X11)</f>
        <v>37586.81</v>
      </c>
      <c r="Y8" s="64"/>
    </row>
    <row r="9" spans="1:31" s="52" customFormat="1" ht="80.099999999999994" customHeight="1" x14ac:dyDescent="0.25">
      <c r="A9" s="86" t="s">
        <v>85</v>
      </c>
      <c r="B9" s="177" t="s">
        <v>227</v>
      </c>
      <c r="C9" s="178" t="s">
        <v>117</v>
      </c>
      <c r="D9" s="180" t="s">
        <v>228</v>
      </c>
      <c r="E9" s="179" t="s">
        <v>229</v>
      </c>
      <c r="F9" s="181">
        <v>10</v>
      </c>
      <c r="G9" s="182">
        <v>1677.25</v>
      </c>
      <c r="H9" s="183">
        <v>26898</v>
      </c>
      <c r="I9" s="184">
        <v>0</v>
      </c>
      <c r="J9" s="185">
        <f>SUM(H9:I9)</f>
        <v>26898</v>
      </c>
      <c r="K9" s="186">
        <f>IF(H9/15&lt;=SMG,0,I9/2)</f>
        <v>0</v>
      </c>
      <c r="L9" s="186">
        <f>H9+K9</f>
        <v>26898</v>
      </c>
      <c r="M9" s="186">
        <f>VLOOKUP(L9,Tarifa1,1)</f>
        <v>20988.91</v>
      </c>
      <c r="N9" s="186">
        <f>L9-M9</f>
        <v>5909.09</v>
      </c>
      <c r="O9" s="187">
        <f>VLOOKUP(L9,Tarifa1,3)</f>
        <v>0.3</v>
      </c>
      <c r="P9" s="186">
        <f>N9*O9</f>
        <v>1772.7270000000001</v>
      </c>
      <c r="Q9" s="188">
        <f>VLOOKUP(L9,Tarifa1,2)</f>
        <v>3937.8</v>
      </c>
      <c r="R9" s="186">
        <f>P9+Q9</f>
        <v>5710.527</v>
      </c>
      <c r="S9" s="186">
        <f>VLOOKUP(L9,Credito1,2)</f>
        <v>0</v>
      </c>
      <c r="T9" s="186">
        <f>ROUND(R9-S9,2)</f>
        <v>5710.53</v>
      </c>
      <c r="U9" s="185">
        <f>-IF(T9&gt;0,0,T9)</f>
        <v>0</v>
      </c>
      <c r="V9" s="194">
        <f>IF(T9&lt;0,0,T9)</f>
        <v>5710.53</v>
      </c>
      <c r="W9" s="185">
        <f>SUM(V9:V9)</f>
        <v>5710.53</v>
      </c>
      <c r="X9" s="185">
        <f>J9+U9-W9</f>
        <v>21187.47</v>
      </c>
      <c r="Y9" s="59"/>
    </row>
    <row r="10" spans="1:31" s="52" customFormat="1" ht="80.099999999999994" customHeight="1" x14ac:dyDescent="0.25">
      <c r="A10" s="86" t="s">
        <v>86</v>
      </c>
      <c r="B10" s="177" t="s">
        <v>166</v>
      </c>
      <c r="C10" s="178" t="s">
        <v>117</v>
      </c>
      <c r="D10" s="179" t="s">
        <v>156</v>
      </c>
      <c r="E10" s="180" t="s">
        <v>230</v>
      </c>
      <c r="F10" s="181">
        <v>10</v>
      </c>
      <c r="G10" s="182">
        <v>850.15</v>
      </c>
      <c r="H10" s="183">
        <v>13634</v>
      </c>
      <c r="I10" s="184">
        <v>0</v>
      </c>
      <c r="J10" s="185">
        <f>SUM(H10:I10)</f>
        <v>13634</v>
      </c>
      <c r="K10" s="186">
        <f>IF(H10/15&lt;=SMG,0,I10/2)</f>
        <v>0</v>
      </c>
      <c r="L10" s="186">
        <f t="shared" ref="L10" si="0">H10+K10</f>
        <v>13634</v>
      </c>
      <c r="M10" s="186">
        <f>VLOOKUP(L10,Tarifa1,1)</f>
        <v>13316.71</v>
      </c>
      <c r="N10" s="186">
        <f t="shared" ref="N10" si="1">L10-M10</f>
        <v>317.29000000000087</v>
      </c>
      <c r="O10" s="187">
        <f>VLOOKUP(L10,Tarifa1,3)</f>
        <v>0.23519999999999999</v>
      </c>
      <c r="P10" s="186">
        <f t="shared" ref="P10" si="2">N10*O10</f>
        <v>74.626608000000203</v>
      </c>
      <c r="Q10" s="188">
        <f>VLOOKUP(L10,Tarifa1,2)</f>
        <v>2133.3000000000002</v>
      </c>
      <c r="R10" s="186">
        <f t="shared" ref="R10" si="3">P10+Q10</f>
        <v>2207.9266080000002</v>
      </c>
      <c r="S10" s="186">
        <f>VLOOKUP(L10,Credito1,2)</f>
        <v>0</v>
      </c>
      <c r="T10" s="186">
        <f t="shared" ref="T10" si="4">ROUND(R10-S10,2)</f>
        <v>2207.9299999999998</v>
      </c>
      <c r="U10" s="185">
        <f>-IF(T10&gt;0,0,T10)</f>
        <v>0</v>
      </c>
      <c r="V10" s="185">
        <f>IF(T10&lt;0,0,T10)</f>
        <v>2207.9299999999998</v>
      </c>
      <c r="W10" s="185">
        <f>SUM(V10:V10)</f>
        <v>2207.9299999999998</v>
      </c>
      <c r="X10" s="185">
        <f>J10+U10-W10</f>
        <v>11426.07</v>
      </c>
      <c r="Y10" s="59"/>
      <c r="AE10" s="60"/>
    </row>
    <row r="11" spans="1:31" s="52" customFormat="1" ht="80.099999999999994" customHeight="1" x14ac:dyDescent="0.25">
      <c r="A11" s="86"/>
      <c r="B11" s="178" t="s">
        <v>109</v>
      </c>
      <c r="C11" s="177" t="s">
        <v>117</v>
      </c>
      <c r="D11" s="179" t="s">
        <v>66</v>
      </c>
      <c r="E11" s="179" t="s">
        <v>64</v>
      </c>
      <c r="F11" s="181">
        <v>15</v>
      </c>
      <c r="G11" s="182">
        <v>341.11</v>
      </c>
      <c r="H11" s="183">
        <v>5470.5</v>
      </c>
      <c r="I11" s="184">
        <v>0</v>
      </c>
      <c r="J11" s="185">
        <f>SUM(H11:I11)</f>
        <v>5470.5</v>
      </c>
      <c r="K11" s="186">
        <f>IF(H11/15&lt;=SMG,0,I11/2)</f>
        <v>0</v>
      </c>
      <c r="L11" s="186">
        <f t="shared" ref="L11" si="5">H11+K11</f>
        <v>5470.5</v>
      </c>
      <c r="M11" s="186">
        <f>VLOOKUP(L11,Tarifa1,1)</f>
        <v>4744.0600000000004</v>
      </c>
      <c r="N11" s="186">
        <f t="shared" ref="N11" si="6">L11-M11</f>
        <v>726.4399999999996</v>
      </c>
      <c r="O11" s="187">
        <f>VLOOKUP(L11,Tarifa1,3)</f>
        <v>0.16</v>
      </c>
      <c r="P11" s="186">
        <f t="shared" ref="P11" si="7">N11*O11</f>
        <v>116.23039999999993</v>
      </c>
      <c r="Q11" s="188">
        <f>VLOOKUP(L11,Tarifa1,2)</f>
        <v>381</v>
      </c>
      <c r="R11" s="186">
        <f t="shared" ref="R11" si="8">P11+Q11</f>
        <v>497.23039999999992</v>
      </c>
      <c r="S11" s="186">
        <f>VLOOKUP(L11,Credito1,2)</f>
        <v>0</v>
      </c>
      <c r="T11" s="186">
        <f t="shared" ref="T11" si="9">ROUND(R11-S11,2)</f>
        <v>497.23</v>
      </c>
      <c r="U11" s="185">
        <f>-IF(T11&gt;0,0,T11)</f>
        <v>0</v>
      </c>
      <c r="V11" s="185">
        <f>IF(T11&lt;0,0,T11)</f>
        <v>497.23</v>
      </c>
      <c r="W11" s="185">
        <f>SUM(V11:V11)</f>
        <v>497.23</v>
      </c>
      <c r="X11" s="185">
        <f>J11+U11-W11</f>
        <v>4973.2700000000004</v>
      </c>
      <c r="Y11" s="59"/>
      <c r="AE11" s="60"/>
    </row>
    <row r="12" spans="1:31" s="52" customFormat="1" ht="44.25" customHeight="1" x14ac:dyDescent="0.25">
      <c r="A12" s="86"/>
      <c r="B12" s="141" t="s">
        <v>103</v>
      </c>
      <c r="C12" s="141" t="s">
        <v>126</v>
      </c>
      <c r="D12" s="142" t="s">
        <v>121</v>
      </c>
      <c r="E12" s="143" t="s">
        <v>62</v>
      </c>
      <c r="F12" s="143"/>
      <c r="G12" s="143"/>
      <c r="H12" s="144">
        <f>SUM(H13)</f>
        <v>6125.5</v>
      </c>
      <c r="I12" s="144">
        <f>SUM(I13)</f>
        <v>0</v>
      </c>
      <c r="J12" s="144">
        <f>SUM(J13)</f>
        <v>6125.5</v>
      </c>
      <c r="K12" s="143"/>
      <c r="L12" s="143"/>
      <c r="M12" s="143"/>
      <c r="N12" s="143"/>
      <c r="O12" s="143"/>
      <c r="P12" s="143"/>
      <c r="Q12" s="146"/>
      <c r="R12" s="143"/>
      <c r="S12" s="143"/>
      <c r="T12" s="145"/>
      <c r="U12" s="144">
        <f>SUM(U13)</f>
        <v>0</v>
      </c>
      <c r="V12" s="144">
        <f>SUM(V13)</f>
        <v>613.74</v>
      </c>
      <c r="W12" s="144">
        <f>SUM(W13)</f>
        <v>613.74</v>
      </c>
      <c r="X12" s="144">
        <f>SUM(X13)</f>
        <v>5511.76</v>
      </c>
      <c r="Y12" s="64"/>
      <c r="AE12" s="60"/>
    </row>
    <row r="13" spans="1:31" s="52" customFormat="1" ht="80.099999999999994" customHeight="1" x14ac:dyDescent="0.25">
      <c r="A13" s="86" t="s">
        <v>87</v>
      </c>
      <c r="B13" s="178" t="s">
        <v>314</v>
      </c>
      <c r="C13" s="177" t="s">
        <v>117</v>
      </c>
      <c r="D13" s="179" t="s">
        <v>307</v>
      </c>
      <c r="E13" s="180" t="s">
        <v>99</v>
      </c>
      <c r="F13" s="181">
        <v>15</v>
      </c>
      <c r="G13" s="182">
        <v>381.95</v>
      </c>
      <c r="H13" s="183">
        <v>6125.5</v>
      </c>
      <c r="I13" s="184">
        <v>0</v>
      </c>
      <c r="J13" s="185">
        <f>H13</f>
        <v>6125.5</v>
      </c>
      <c r="K13" s="186">
        <f>IF(H13/15&lt;=SMG,0,I13/2)</f>
        <v>0</v>
      </c>
      <c r="L13" s="186">
        <f t="shared" ref="L13" si="10">H13+K13</f>
        <v>6125.5</v>
      </c>
      <c r="M13" s="186">
        <f>VLOOKUP(L13,Tarifa1,1)</f>
        <v>5514.76</v>
      </c>
      <c r="N13" s="186">
        <f t="shared" ref="N13" si="11">L13-M13</f>
        <v>610.73999999999978</v>
      </c>
      <c r="O13" s="187">
        <f>VLOOKUP(L13,Tarifa1,3)</f>
        <v>0.1792</v>
      </c>
      <c r="P13" s="186">
        <f t="shared" ref="P13" si="12">N13*O13</f>
        <v>109.44460799999996</v>
      </c>
      <c r="Q13" s="188">
        <f>VLOOKUP(L13,Tarifa1,2)</f>
        <v>504.3</v>
      </c>
      <c r="R13" s="186">
        <f t="shared" ref="R13" si="13">P13+Q13</f>
        <v>613.74460799999997</v>
      </c>
      <c r="S13" s="186">
        <f>VLOOKUP(L13,Credito1,2)</f>
        <v>0</v>
      </c>
      <c r="T13" s="186">
        <f t="shared" ref="T13" si="14">ROUND(R13-S13,2)</f>
        <v>613.74</v>
      </c>
      <c r="U13" s="185">
        <f>-IF(T13&gt;0,0,T13)</f>
        <v>0</v>
      </c>
      <c r="V13" s="185">
        <f>IF(T13&lt;0,0,T13)</f>
        <v>613.74</v>
      </c>
      <c r="W13" s="185">
        <f>SUM(V13:V13)</f>
        <v>613.74</v>
      </c>
      <c r="X13" s="185">
        <f>J13+U13-W13</f>
        <v>5511.76</v>
      </c>
      <c r="Y13" s="59"/>
      <c r="AE13" s="60"/>
    </row>
    <row r="14" spans="1:31" s="52" customFormat="1" ht="44.25" customHeight="1" x14ac:dyDescent="0.25">
      <c r="A14" s="86"/>
      <c r="B14" s="141" t="s">
        <v>103</v>
      </c>
      <c r="C14" s="141" t="s">
        <v>126</v>
      </c>
      <c r="D14" s="142" t="s">
        <v>122</v>
      </c>
      <c r="E14" s="143" t="s">
        <v>62</v>
      </c>
      <c r="F14" s="143"/>
      <c r="G14" s="143"/>
      <c r="H14" s="144">
        <v>4896.5</v>
      </c>
      <c r="I14" s="144">
        <f>SUM(I15)</f>
        <v>0</v>
      </c>
      <c r="J14" s="144">
        <f>SUM(J15)</f>
        <v>4336.6899999999996</v>
      </c>
      <c r="K14" s="143"/>
      <c r="L14" s="143"/>
      <c r="M14" s="143"/>
      <c r="N14" s="143"/>
      <c r="O14" s="143"/>
      <c r="P14" s="143"/>
      <c r="Q14" s="146"/>
      <c r="R14" s="143"/>
      <c r="S14" s="143"/>
      <c r="T14" s="145"/>
      <c r="U14" s="144">
        <f>SUM(U15)</f>
        <v>0</v>
      </c>
      <c r="V14" s="144">
        <f>SUM(V15)</f>
        <v>336.69</v>
      </c>
      <c r="W14" s="144">
        <f>SUM(W15)</f>
        <v>336.69</v>
      </c>
      <c r="X14" s="144">
        <f>SUM(X15)</f>
        <v>3999.9999999999995</v>
      </c>
      <c r="Y14" s="64"/>
      <c r="AE14" s="60"/>
    </row>
    <row r="15" spans="1:31" s="52" customFormat="1" ht="80.099999999999994" customHeight="1" x14ac:dyDescent="0.25">
      <c r="A15" s="86" t="s">
        <v>89</v>
      </c>
      <c r="B15" s="178" t="s">
        <v>239</v>
      </c>
      <c r="C15" s="178" t="s">
        <v>117</v>
      </c>
      <c r="D15" s="180" t="s">
        <v>255</v>
      </c>
      <c r="E15" s="180" t="s">
        <v>312</v>
      </c>
      <c r="F15" s="181">
        <v>15</v>
      </c>
      <c r="G15" s="182">
        <v>305.35000000000002</v>
      </c>
      <c r="H15" s="183">
        <v>4336.6899999999996</v>
      </c>
      <c r="I15" s="184">
        <v>0</v>
      </c>
      <c r="J15" s="185">
        <f>SUM(H15:I15)</f>
        <v>4336.6899999999996</v>
      </c>
      <c r="K15" s="186">
        <f>IF(H15/15&lt;=SMG,0,I15/2)</f>
        <v>0</v>
      </c>
      <c r="L15" s="186">
        <f t="shared" ref="L15" si="15">H15+K15</f>
        <v>4336.6899999999996</v>
      </c>
      <c r="M15" s="186">
        <f>VLOOKUP(L15,Tarifa1,1)</f>
        <v>2699.41</v>
      </c>
      <c r="N15" s="186">
        <f t="shared" ref="N15" si="16">L15-M15</f>
        <v>1637.2799999999997</v>
      </c>
      <c r="O15" s="187">
        <f>VLOOKUP(L15,Tarifa1,3)</f>
        <v>0.10879999999999999</v>
      </c>
      <c r="P15" s="186">
        <f t="shared" ref="P15" si="17">N15*O15</f>
        <v>178.13606399999998</v>
      </c>
      <c r="Q15" s="188">
        <f>VLOOKUP(L15,Tarifa1,2)</f>
        <v>158.55000000000001</v>
      </c>
      <c r="R15" s="186">
        <f t="shared" ref="R15" si="18">P15+Q15</f>
        <v>336.68606399999999</v>
      </c>
      <c r="S15" s="189">
        <f>VLOOKUP(L15,Credito1,2)</f>
        <v>0</v>
      </c>
      <c r="T15" s="186">
        <f t="shared" ref="T15" si="19">ROUND(R15-S15,2)</f>
        <v>336.69</v>
      </c>
      <c r="U15" s="185">
        <f>-IF(T15&gt;0,0,T15)</f>
        <v>0</v>
      </c>
      <c r="V15" s="185">
        <f>IF(T15&lt;0,0,T15)</f>
        <v>336.69</v>
      </c>
      <c r="W15" s="185">
        <f>SUM(V15:V15)</f>
        <v>336.69</v>
      </c>
      <c r="X15" s="185">
        <f>J15+U15-W15</f>
        <v>3999.9999999999995</v>
      </c>
      <c r="Y15" s="59"/>
      <c r="AE15" s="65"/>
    </row>
    <row r="16" spans="1:31" s="52" customFormat="1" ht="43.5" customHeight="1" x14ac:dyDescent="0.25">
      <c r="A16" s="86"/>
      <c r="B16" s="141" t="s">
        <v>103</v>
      </c>
      <c r="C16" s="141" t="s">
        <v>126</v>
      </c>
      <c r="D16" s="142" t="s">
        <v>123</v>
      </c>
      <c r="E16" s="143" t="s">
        <v>62</v>
      </c>
      <c r="F16" s="143"/>
      <c r="G16" s="143"/>
      <c r="H16" s="144">
        <f>SUM(H17:H18)</f>
        <v>13812.84</v>
      </c>
      <c r="I16" s="144">
        <f>SUM(I17:I18)</f>
        <v>0</v>
      </c>
      <c r="J16" s="144">
        <f>SUM(J17:J18)</f>
        <v>13812.84</v>
      </c>
      <c r="K16" s="143"/>
      <c r="L16" s="143"/>
      <c r="M16" s="143"/>
      <c r="N16" s="143"/>
      <c r="O16" s="143"/>
      <c r="P16" s="143"/>
      <c r="Q16" s="146"/>
      <c r="R16" s="143"/>
      <c r="S16" s="143"/>
      <c r="T16" s="145"/>
      <c r="U16" s="144">
        <f>SUM(U17:U18)</f>
        <v>0</v>
      </c>
      <c r="V16" s="144">
        <f>SUM(V17:V18)</f>
        <v>1708.53</v>
      </c>
      <c r="W16" s="144">
        <f>SUM(W17:W18)</f>
        <v>1708.53</v>
      </c>
      <c r="X16" s="144">
        <f>SUM(X17:X18)</f>
        <v>12104.31</v>
      </c>
      <c r="Y16" s="64"/>
      <c r="AE16" s="65"/>
    </row>
    <row r="17" spans="1:3222" s="52" customFormat="1" ht="80.099999999999994" customHeight="1" x14ac:dyDescent="0.25">
      <c r="A17" s="86" t="s">
        <v>90</v>
      </c>
      <c r="B17" s="177" t="s">
        <v>161</v>
      </c>
      <c r="C17" s="178" t="s">
        <v>117</v>
      </c>
      <c r="D17" s="180" t="s">
        <v>144</v>
      </c>
      <c r="E17" s="180" t="s">
        <v>84</v>
      </c>
      <c r="F17" s="181">
        <v>15</v>
      </c>
      <c r="G17" s="182">
        <v>625.85200000000009</v>
      </c>
      <c r="H17" s="183">
        <v>10037</v>
      </c>
      <c r="I17" s="184">
        <v>0</v>
      </c>
      <c r="J17" s="185">
        <f>H17</f>
        <v>10037</v>
      </c>
      <c r="K17" s="186">
        <f>IF(H17/15&lt;=SMG,0,I17/2)</f>
        <v>0</v>
      </c>
      <c r="L17" s="186">
        <f t="shared" ref="L17:L18" si="20">H17+K17</f>
        <v>10037</v>
      </c>
      <c r="M17" s="186">
        <f>VLOOKUP(L17,Tarifa1,1)</f>
        <v>6602.71</v>
      </c>
      <c r="N17" s="186">
        <f t="shared" ref="N17:N18" si="21">L17-M17</f>
        <v>3434.29</v>
      </c>
      <c r="O17" s="187">
        <f>VLOOKUP(L17,Tarifa1,3)</f>
        <v>0.21360000000000001</v>
      </c>
      <c r="P17" s="186">
        <f t="shared" ref="P17:P18" si="22">N17*O17</f>
        <v>733.56434400000001</v>
      </c>
      <c r="Q17" s="188">
        <f>VLOOKUP(L17,Tarifa1,2)</f>
        <v>699.3</v>
      </c>
      <c r="R17" s="186">
        <f t="shared" ref="R17:R18" si="23">P17+Q17</f>
        <v>1432.8643440000001</v>
      </c>
      <c r="S17" s="186">
        <f>VLOOKUP(L17,Credito1,2)</f>
        <v>0</v>
      </c>
      <c r="T17" s="186">
        <f t="shared" ref="T17:T18" si="24">ROUND(R17-S17,2)</f>
        <v>1432.86</v>
      </c>
      <c r="U17" s="185">
        <f>-IF(T17&gt;0,0,T17)</f>
        <v>0</v>
      </c>
      <c r="V17" s="185">
        <f>IF(T17&lt;0,0,T17)</f>
        <v>1432.86</v>
      </c>
      <c r="W17" s="185">
        <f>SUM(V17:V17)</f>
        <v>1432.86</v>
      </c>
      <c r="X17" s="185">
        <f>J17+U17-W17</f>
        <v>8604.14</v>
      </c>
      <c r="Y17" s="59"/>
      <c r="AE17" s="65"/>
    </row>
    <row r="18" spans="1:3222" s="52" customFormat="1" ht="80.099999999999994" customHeight="1" x14ac:dyDescent="0.25">
      <c r="A18" s="176"/>
      <c r="B18" s="195" t="s">
        <v>280</v>
      </c>
      <c r="C18" s="196" t="s">
        <v>117</v>
      </c>
      <c r="D18" s="197" t="s">
        <v>281</v>
      </c>
      <c r="E18" s="200" t="s">
        <v>282</v>
      </c>
      <c r="F18" s="198"/>
      <c r="G18" s="199"/>
      <c r="H18" s="183">
        <v>3775.84</v>
      </c>
      <c r="I18" s="184">
        <v>0</v>
      </c>
      <c r="J18" s="185">
        <f t="shared" ref="J18" si="25">SUM(H18:I18)</f>
        <v>3775.84</v>
      </c>
      <c r="K18" s="186">
        <f t="shared" ref="K18" si="26">IF(H18/15&lt;=SMG,0,I18/2)</f>
        <v>0</v>
      </c>
      <c r="L18" s="186">
        <f t="shared" si="20"/>
        <v>3775.84</v>
      </c>
      <c r="M18" s="186">
        <f t="shared" ref="M18" si="27">VLOOKUP(L18,Tarifa1,1)</f>
        <v>2699.41</v>
      </c>
      <c r="N18" s="186">
        <f t="shared" si="21"/>
        <v>1076.4300000000003</v>
      </c>
      <c r="O18" s="187">
        <f t="shared" ref="O18" si="28">VLOOKUP(L18,Tarifa1,3)</f>
        <v>0.10879999999999999</v>
      </c>
      <c r="P18" s="186">
        <f t="shared" si="22"/>
        <v>117.11558400000003</v>
      </c>
      <c r="Q18" s="188">
        <f t="shared" ref="Q18" si="29">VLOOKUP(L18,Tarifa1,2)</f>
        <v>158.55000000000001</v>
      </c>
      <c r="R18" s="186">
        <f t="shared" si="23"/>
        <v>275.66558400000002</v>
      </c>
      <c r="S18" s="189">
        <f t="shared" ref="S18" si="30">VLOOKUP(L18,Credito1,2)</f>
        <v>0</v>
      </c>
      <c r="T18" s="186">
        <f t="shared" si="24"/>
        <v>275.67</v>
      </c>
      <c r="U18" s="185">
        <f>-IF(T18&gt;0,0,T18)</f>
        <v>0</v>
      </c>
      <c r="V18" s="185">
        <f>IF(T18&lt;0,0,T18)</f>
        <v>275.67</v>
      </c>
      <c r="W18" s="185">
        <f>SUM(V18:V18)</f>
        <v>275.67</v>
      </c>
      <c r="X18" s="185">
        <f>J18+U18-W18</f>
        <v>3500.17</v>
      </c>
      <c r="Y18" s="57"/>
      <c r="AE18" s="65"/>
    </row>
    <row r="19" spans="1:3222" s="67" customFormat="1" ht="42" customHeight="1" x14ac:dyDescent="0.25">
      <c r="A19" s="147"/>
      <c r="B19" s="141" t="s">
        <v>103</v>
      </c>
      <c r="C19" s="141" t="s">
        <v>126</v>
      </c>
      <c r="D19" s="142" t="s">
        <v>124</v>
      </c>
      <c r="E19" s="143" t="s">
        <v>62</v>
      </c>
      <c r="F19" s="143"/>
      <c r="G19" s="143"/>
      <c r="H19" s="144">
        <f>SUM(H20:H20)</f>
        <v>2867.5</v>
      </c>
      <c r="I19" s="144">
        <f>SUM(I20:I20)</f>
        <v>0</v>
      </c>
      <c r="J19" s="144">
        <f>SUM(J20:J20)</f>
        <v>2867.5</v>
      </c>
      <c r="K19" s="143"/>
      <c r="L19" s="143"/>
      <c r="M19" s="143"/>
      <c r="N19" s="143"/>
      <c r="O19" s="143"/>
      <c r="P19" s="143"/>
      <c r="Q19" s="146"/>
      <c r="R19" s="143"/>
      <c r="S19" s="143"/>
      <c r="T19" s="145"/>
      <c r="U19" s="144">
        <f>SUM(U20:U20)</f>
        <v>0</v>
      </c>
      <c r="V19" s="144">
        <f>SUM(V20:V20)</f>
        <v>31.49</v>
      </c>
      <c r="W19" s="144">
        <f>SUM(W20:W20)</f>
        <v>31.49</v>
      </c>
      <c r="X19" s="144">
        <f>SUM(X20:X20)</f>
        <v>2836.01</v>
      </c>
      <c r="Y19" s="64"/>
      <c r="Z19" s="8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</row>
    <row r="20" spans="1:3222" s="67" customFormat="1" ht="80.099999999999994" customHeight="1" x14ac:dyDescent="0.25">
      <c r="A20" s="147"/>
      <c r="B20" s="178" t="s">
        <v>111</v>
      </c>
      <c r="C20" s="178" t="s">
        <v>117</v>
      </c>
      <c r="D20" s="204" t="s">
        <v>94</v>
      </c>
      <c r="E20" s="204" t="s">
        <v>153</v>
      </c>
      <c r="F20" s="202">
        <v>15</v>
      </c>
      <c r="G20" s="182">
        <v>178.81533333333334</v>
      </c>
      <c r="H20" s="183">
        <v>2867.5</v>
      </c>
      <c r="I20" s="184">
        <v>0</v>
      </c>
      <c r="J20" s="185">
        <f t="shared" ref="J20" si="31">SUM(H20:I20)</f>
        <v>2867.5</v>
      </c>
      <c r="K20" s="186">
        <f t="shared" ref="K20" si="32">IF(H20/15&lt;=SMG,0,I20/2)</f>
        <v>0</v>
      </c>
      <c r="L20" s="186">
        <f t="shared" ref="L20" si="33">H20+K20</f>
        <v>2867.5</v>
      </c>
      <c r="M20" s="186">
        <f t="shared" ref="M20" si="34">VLOOKUP(L20,Tarifa1,1)</f>
        <v>2699.41</v>
      </c>
      <c r="N20" s="186">
        <f t="shared" ref="N20" si="35">L20-M20</f>
        <v>168.09000000000015</v>
      </c>
      <c r="O20" s="187">
        <f t="shared" ref="O20" si="36">VLOOKUP(L20,Tarifa1,3)</f>
        <v>0.10879999999999999</v>
      </c>
      <c r="P20" s="186">
        <f t="shared" ref="P20" si="37">N20*O20</f>
        <v>18.288192000000016</v>
      </c>
      <c r="Q20" s="188">
        <f t="shared" ref="Q20" si="38">VLOOKUP(L20,Tarifa1,2)</f>
        <v>158.55000000000001</v>
      </c>
      <c r="R20" s="186">
        <f t="shared" ref="R20" si="39">P20+Q20</f>
        <v>176.83819200000002</v>
      </c>
      <c r="S20" s="189">
        <f t="shared" ref="S20" si="40">VLOOKUP(L20,Credito1,2)</f>
        <v>145.35</v>
      </c>
      <c r="T20" s="186">
        <f t="shared" ref="T20" si="41">ROUND(R20-S20,2)</f>
        <v>31.49</v>
      </c>
      <c r="U20" s="185">
        <f t="shared" ref="U20" si="42">-IF(T20&gt;0,0,T20)</f>
        <v>0</v>
      </c>
      <c r="V20" s="185">
        <f t="shared" ref="V20" si="43">IF(T20&lt;0,0,T20)</f>
        <v>31.49</v>
      </c>
      <c r="W20" s="185">
        <f>SUM(V20:V20)</f>
        <v>31.49</v>
      </c>
      <c r="X20" s="203">
        <f>J20+U20-W20</f>
        <v>2836.01</v>
      </c>
      <c r="Y20" s="66"/>
      <c r="Z20" s="8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</row>
    <row r="21" spans="1:3222" s="52" customFormat="1" ht="21.75" customHeight="1" x14ac:dyDescent="0.2">
      <c r="A21" s="147"/>
      <c r="B21" s="148"/>
      <c r="C21" s="148"/>
      <c r="D21" s="149"/>
      <c r="E21" s="149"/>
      <c r="F21" s="121"/>
      <c r="G21" s="150"/>
      <c r="H21" s="151"/>
      <c r="I21" s="152"/>
      <c r="J21" s="153"/>
      <c r="K21" s="154"/>
      <c r="L21" s="154"/>
      <c r="M21" s="154"/>
      <c r="N21" s="154"/>
      <c r="O21" s="155"/>
      <c r="P21" s="154"/>
      <c r="Q21" s="154"/>
      <c r="R21" s="154"/>
      <c r="S21" s="154"/>
      <c r="T21" s="154"/>
      <c r="U21" s="153"/>
      <c r="V21" s="153"/>
      <c r="W21" s="153"/>
      <c r="X21" s="153"/>
      <c r="Y21" s="59"/>
    </row>
    <row r="22" spans="1:3222" s="52" customFormat="1" ht="41.25" customHeight="1" thickBot="1" x14ac:dyDescent="0.3">
      <c r="A22" s="263" t="s">
        <v>45</v>
      </c>
      <c r="B22" s="264"/>
      <c r="C22" s="264"/>
      <c r="D22" s="264"/>
      <c r="E22" s="264"/>
      <c r="F22" s="264"/>
      <c r="G22" s="265"/>
      <c r="H22" s="192">
        <f>H8+H12+H14+H16+H19</f>
        <v>73704.84</v>
      </c>
      <c r="I22" s="192">
        <f>I8+I12+I14+I16+I19</f>
        <v>0</v>
      </c>
      <c r="J22" s="192">
        <f>J8+J12+J14+J16+J19</f>
        <v>73145.03</v>
      </c>
      <c r="K22" s="193">
        <f t="shared" ref="K22:T22" si="44">SUM(K9:K20)</f>
        <v>0</v>
      </c>
      <c r="L22" s="193">
        <f t="shared" si="44"/>
        <v>73145.03</v>
      </c>
      <c r="M22" s="193">
        <f t="shared" si="44"/>
        <v>59265.37999999999</v>
      </c>
      <c r="N22" s="193">
        <f t="shared" si="44"/>
        <v>13879.650000000001</v>
      </c>
      <c r="O22" s="193">
        <f t="shared" si="44"/>
        <v>1.4144000000000001</v>
      </c>
      <c r="P22" s="193">
        <f t="shared" si="44"/>
        <v>3120.1327999999999</v>
      </c>
      <c r="Q22" s="193">
        <f t="shared" si="44"/>
        <v>8131.3500000000013</v>
      </c>
      <c r="R22" s="193">
        <f t="shared" si="44"/>
        <v>11251.4828</v>
      </c>
      <c r="S22" s="193">
        <f t="shared" si="44"/>
        <v>145.35</v>
      </c>
      <c r="T22" s="193">
        <f t="shared" si="44"/>
        <v>11106.14</v>
      </c>
      <c r="U22" s="192">
        <f>U8+U12+U14+U16+U19</f>
        <v>0</v>
      </c>
      <c r="V22" s="192">
        <f>V8+V12+V14+V16+V19</f>
        <v>11106.14</v>
      </c>
      <c r="W22" s="192">
        <f>W8+W12+W14+W16+W19</f>
        <v>11106.14</v>
      </c>
      <c r="X22" s="192">
        <f>X8+X12+X14+X16+X19</f>
        <v>62038.89</v>
      </c>
    </row>
    <row r="23" spans="1:3222" s="52" customFormat="1" ht="12" customHeight="1" thickTop="1" x14ac:dyDescent="0.2"/>
    <row r="24" spans="1:3222" s="52" customFormat="1" ht="12" customHeight="1" x14ac:dyDescent="0.2"/>
    <row r="25" spans="1:3222" s="52" customFormat="1" ht="12" customHeight="1" x14ac:dyDescent="0.2"/>
    <row r="26" spans="1:3222" s="52" customFormat="1" ht="12" customHeight="1" x14ac:dyDescent="0.2"/>
    <row r="27" spans="1:3222" s="52" customFormat="1" ht="12" customHeight="1" x14ac:dyDescent="0.2"/>
    <row r="28" spans="1:3222" s="52" customFormat="1" ht="12" customHeight="1" x14ac:dyDescent="0.2"/>
    <row r="36" spans="10:10" x14ac:dyDescent="0.2">
      <c r="J36" s="4" t="s">
        <v>268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abSelected="1" topLeftCell="B1" zoomScaleNormal="100" workbookViewId="0">
      <selection activeCell="Y8" sqref="Y8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54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3"/>
      <c r="B9" s="143"/>
      <c r="C9" s="143"/>
      <c r="D9" s="142" t="s">
        <v>78</v>
      </c>
      <c r="E9" s="143" t="s">
        <v>62</v>
      </c>
      <c r="F9" s="143"/>
      <c r="G9" s="143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56"/>
    </row>
    <row r="10" spans="1:25" s="95" customFormat="1" ht="111" customHeight="1" x14ac:dyDescent="0.25">
      <c r="A10" s="205">
        <v>1</v>
      </c>
      <c r="B10" s="206">
        <v>290</v>
      </c>
      <c r="C10" s="177" t="s">
        <v>117</v>
      </c>
      <c r="D10" s="180" t="s">
        <v>291</v>
      </c>
      <c r="E10" s="179" t="s">
        <v>78</v>
      </c>
      <c r="F10" s="207">
        <v>15</v>
      </c>
      <c r="G10" s="208">
        <f>H10/F10</f>
        <v>782.73333333333335</v>
      </c>
      <c r="H10" s="209">
        <v>11741</v>
      </c>
      <c r="I10" s="210">
        <v>0</v>
      </c>
      <c r="J10" s="211">
        <f>SUM(H10:I10)</f>
        <v>11741</v>
      </c>
      <c r="K10" s="186">
        <f>IF(H10/15&lt;=SMG,0,I10/2)</f>
        <v>0</v>
      </c>
      <c r="L10" s="186">
        <f>H10+K10</f>
        <v>11741</v>
      </c>
      <c r="M10" s="186">
        <f>VLOOKUP(L10,Tarifa1,1)</f>
        <v>6602.71</v>
      </c>
      <c r="N10" s="186">
        <f>L10-M10</f>
        <v>5138.29</v>
      </c>
      <c r="O10" s="187">
        <f>VLOOKUP(L10,Tarifa1,3)</f>
        <v>0.21360000000000001</v>
      </c>
      <c r="P10" s="186">
        <f>N10*O10</f>
        <v>1097.538744</v>
      </c>
      <c r="Q10" s="188">
        <f>VLOOKUP(L10,Tarifa1,2)</f>
        <v>699.3</v>
      </c>
      <c r="R10" s="186">
        <f>P10+Q10</f>
        <v>1796.8387439999999</v>
      </c>
      <c r="S10" s="186">
        <f>VLOOKUP(L10,Credito1,2)</f>
        <v>0</v>
      </c>
      <c r="T10" s="186">
        <f>ROUND(R10-S10,2)</f>
        <v>1796.84</v>
      </c>
      <c r="U10" s="185">
        <f>-IF(T10&gt;0,0,T10)</f>
        <v>0</v>
      </c>
      <c r="V10" s="194">
        <f>IF(T10&lt;0,0,T10)</f>
        <v>1796.84</v>
      </c>
      <c r="W10" s="185">
        <f>SUM(V10:V10)</f>
        <v>1796.84</v>
      </c>
      <c r="X10" s="185">
        <f>J10+U10-W10</f>
        <v>9944.16</v>
      </c>
      <c r="Y10" s="116"/>
    </row>
    <row r="11" spans="1:25" ht="30" customHeight="1" x14ac:dyDescent="0.25">
      <c r="A11" s="212"/>
      <c r="B11" s="212"/>
      <c r="C11" s="212"/>
      <c r="D11" s="212"/>
      <c r="E11" s="212"/>
      <c r="F11" s="213"/>
      <c r="G11" s="212"/>
      <c r="H11" s="214"/>
      <c r="I11" s="214"/>
      <c r="J11" s="214"/>
      <c r="K11" s="215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157"/>
    </row>
    <row r="12" spans="1:25" ht="40.5" customHeight="1" thickBot="1" x14ac:dyDescent="0.3">
      <c r="A12" s="263" t="s">
        <v>45</v>
      </c>
      <c r="B12" s="264"/>
      <c r="C12" s="264"/>
      <c r="D12" s="264"/>
      <c r="E12" s="264"/>
      <c r="F12" s="264"/>
      <c r="G12" s="265"/>
      <c r="H12" s="192">
        <f t="shared" ref="H12:X12" si="0">SUM(H10:H11)</f>
        <v>11741</v>
      </c>
      <c r="I12" s="192">
        <f t="shared" si="0"/>
        <v>0</v>
      </c>
      <c r="J12" s="192">
        <f t="shared" si="0"/>
        <v>11741</v>
      </c>
      <c r="K12" s="193">
        <f t="shared" si="0"/>
        <v>0</v>
      </c>
      <c r="L12" s="193">
        <f t="shared" si="0"/>
        <v>11741</v>
      </c>
      <c r="M12" s="193">
        <f t="shared" si="0"/>
        <v>6602.71</v>
      </c>
      <c r="N12" s="193">
        <f t="shared" si="0"/>
        <v>5138.29</v>
      </c>
      <c r="O12" s="193">
        <f t="shared" si="0"/>
        <v>0.21360000000000001</v>
      </c>
      <c r="P12" s="193">
        <f t="shared" si="0"/>
        <v>1097.538744</v>
      </c>
      <c r="Q12" s="193">
        <f t="shared" si="0"/>
        <v>699.3</v>
      </c>
      <c r="R12" s="193">
        <f t="shared" si="0"/>
        <v>1796.8387439999999</v>
      </c>
      <c r="S12" s="193">
        <f t="shared" si="0"/>
        <v>0</v>
      </c>
      <c r="T12" s="193">
        <f t="shared" si="0"/>
        <v>1796.84</v>
      </c>
      <c r="U12" s="192">
        <f t="shared" si="0"/>
        <v>0</v>
      </c>
      <c r="V12" s="192">
        <f t="shared" si="0"/>
        <v>1796.84</v>
      </c>
      <c r="W12" s="192">
        <f t="shared" si="0"/>
        <v>1796.84</v>
      </c>
      <c r="X12" s="192">
        <f t="shared" si="0"/>
        <v>9944.16</v>
      </c>
      <c r="Y12" s="157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7" zoomScale="89" zoomScaleNormal="89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225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22.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8" t="s">
        <v>103</v>
      </c>
      <c r="C9" s="158" t="s">
        <v>126</v>
      </c>
      <c r="D9" s="142" t="s">
        <v>285</v>
      </c>
      <c r="E9" s="143" t="s">
        <v>62</v>
      </c>
      <c r="F9" s="125"/>
      <c r="G9" s="143"/>
      <c r="H9" s="126">
        <f>H10</f>
        <v>9904.58</v>
      </c>
      <c r="I9" s="126">
        <f>I10</f>
        <v>0</v>
      </c>
      <c r="J9" s="126">
        <f>J10</f>
        <v>9904.58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>
        <f>U10</f>
        <v>0</v>
      </c>
      <c r="V9" s="126">
        <f>V10</f>
        <v>1404.58</v>
      </c>
      <c r="W9" s="126">
        <f>W10</f>
        <v>1404.58</v>
      </c>
      <c r="X9" s="126">
        <f>X10</f>
        <v>8500</v>
      </c>
      <c r="Y9" s="156"/>
    </row>
    <row r="10" spans="1:25" ht="99" customHeight="1" x14ac:dyDescent="0.25">
      <c r="A10" s="26"/>
      <c r="B10" s="206">
        <v>161</v>
      </c>
      <c r="C10" s="177" t="s">
        <v>117</v>
      </c>
      <c r="D10" s="180" t="s">
        <v>286</v>
      </c>
      <c r="E10" s="180" t="s">
        <v>287</v>
      </c>
      <c r="F10" s="207">
        <v>15</v>
      </c>
      <c r="G10" s="208">
        <f>H10/F10</f>
        <v>660.30533333333335</v>
      </c>
      <c r="H10" s="183">
        <v>9904.58</v>
      </c>
      <c r="I10" s="184">
        <v>0</v>
      </c>
      <c r="J10" s="185">
        <f>H10</f>
        <v>9904.58</v>
      </c>
      <c r="K10" s="186">
        <f>IF(H10/15&lt;=SMG,0,I10/2)</f>
        <v>0</v>
      </c>
      <c r="L10" s="186">
        <f t="shared" ref="L10" si="0">H10+K10</f>
        <v>9904.58</v>
      </c>
      <c r="M10" s="186">
        <f>VLOOKUP(L10,Tarifa1,1)</f>
        <v>6602.71</v>
      </c>
      <c r="N10" s="186">
        <f t="shared" ref="N10" si="1">L10-M10</f>
        <v>3301.87</v>
      </c>
      <c r="O10" s="187">
        <f>VLOOKUP(L10,Tarifa1,3)</f>
        <v>0.21360000000000001</v>
      </c>
      <c r="P10" s="186">
        <f t="shared" ref="P10" si="2">N10*O10</f>
        <v>705.27943200000004</v>
      </c>
      <c r="Q10" s="188">
        <f>VLOOKUP(L10,Tarifa1,2)</f>
        <v>699.3</v>
      </c>
      <c r="R10" s="186">
        <f t="shared" ref="R10" si="3">P10+Q10</f>
        <v>1404.579432</v>
      </c>
      <c r="S10" s="189">
        <f>VLOOKUP(L10,Credito1,2)</f>
        <v>0</v>
      </c>
      <c r="T10" s="186">
        <f t="shared" ref="T10" si="4">ROUND(R10-S10,2)</f>
        <v>1404.58</v>
      </c>
      <c r="U10" s="185">
        <f>-IF(T10&gt;0,0,T10)</f>
        <v>0</v>
      </c>
      <c r="V10" s="185">
        <f>IF(T10&lt;0,0,T10)</f>
        <v>1404.58</v>
      </c>
      <c r="W10" s="185">
        <f>SUM(V10:V10)</f>
        <v>1404.58</v>
      </c>
      <c r="X10" s="185">
        <f>J10+U10-W10</f>
        <v>8500</v>
      </c>
      <c r="Y10" s="116"/>
    </row>
    <row r="11" spans="1:25" ht="47.25" customHeight="1" x14ac:dyDescent="0.25">
      <c r="A11" s="143"/>
      <c r="B11" s="158" t="s">
        <v>103</v>
      </c>
      <c r="C11" s="158" t="s">
        <v>126</v>
      </c>
      <c r="D11" s="142" t="s">
        <v>128</v>
      </c>
      <c r="E11" s="143" t="s">
        <v>62</v>
      </c>
      <c r="F11" s="125"/>
      <c r="G11" s="143"/>
      <c r="H11" s="126">
        <f>H12</f>
        <v>6930.5</v>
      </c>
      <c r="I11" s="126">
        <f>I12</f>
        <v>0</v>
      </c>
      <c r="J11" s="126">
        <f>J12</f>
        <v>6930.5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>
        <f>U12</f>
        <v>0</v>
      </c>
      <c r="V11" s="126">
        <f>V12</f>
        <v>769.32</v>
      </c>
      <c r="W11" s="126">
        <f>W12</f>
        <v>769.32</v>
      </c>
      <c r="X11" s="126">
        <f>X12</f>
        <v>6161.18</v>
      </c>
      <c r="Y11" s="156"/>
    </row>
    <row r="12" spans="1:25" ht="99" customHeight="1" x14ac:dyDescent="0.25">
      <c r="A12" s="128"/>
      <c r="B12" s="177" t="s">
        <v>276</v>
      </c>
      <c r="C12" s="178" t="s">
        <v>117</v>
      </c>
      <c r="D12" s="180" t="s">
        <v>277</v>
      </c>
      <c r="E12" s="180" t="s">
        <v>279</v>
      </c>
      <c r="F12" s="181">
        <v>13</v>
      </c>
      <c r="G12" s="182">
        <f t="shared" ref="G12" si="5">H12/F12</f>
        <v>533.11538461538464</v>
      </c>
      <c r="H12" s="183">
        <v>6930.5</v>
      </c>
      <c r="I12" s="184">
        <v>0</v>
      </c>
      <c r="J12" s="185">
        <f>SUM(H12:I12)</f>
        <v>6930.5</v>
      </c>
      <c r="K12" s="186">
        <f>IF(H12/15&lt;=SMG,0,I12/2)</f>
        <v>0</v>
      </c>
      <c r="L12" s="186">
        <f>H12+K12</f>
        <v>6930.5</v>
      </c>
      <c r="M12" s="186">
        <f>VLOOKUP(L12,Tarifa1,1)</f>
        <v>6602.71</v>
      </c>
      <c r="N12" s="186">
        <f>L12-M12</f>
        <v>327.78999999999996</v>
      </c>
      <c r="O12" s="187">
        <f>VLOOKUP(L12,Tarifa1,3)</f>
        <v>0.21360000000000001</v>
      </c>
      <c r="P12" s="186">
        <f>N12*O12</f>
        <v>70.01594399999999</v>
      </c>
      <c r="Q12" s="188">
        <f>VLOOKUP(L12,Tarifa1,2)</f>
        <v>699.3</v>
      </c>
      <c r="R12" s="186">
        <f>P12+Q12</f>
        <v>769.31594399999994</v>
      </c>
      <c r="S12" s="186">
        <f>VLOOKUP(L12,Credito1,2)</f>
        <v>0</v>
      </c>
      <c r="T12" s="186">
        <f>ROUND(R12-S12,2)</f>
        <v>769.32</v>
      </c>
      <c r="U12" s="185">
        <f>-IF(T12&gt;0,0,T12)</f>
        <v>0</v>
      </c>
      <c r="V12" s="185">
        <f>IF(T12&lt;0,0,T12)</f>
        <v>769.32</v>
      </c>
      <c r="W12" s="185">
        <f>SUM(V12:V12)</f>
        <v>769.32</v>
      </c>
      <c r="X12" s="185">
        <f>J12+U12-W12</f>
        <v>6161.18</v>
      </c>
      <c r="Y12" s="116"/>
    </row>
    <row r="13" spans="1:25" ht="30" customHeight="1" x14ac:dyDescent="0.2">
      <c r="A13" s="128"/>
      <c r="B13" s="159"/>
      <c r="C13" s="148"/>
      <c r="D13" s="149"/>
      <c r="E13" s="149"/>
      <c r="F13" s="121"/>
      <c r="G13" s="150"/>
      <c r="H13" s="151"/>
      <c r="I13" s="152"/>
      <c r="J13" s="153"/>
      <c r="K13" s="154"/>
      <c r="L13" s="154"/>
      <c r="M13" s="154"/>
      <c r="N13" s="154"/>
      <c r="O13" s="155"/>
      <c r="P13" s="154"/>
      <c r="Q13" s="160"/>
      <c r="R13" s="154"/>
      <c r="S13" s="154"/>
      <c r="T13" s="154"/>
      <c r="U13" s="153"/>
      <c r="V13" s="153"/>
      <c r="W13" s="153"/>
      <c r="X13" s="153"/>
      <c r="Y13" s="157"/>
    </row>
    <row r="14" spans="1:25" ht="40.5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183">
        <v>5818</v>
      </c>
      <c r="I14" s="183">
        <f>SUM(I12)</f>
        <v>0</v>
      </c>
      <c r="J14" s="183">
        <f>SUM(J12)</f>
        <v>6930.5</v>
      </c>
      <c r="K14" s="193">
        <f t="shared" ref="K14:T14" si="6">SUM(K12:K12)</f>
        <v>0</v>
      </c>
      <c r="L14" s="193">
        <f t="shared" si="6"/>
        <v>6930.5</v>
      </c>
      <c r="M14" s="193">
        <f t="shared" si="6"/>
        <v>6602.71</v>
      </c>
      <c r="N14" s="193">
        <f t="shared" si="6"/>
        <v>327.78999999999996</v>
      </c>
      <c r="O14" s="193">
        <f t="shared" si="6"/>
        <v>0.21360000000000001</v>
      </c>
      <c r="P14" s="193">
        <f t="shared" si="6"/>
        <v>70.01594399999999</v>
      </c>
      <c r="Q14" s="193">
        <f t="shared" si="6"/>
        <v>699.3</v>
      </c>
      <c r="R14" s="193">
        <f t="shared" si="6"/>
        <v>769.31594399999994</v>
      </c>
      <c r="S14" s="193">
        <f t="shared" si="6"/>
        <v>0</v>
      </c>
      <c r="T14" s="193">
        <f t="shared" si="6"/>
        <v>769.32</v>
      </c>
      <c r="U14" s="183">
        <f>SUM(U12)</f>
        <v>0</v>
      </c>
      <c r="V14" s="183">
        <f>SUM(V12)</f>
        <v>769.32</v>
      </c>
      <c r="W14" s="183">
        <f>SUM(W12)</f>
        <v>769.32</v>
      </c>
      <c r="X14" s="183">
        <f>SUM(X12)</f>
        <v>6161.18</v>
      </c>
      <c r="Y14" s="157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2"/>
  <sheetViews>
    <sheetView topLeftCell="B26" zoomScale="66" zoomScaleNormal="66" workbookViewId="0">
      <selection activeCell="W2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6" t="s">
        <v>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</row>
    <row r="2" spans="1:31" ht="19.5" x14ac:dyDescent="0.25">
      <c r="A2" s="266" t="s">
        <v>65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31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85" t="s">
        <v>118</v>
      </c>
      <c r="D5" s="48"/>
      <c r="E5" s="48"/>
      <c r="F5" s="49" t="s">
        <v>23</v>
      </c>
      <c r="G5" s="49" t="s">
        <v>6</v>
      </c>
      <c r="H5" s="288" t="s">
        <v>1</v>
      </c>
      <c r="I5" s="289"/>
      <c r="J5" s="290"/>
      <c r="K5" s="50" t="s">
        <v>26</v>
      </c>
      <c r="L5" s="51"/>
      <c r="M5" s="291" t="s">
        <v>9</v>
      </c>
      <c r="N5" s="292"/>
      <c r="O5" s="292"/>
      <c r="P5" s="292"/>
      <c r="Q5" s="292"/>
      <c r="R5" s="293"/>
      <c r="S5" s="50" t="s">
        <v>30</v>
      </c>
      <c r="T5" s="50" t="s">
        <v>10</v>
      </c>
      <c r="U5" s="49" t="s">
        <v>54</v>
      </c>
      <c r="V5" s="294" t="s">
        <v>2</v>
      </c>
      <c r="W5" s="295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103</v>
      </c>
      <c r="C6" s="286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61"/>
      <c r="B7" s="61"/>
      <c r="C7" s="287"/>
      <c r="D7" s="61"/>
      <c r="E7" s="61"/>
      <c r="F7" s="61"/>
      <c r="G7" s="61"/>
      <c r="H7" s="61" t="s">
        <v>47</v>
      </c>
      <c r="I7" s="61" t="s">
        <v>60</v>
      </c>
      <c r="J7" s="61" t="s">
        <v>29</v>
      </c>
      <c r="K7" s="62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127</v>
      </c>
      <c r="U7" s="61" t="s">
        <v>53</v>
      </c>
      <c r="V7" s="61"/>
      <c r="W7" s="61" t="s">
        <v>44</v>
      </c>
      <c r="X7" s="61" t="s">
        <v>5</v>
      </c>
      <c r="Y7" s="58"/>
    </row>
    <row r="8" spans="1:31" s="52" customFormat="1" ht="15.75" x14ac:dyDescent="0.25">
      <c r="A8" s="63"/>
      <c r="B8" s="143"/>
      <c r="C8" s="143"/>
      <c r="D8" s="142" t="s">
        <v>70</v>
      </c>
      <c r="E8" s="143" t="s">
        <v>62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5"/>
      <c r="U8" s="143"/>
      <c r="V8" s="143"/>
      <c r="W8" s="143"/>
      <c r="X8" s="143"/>
      <c r="Y8" s="64"/>
    </row>
    <row r="9" spans="1:31" s="95" customFormat="1" ht="132" customHeight="1" x14ac:dyDescent="0.25">
      <c r="A9" s="117" t="s">
        <v>87</v>
      </c>
      <c r="B9" s="177" t="s">
        <v>181</v>
      </c>
      <c r="C9" s="178" t="s">
        <v>117</v>
      </c>
      <c r="D9" s="179" t="s">
        <v>179</v>
      </c>
      <c r="E9" s="180" t="s">
        <v>214</v>
      </c>
      <c r="F9" s="181">
        <v>15</v>
      </c>
      <c r="G9" s="182">
        <f t="shared" ref="G9:G10" si="0">H9/F9</f>
        <v>667.23333333333335</v>
      </c>
      <c r="H9" s="183">
        <v>10008.5</v>
      </c>
      <c r="I9" s="184">
        <v>0</v>
      </c>
      <c r="J9" s="185">
        <f t="shared" ref="J9" si="1">SUM(H9:I9)</f>
        <v>10008.5</v>
      </c>
      <c r="K9" s="186">
        <f t="shared" ref="K9:K16" si="2">IF(H9/15&lt;=SMG,0,I9/2)</f>
        <v>0</v>
      </c>
      <c r="L9" s="186">
        <f>H9+K9</f>
        <v>10008.5</v>
      </c>
      <c r="M9" s="186">
        <f t="shared" ref="M9:M16" si="3">VLOOKUP(L9,Tarifa1,1)</f>
        <v>6602.71</v>
      </c>
      <c r="N9" s="186">
        <f>L9-M9</f>
        <v>3405.79</v>
      </c>
      <c r="O9" s="187">
        <f t="shared" ref="O9:O16" si="4">VLOOKUP(L9,Tarifa1,3)</f>
        <v>0.21360000000000001</v>
      </c>
      <c r="P9" s="186">
        <f>N9*O9</f>
        <v>727.47674400000005</v>
      </c>
      <c r="Q9" s="188">
        <f t="shared" ref="Q9:Q16" si="5">VLOOKUP(L9,Tarifa1,2)</f>
        <v>699.3</v>
      </c>
      <c r="R9" s="186">
        <f>P9+Q9</f>
        <v>1426.776744</v>
      </c>
      <c r="S9" s="189">
        <f t="shared" ref="S9:S16" si="6">VLOOKUP(L9,Credito1,2)</f>
        <v>0</v>
      </c>
      <c r="T9" s="186">
        <f>ROUND(R9-S9,2)</f>
        <v>1426.78</v>
      </c>
      <c r="U9" s="185">
        <f t="shared" ref="U9" si="7">-IF(T9&gt;0,0,T9)</f>
        <v>0</v>
      </c>
      <c r="V9" s="185">
        <f t="shared" ref="V9" si="8">IF(T9&lt;0,0,T9)</f>
        <v>1426.78</v>
      </c>
      <c r="W9" s="185">
        <f>SUM(V9:V9)</f>
        <v>1426.78</v>
      </c>
      <c r="X9" s="185">
        <f>J9+U9-W9</f>
        <v>8581.7199999999993</v>
      </c>
      <c r="Y9" s="118"/>
      <c r="Z9" s="97"/>
      <c r="AE9" s="98"/>
    </row>
    <row r="10" spans="1:31" s="95" customFormat="1" ht="132" customHeight="1" x14ac:dyDescent="0.25">
      <c r="A10" s="117"/>
      <c r="B10" s="178" t="s">
        <v>215</v>
      </c>
      <c r="C10" s="178" t="s">
        <v>117</v>
      </c>
      <c r="D10" s="180" t="s">
        <v>216</v>
      </c>
      <c r="E10" s="180" t="s">
        <v>294</v>
      </c>
      <c r="F10" s="181">
        <v>15</v>
      </c>
      <c r="G10" s="182">
        <f t="shared" si="0"/>
        <v>735.226</v>
      </c>
      <c r="H10" s="183">
        <v>11028.39</v>
      </c>
      <c r="I10" s="184">
        <v>0</v>
      </c>
      <c r="J10" s="185">
        <f>SUM(H10:I10)</f>
        <v>11028.39</v>
      </c>
      <c r="K10" s="186">
        <f>IF(H10/15&lt;=SMG,0,I10/2)</f>
        <v>0</v>
      </c>
      <c r="L10" s="186">
        <f t="shared" ref="L10:L11" si="9">H10+K10</f>
        <v>11028.39</v>
      </c>
      <c r="M10" s="186">
        <f>VLOOKUP(L10,Tarifa1,1)</f>
        <v>6602.71</v>
      </c>
      <c r="N10" s="186">
        <f t="shared" ref="N10:N11" si="10">L10-M10</f>
        <v>4425.6799999999994</v>
      </c>
      <c r="O10" s="187">
        <f>VLOOKUP(L10,Tarifa1,3)</f>
        <v>0.21360000000000001</v>
      </c>
      <c r="P10" s="186">
        <f t="shared" ref="P10:P11" si="11">N10*O10</f>
        <v>945.32524799999987</v>
      </c>
      <c r="Q10" s="188">
        <f>VLOOKUP(L10,Tarifa1,2)</f>
        <v>699.3</v>
      </c>
      <c r="R10" s="186">
        <f t="shared" ref="R10:R11" si="12">P10+Q10</f>
        <v>1644.6252479999998</v>
      </c>
      <c r="S10" s="186">
        <f>VLOOKUP(L10,Credito1,2)</f>
        <v>0</v>
      </c>
      <c r="T10" s="186">
        <f t="shared" ref="T10:T11" si="13">ROUND(R10-S10,2)</f>
        <v>1644.63</v>
      </c>
      <c r="U10" s="185">
        <f>-IF(T10&gt;0,0,T10)</f>
        <v>0</v>
      </c>
      <c r="V10" s="185">
        <f>IF(T10&lt;0,0,T10)</f>
        <v>1644.63</v>
      </c>
      <c r="W10" s="185">
        <f>SUM(V10:V10)</f>
        <v>1644.63</v>
      </c>
      <c r="X10" s="185">
        <f>J10+U10-W10</f>
        <v>9383.7599999999984</v>
      </c>
      <c r="Y10" s="118"/>
      <c r="Z10" s="97"/>
      <c r="AE10" s="98"/>
    </row>
    <row r="11" spans="1:31" s="95" customFormat="1" ht="132" customHeight="1" x14ac:dyDescent="0.25">
      <c r="A11" s="117"/>
      <c r="B11" s="177" t="s">
        <v>283</v>
      </c>
      <c r="C11" s="178" t="s">
        <v>117</v>
      </c>
      <c r="D11" s="180" t="s">
        <v>284</v>
      </c>
      <c r="E11" s="180" t="s">
        <v>288</v>
      </c>
      <c r="F11" s="181"/>
      <c r="G11" s="182"/>
      <c r="H11" s="183">
        <v>4336.6899999999996</v>
      </c>
      <c r="I11" s="184">
        <v>0</v>
      </c>
      <c r="J11" s="185">
        <f>SUM(H11:I11)</f>
        <v>4336.6899999999996</v>
      </c>
      <c r="K11" s="186">
        <f>IF(H11/15&lt;=SMG,0,I11/2)</f>
        <v>0</v>
      </c>
      <c r="L11" s="186">
        <f t="shared" si="9"/>
        <v>4336.6899999999996</v>
      </c>
      <c r="M11" s="186">
        <f>VLOOKUP(L11,Tarifa1,1)</f>
        <v>2699.41</v>
      </c>
      <c r="N11" s="186">
        <f t="shared" si="10"/>
        <v>1637.2799999999997</v>
      </c>
      <c r="O11" s="187">
        <f>VLOOKUP(L11,Tarifa1,3)</f>
        <v>0.10879999999999999</v>
      </c>
      <c r="P11" s="186">
        <f t="shared" si="11"/>
        <v>178.13606399999998</v>
      </c>
      <c r="Q11" s="188">
        <f>VLOOKUP(L11,Tarifa1,2)</f>
        <v>158.55000000000001</v>
      </c>
      <c r="R11" s="186">
        <f t="shared" si="12"/>
        <v>336.68606399999999</v>
      </c>
      <c r="S11" s="189">
        <f>VLOOKUP(L11,Credito1,2)</f>
        <v>0</v>
      </c>
      <c r="T11" s="186">
        <f t="shared" si="13"/>
        <v>336.69</v>
      </c>
      <c r="U11" s="185">
        <f>-IF(T11&gt;0,0,T11)</f>
        <v>0</v>
      </c>
      <c r="V11" s="185">
        <f>IF(T11&lt;0,0,T11)</f>
        <v>336.69</v>
      </c>
      <c r="W11" s="185">
        <f>SUM(V11:V11)</f>
        <v>336.69</v>
      </c>
      <c r="X11" s="185">
        <f>J11+U11-W11</f>
        <v>3999.9999999999995</v>
      </c>
      <c r="Y11" s="118"/>
      <c r="Z11" s="97"/>
      <c r="AE11" s="98"/>
    </row>
    <row r="12" spans="1:31" s="95" customFormat="1" ht="132" customHeight="1" x14ac:dyDescent="0.25">
      <c r="A12" s="117"/>
      <c r="B12" s="178" t="s">
        <v>190</v>
      </c>
      <c r="C12" s="178" t="s">
        <v>117</v>
      </c>
      <c r="D12" s="190" t="s">
        <v>189</v>
      </c>
      <c r="E12" s="180" t="s">
        <v>68</v>
      </c>
      <c r="F12" s="181">
        <v>15</v>
      </c>
      <c r="G12" s="182"/>
      <c r="H12" s="183">
        <v>6071</v>
      </c>
      <c r="I12" s="184">
        <v>0</v>
      </c>
      <c r="J12" s="183">
        <f>H12</f>
        <v>6071</v>
      </c>
      <c r="K12" s="186">
        <f t="shared" ref="K12" si="14">IF(H12/15&lt;=SMG,0,I12/2)</f>
        <v>0</v>
      </c>
      <c r="L12" s="186">
        <f t="shared" ref="L12:L16" si="15">H12+K12</f>
        <v>6071</v>
      </c>
      <c r="M12" s="186">
        <f t="shared" ref="M12" si="16">VLOOKUP(L12,Tarifa1,1)</f>
        <v>5514.76</v>
      </c>
      <c r="N12" s="186">
        <f t="shared" ref="N12:N16" si="17">L12-M12</f>
        <v>556.23999999999978</v>
      </c>
      <c r="O12" s="187">
        <f t="shared" ref="O12" si="18">VLOOKUP(L12,Tarifa1,3)</f>
        <v>0.1792</v>
      </c>
      <c r="P12" s="186">
        <f t="shared" ref="P12:P16" si="19">N12*O12</f>
        <v>99.678207999999955</v>
      </c>
      <c r="Q12" s="188">
        <f t="shared" ref="Q12" si="20">VLOOKUP(L12,Tarifa1,2)</f>
        <v>504.3</v>
      </c>
      <c r="R12" s="186">
        <f t="shared" ref="R12:R16" si="21">P12+Q12</f>
        <v>603.978208</v>
      </c>
      <c r="S12" s="189">
        <f t="shared" ref="S12" si="22">VLOOKUP(L12,Credito1,2)</f>
        <v>0</v>
      </c>
      <c r="T12" s="186">
        <f t="shared" ref="T12:T16" si="23">ROUND(R12-S12,2)</f>
        <v>603.98</v>
      </c>
      <c r="U12" s="185">
        <f>-IF(T12&gt;0,0,T12)</f>
        <v>0</v>
      </c>
      <c r="V12" s="185">
        <f t="shared" ref="V12:V23" si="24">IF(T12&lt;0,0,T12)</f>
        <v>603.98</v>
      </c>
      <c r="W12" s="185">
        <f>SUM(V12:V12)</f>
        <v>603.98</v>
      </c>
      <c r="X12" s="185">
        <f>J12+U12-W12+I12</f>
        <v>5467.02</v>
      </c>
      <c r="Y12" s="118"/>
      <c r="AE12" s="98"/>
    </row>
    <row r="13" spans="1:31" s="95" customFormat="1" ht="132" customHeight="1" x14ac:dyDescent="0.25">
      <c r="A13" s="117"/>
      <c r="B13" s="178" t="s">
        <v>205</v>
      </c>
      <c r="C13" s="178" t="s">
        <v>159</v>
      </c>
      <c r="D13" s="190" t="s">
        <v>204</v>
      </c>
      <c r="E13" s="180" t="s">
        <v>68</v>
      </c>
      <c r="F13" s="181">
        <v>15</v>
      </c>
      <c r="G13" s="182"/>
      <c r="H13" s="183">
        <v>6071</v>
      </c>
      <c r="I13" s="184">
        <v>0</v>
      </c>
      <c r="J13" s="183">
        <f>H13</f>
        <v>6071</v>
      </c>
      <c r="K13" s="186">
        <f t="shared" ref="K13" si="25">IF(H13/15&lt;=SMG,0,I13/2)</f>
        <v>0</v>
      </c>
      <c r="L13" s="186">
        <f t="shared" ref="L13" si="26">H13+K13</f>
        <v>6071</v>
      </c>
      <c r="M13" s="186">
        <f t="shared" ref="M13" si="27">VLOOKUP(L13,Tarifa1,1)</f>
        <v>5514.76</v>
      </c>
      <c r="N13" s="186">
        <f t="shared" ref="N13" si="28">L13-M13</f>
        <v>556.23999999999978</v>
      </c>
      <c r="O13" s="187">
        <f t="shared" ref="O13" si="29">VLOOKUP(L13,Tarifa1,3)</f>
        <v>0.1792</v>
      </c>
      <c r="P13" s="186">
        <f t="shared" ref="P13" si="30">N13*O13</f>
        <v>99.678207999999955</v>
      </c>
      <c r="Q13" s="188">
        <f t="shared" ref="Q13" si="31">VLOOKUP(L13,Tarifa1,2)</f>
        <v>504.3</v>
      </c>
      <c r="R13" s="186">
        <f t="shared" ref="R13" si="32">P13+Q13</f>
        <v>603.978208</v>
      </c>
      <c r="S13" s="189">
        <f t="shared" ref="S13" si="33">VLOOKUP(L13,Credito1,2)</f>
        <v>0</v>
      </c>
      <c r="T13" s="186">
        <f t="shared" ref="T13" si="34">ROUND(R13-S13,2)</f>
        <v>603.98</v>
      </c>
      <c r="U13" s="185">
        <f>-IF(T13&gt;0,0,T13)</f>
        <v>0</v>
      </c>
      <c r="V13" s="185">
        <f t="shared" si="24"/>
        <v>603.98</v>
      </c>
      <c r="W13" s="185">
        <f>SUM(V13:V13)</f>
        <v>603.98</v>
      </c>
      <c r="X13" s="185">
        <f>J13+U13-W13+I13</f>
        <v>5467.02</v>
      </c>
      <c r="Y13" s="118"/>
      <c r="AE13" s="98"/>
    </row>
    <row r="14" spans="1:31" s="95" customFormat="1" ht="132" customHeight="1" x14ac:dyDescent="0.25">
      <c r="A14" s="117"/>
      <c r="B14" s="177" t="s">
        <v>220</v>
      </c>
      <c r="C14" s="177" t="s">
        <v>117</v>
      </c>
      <c r="D14" s="204" t="s">
        <v>219</v>
      </c>
      <c r="E14" s="180" t="s">
        <v>68</v>
      </c>
      <c r="F14" s="181">
        <v>15</v>
      </c>
      <c r="G14" s="182"/>
      <c r="H14" s="183">
        <v>6071</v>
      </c>
      <c r="I14" s="184">
        <v>0</v>
      </c>
      <c r="J14" s="183">
        <f>H14</f>
        <v>6071</v>
      </c>
      <c r="K14" s="186">
        <f t="shared" ref="K14" si="35">IF(H14/15&lt;=SMG,0,I14/2)</f>
        <v>0</v>
      </c>
      <c r="L14" s="186">
        <f t="shared" ref="L14" si="36">H14+K14</f>
        <v>6071</v>
      </c>
      <c r="M14" s="186">
        <f t="shared" ref="M14" si="37">VLOOKUP(L14,Tarifa1,1)</f>
        <v>5514.76</v>
      </c>
      <c r="N14" s="186">
        <f t="shared" ref="N14" si="38">L14-M14</f>
        <v>556.23999999999978</v>
      </c>
      <c r="O14" s="187">
        <f t="shared" ref="O14" si="39">VLOOKUP(L14,Tarifa1,3)</f>
        <v>0.1792</v>
      </c>
      <c r="P14" s="186">
        <f t="shared" ref="P14" si="40">N14*O14</f>
        <v>99.678207999999955</v>
      </c>
      <c r="Q14" s="188">
        <f t="shared" ref="Q14" si="41">VLOOKUP(L14,Tarifa1,2)</f>
        <v>504.3</v>
      </c>
      <c r="R14" s="186">
        <f t="shared" ref="R14" si="42">P14+Q14</f>
        <v>603.978208</v>
      </c>
      <c r="S14" s="189">
        <f t="shared" ref="S14" si="43">VLOOKUP(L14,Credito1,2)</f>
        <v>0</v>
      </c>
      <c r="T14" s="186">
        <f t="shared" ref="T14" si="44">ROUND(R14-S14,2)</f>
        <v>603.98</v>
      </c>
      <c r="U14" s="185">
        <f>-IF(T14&gt;0,0,T14)</f>
        <v>0</v>
      </c>
      <c r="V14" s="185">
        <f t="shared" ref="V14" si="45">IF(T14&lt;0,0,T14)</f>
        <v>603.98</v>
      </c>
      <c r="W14" s="185">
        <f>SUM(V14:V14)</f>
        <v>603.98</v>
      </c>
      <c r="X14" s="185">
        <f>J14+U14-W14+I14</f>
        <v>5467.02</v>
      </c>
      <c r="Y14" s="118"/>
      <c r="AE14" s="98"/>
    </row>
    <row r="15" spans="1:31" s="95" customFormat="1" ht="132" customHeight="1" x14ac:dyDescent="0.25">
      <c r="A15" s="117"/>
      <c r="B15" s="178" t="s">
        <v>115</v>
      </c>
      <c r="C15" s="178" t="s">
        <v>117</v>
      </c>
      <c r="D15" s="179" t="s">
        <v>69</v>
      </c>
      <c r="E15" s="180" t="s">
        <v>145</v>
      </c>
      <c r="F15" s="181">
        <v>15</v>
      </c>
      <c r="G15" s="182">
        <f>H15/F15</f>
        <v>553.5333333333333</v>
      </c>
      <c r="H15" s="183">
        <v>8303</v>
      </c>
      <c r="I15" s="184">
        <v>0</v>
      </c>
      <c r="J15" s="185">
        <f>SUM(H15:I15)</f>
        <v>8303</v>
      </c>
      <c r="K15" s="186">
        <f t="shared" si="2"/>
        <v>0</v>
      </c>
      <c r="L15" s="186">
        <f t="shared" si="15"/>
        <v>8303</v>
      </c>
      <c r="M15" s="186">
        <f t="shared" si="3"/>
        <v>6602.71</v>
      </c>
      <c r="N15" s="186">
        <f t="shared" si="17"/>
        <v>1700.29</v>
      </c>
      <c r="O15" s="187">
        <f t="shared" si="4"/>
        <v>0.21360000000000001</v>
      </c>
      <c r="P15" s="186">
        <f t="shared" si="19"/>
        <v>363.18194399999999</v>
      </c>
      <c r="Q15" s="188">
        <f t="shared" si="5"/>
        <v>699.3</v>
      </c>
      <c r="R15" s="186">
        <f t="shared" si="21"/>
        <v>1062.4819439999999</v>
      </c>
      <c r="S15" s="189">
        <f t="shared" si="6"/>
        <v>0</v>
      </c>
      <c r="T15" s="186">
        <f t="shared" si="23"/>
        <v>1062.48</v>
      </c>
      <c r="U15" s="185">
        <f t="shared" ref="U15:U27" si="46">-IF(T15&gt;0,0,T15)</f>
        <v>0</v>
      </c>
      <c r="V15" s="185">
        <f t="shared" si="24"/>
        <v>1062.48</v>
      </c>
      <c r="W15" s="185">
        <f>SUM(V15:V15)</f>
        <v>1062.48</v>
      </c>
      <c r="X15" s="185">
        <f>J15+U15-W15</f>
        <v>7240.52</v>
      </c>
      <c r="Y15" s="118"/>
      <c r="AE15" s="98"/>
    </row>
    <row r="16" spans="1:31" s="95" customFormat="1" ht="132" customHeight="1" x14ac:dyDescent="0.25">
      <c r="A16" s="117"/>
      <c r="B16" s="178" t="s">
        <v>208</v>
      </c>
      <c r="C16" s="178" t="s">
        <v>117</v>
      </c>
      <c r="D16" s="190" t="s">
        <v>209</v>
      </c>
      <c r="E16" s="180" t="s">
        <v>169</v>
      </c>
      <c r="F16" s="181">
        <v>15</v>
      </c>
      <c r="G16" s="182"/>
      <c r="H16" s="183">
        <v>6643.5</v>
      </c>
      <c r="I16" s="184">
        <v>0</v>
      </c>
      <c r="J16" s="185">
        <f>SUM(H16:I16)</f>
        <v>6643.5</v>
      </c>
      <c r="K16" s="186">
        <f t="shared" si="2"/>
        <v>0</v>
      </c>
      <c r="L16" s="186">
        <f t="shared" si="15"/>
        <v>6643.5</v>
      </c>
      <c r="M16" s="186">
        <f t="shared" si="3"/>
        <v>6602.71</v>
      </c>
      <c r="N16" s="186">
        <f t="shared" si="17"/>
        <v>40.789999999999964</v>
      </c>
      <c r="O16" s="187">
        <f t="shared" si="4"/>
        <v>0.21360000000000001</v>
      </c>
      <c r="P16" s="186">
        <f t="shared" si="19"/>
        <v>8.7127439999999936</v>
      </c>
      <c r="Q16" s="188">
        <f t="shared" si="5"/>
        <v>699.3</v>
      </c>
      <c r="R16" s="186">
        <f t="shared" si="21"/>
        <v>708.012744</v>
      </c>
      <c r="S16" s="189">
        <f t="shared" si="6"/>
        <v>0</v>
      </c>
      <c r="T16" s="186">
        <f t="shared" si="23"/>
        <v>708.01</v>
      </c>
      <c r="U16" s="185">
        <f t="shared" si="46"/>
        <v>0</v>
      </c>
      <c r="V16" s="185">
        <f t="shared" si="24"/>
        <v>708.01</v>
      </c>
      <c r="W16" s="185">
        <f>SUM(V16:V16)</f>
        <v>708.01</v>
      </c>
      <c r="X16" s="185">
        <f>J16+U16-W16</f>
        <v>5935.49</v>
      </c>
      <c r="Y16" s="118"/>
      <c r="AE16" s="98"/>
    </row>
    <row r="17" spans="1:31" s="95" customFormat="1" ht="132" customHeight="1" x14ac:dyDescent="0.25">
      <c r="A17" s="217"/>
      <c r="B17" s="178" t="s">
        <v>180</v>
      </c>
      <c r="C17" s="178" t="s">
        <v>117</v>
      </c>
      <c r="D17" s="190" t="s">
        <v>173</v>
      </c>
      <c r="E17" s="180" t="s">
        <v>169</v>
      </c>
      <c r="F17" s="181">
        <v>15</v>
      </c>
      <c r="G17" s="182"/>
      <c r="H17" s="183">
        <v>8303</v>
      </c>
      <c r="I17" s="184">
        <v>0</v>
      </c>
      <c r="J17" s="185">
        <f t="shared" ref="J17:J23" si="47">SUM(H17:I17)</f>
        <v>8303</v>
      </c>
      <c r="K17" s="186">
        <f t="shared" ref="K17:K26" si="48">IF(H17/15&lt;=SMG,0,I17/2)</f>
        <v>0</v>
      </c>
      <c r="L17" s="186">
        <f t="shared" ref="L17:L26" si="49">H17+K17</f>
        <v>8303</v>
      </c>
      <c r="M17" s="186">
        <f t="shared" ref="M17:M26" si="50">VLOOKUP(L17,Tarifa1,1)</f>
        <v>6602.71</v>
      </c>
      <c r="N17" s="186">
        <f t="shared" ref="N17:N26" si="51">L17-M17</f>
        <v>1700.29</v>
      </c>
      <c r="O17" s="187">
        <f t="shared" ref="O17:O26" si="52">VLOOKUP(L17,Tarifa1,3)</f>
        <v>0.21360000000000001</v>
      </c>
      <c r="P17" s="186">
        <f t="shared" ref="P17:P26" si="53">N17*O17</f>
        <v>363.18194399999999</v>
      </c>
      <c r="Q17" s="188">
        <f t="shared" ref="Q17:Q26" si="54">VLOOKUP(L17,Tarifa1,2)</f>
        <v>699.3</v>
      </c>
      <c r="R17" s="186">
        <f t="shared" ref="R17:R26" si="55">P17+Q17</f>
        <v>1062.4819439999999</v>
      </c>
      <c r="S17" s="189">
        <f t="shared" ref="S17:S26" si="56">VLOOKUP(L17,Credito1,2)</f>
        <v>0</v>
      </c>
      <c r="T17" s="186">
        <f t="shared" ref="T17:T26" si="57">ROUND(R17-S17,2)</f>
        <v>1062.48</v>
      </c>
      <c r="U17" s="185">
        <f t="shared" si="46"/>
        <v>0</v>
      </c>
      <c r="V17" s="185">
        <f t="shared" si="24"/>
        <v>1062.48</v>
      </c>
      <c r="W17" s="185">
        <f>SUM(V17:V17)</f>
        <v>1062.48</v>
      </c>
      <c r="X17" s="185">
        <f>J17+U17-W17</f>
        <v>7240.52</v>
      </c>
      <c r="Y17" s="118"/>
      <c r="AE17" s="98"/>
    </row>
    <row r="18" spans="1:31" s="95" customFormat="1" ht="132" customHeight="1" x14ac:dyDescent="0.25">
      <c r="A18" s="217"/>
      <c r="B18" s="233"/>
      <c r="C18" s="233"/>
      <c r="D18" s="238"/>
      <c r="E18" s="239"/>
      <c r="F18" s="240"/>
      <c r="G18" s="241"/>
      <c r="H18" s="242"/>
      <c r="I18" s="243"/>
      <c r="J18" s="244"/>
      <c r="K18" s="245"/>
      <c r="L18" s="245"/>
      <c r="M18" s="245"/>
      <c r="N18" s="245"/>
      <c r="O18" s="246"/>
      <c r="P18" s="245"/>
      <c r="Q18" s="247"/>
      <c r="R18" s="245"/>
      <c r="S18" s="248"/>
      <c r="T18" s="245"/>
      <c r="U18" s="244"/>
      <c r="V18" s="244"/>
      <c r="W18" s="244"/>
      <c r="X18" s="244"/>
      <c r="Y18" s="119"/>
      <c r="AE18" s="98"/>
    </row>
    <row r="19" spans="1:31" s="95" customFormat="1" ht="29.25" customHeight="1" x14ac:dyDescent="0.25">
      <c r="A19" s="217"/>
      <c r="B19" s="266" t="s">
        <v>80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E19" s="98"/>
    </row>
    <row r="20" spans="1:31" s="95" customFormat="1" ht="28.5" customHeight="1" x14ac:dyDescent="0.25">
      <c r="A20" s="217"/>
      <c r="B20" s="266" t="s">
        <v>65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E20" s="98"/>
    </row>
    <row r="21" spans="1:31" s="95" customFormat="1" ht="28.5" customHeight="1" x14ac:dyDescent="0.25">
      <c r="A21" s="217"/>
      <c r="B21" s="267" t="s">
        <v>322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E21" s="98"/>
    </row>
    <row r="22" spans="1:31" s="95" customFormat="1" ht="28.5" customHeight="1" x14ac:dyDescent="0.25">
      <c r="A22" s="21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E22" s="98"/>
    </row>
    <row r="23" spans="1:31" s="95" customFormat="1" ht="132" customHeight="1" x14ac:dyDescent="0.25">
      <c r="A23" s="117"/>
      <c r="B23" s="178" t="s">
        <v>187</v>
      </c>
      <c r="C23" s="178" t="s">
        <v>117</v>
      </c>
      <c r="D23" s="190" t="s">
        <v>188</v>
      </c>
      <c r="E23" s="180" t="s">
        <v>169</v>
      </c>
      <c r="F23" s="181">
        <v>15</v>
      </c>
      <c r="G23" s="182"/>
      <c r="H23" s="183">
        <v>8303</v>
      </c>
      <c r="I23" s="184">
        <v>0</v>
      </c>
      <c r="J23" s="185">
        <f t="shared" si="47"/>
        <v>8303</v>
      </c>
      <c r="K23" s="186">
        <f t="shared" si="48"/>
        <v>0</v>
      </c>
      <c r="L23" s="186">
        <f t="shared" si="49"/>
        <v>8303</v>
      </c>
      <c r="M23" s="186">
        <f t="shared" si="50"/>
        <v>6602.71</v>
      </c>
      <c r="N23" s="186">
        <f t="shared" si="51"/>
        <v>1700.29</v>
      </c>
      <c r="O23" s="187">
        <f t="shared" si="52"/>
        <v>0.21360000000000001</v>
      </c>
      <c r="P23" s="186">
        <f t="shared" si="53"/>
        <v>363.18194399999999</v>
      </c>
      <c r="Q23" s="188">
        <f t="shared" si="54"/>
        <v>699.3</v>
      </c>
      <c r="R23" s="186">
        <f t="shared" si="55"/>
        <v>1062.4819439999999</v>
      </c>
      <c r="S23" s="189">
        <f t="shared" si="56"/>
        <v>0</v>
      </c>
      <c r="T23" s="186">
        <f t="shared" si="57"/>
        <v>1062.48</v>
      </c>
      <c r="U23" s="185">
        <f t="shared" si="46"/>
        <v>0</v>
      </c>
      <c r="V23" s="185">
        <f t="shared" si="24"/>
        <v>1062.48</v>
      </c>
      <c r="W23" s="185">
        <f>SUM(V23:V23)</f>
        <v>1062.48</v>
      </c>
      <c r="X23" s="185">
        <f>J23+U23-W23</f>
        <v>7240.52</v>
      </c>
      <c r="Y23" s="118"/>
      <c r="AE23" s="98"/>
    </row>
    <row r="24" spans="1:31" s="95" customFormat="1" ht="132" customHeight="1" x14ac:dyDescent="0.25">
      <c r="A24" s="117"/>
      <c r="B24" s="178" t="s">
        <v>302</v>
      </c>
      <c r="C24" s="178" t="s">
        <v>117</v>
      </c>
      <c r="D24" s="190" t="s">
        <v>303</v>
      </c>
      <c r="E24" s="180" t="s">
        <v>169</v>
      </c>
      <c r="F24" s="181"/>
      <c r="G24" s="182"/>
      <c r="H24" s="183">
        <v>8303</v>
      </c>
      <c r="I24" s="184">
        <v>0</v>
      </c>
      <c r="J24" s="185">
        <f>SUM(H24:I24)</f>
        <v>8303</v>
      </c>
      <c r="K24" s="186">
        <f t="shared" si="48"/>
        <v>0</v>
      </c>
      <c r="L24" s="186">
        <f t="shared" si="49"/>
        <v>8303</v>
      </c>
      <c r="M24" s="186">
        <f t="shared" si="50"/>
        <v>6602.71</v>
      </c>
      <c r="N24" s="186">
        <f t="shared" si="51"/>
        <v>1700.29</v>
      </c>
      <c r="O24" s="187">
        <f t="shared" si="52"/>
        <v>0.21360000000000001</v>
      </c>
      <c r="P24" s="186">
        <f t="shared" si="53"/>
        <v>363.18194399999999</v>
      </c>
      <c r="Q24" s="188">
        <f t="shared" si="54"/>
        <v>699.3</v>
      </c>
      <c r="R24" s="186">
        <f t="shared" si="55"/>
        <v>1062.4819439999999</v>
      </c>
      <c r="S24" s="189">
        <f t="shared" si="56"/>
        <v>0</v>
      </c>
      <c r="T24" s="186">
        <f t="shared" si="57"/>
        <v>1062.48</v>
      </c>
      <c r="U24" s="185">
        <f t="shared" ref="U24" si="58">-IF(T24&gt;0,0,T24)</f>
        <v>0</v>
      </c>
      <c r="V24" s="185">
        <f t="shared" ref="V24" si="59">IF(T24&lt;0,0,T24)</f>
        <v>1062.48</v>
      </c>
      <c r="W24" s="185">
        <f>SUM(V24:V24)</f>
        <v>1062.48</v>
      </c>
      <c r="X24" s="185">
        <f>J24+U24-W24</f>
        <v>7240.52</v>
      </c>
      <c r="Y24" s="118"/>
      <c r="AE24" s="98"/>
    </row>
    <row r="25" spans="1:31" s="95" customFormat="1" ht="132" customHeight="1" x14ac:dyDescent="0.25">
      <c r="A25" s="117"/>
      <c r="B25" s="178" t="s">
        <v>212</v>
      </c>
      <c r="C25" s="178" t="s">
        <v>117</v>
      </c>
      <c r="D25" s="179" t="s">
        <v>213</v>
      </c>
      <c r="E25" s="180" t="s">
        <v>169</v>
      </c>
      <c r="F25" s="181"/>
      <c r="G25" s="182"/>
      <c r="H25" s="183">
        <v>6643.5</v>
      </c>
      <c r="I25" s="184">
        <v>0</v>
      </c>
      <c r="J25" s="185">
        <f>SUM(H25:I25)</f>
        <v>6643.5</v>
      </c>
      <c r="K25" s="186">
        <f t="shared" ref="K25" si="60">IF(H25/15&lt;=SMG,0,I25/2)</f>
        <v>0</v>
      </c>
      <c r="L25" s="186">
        <f t="shared" ref="L25" si="61">H25+K25</f>
        <v>6643.5</v>
      </c>
      <c r="M25" s="186">
        <f t="shared" ref="M25" si="62">VLOOKUP(L25,Tarifa1,1)</f>
        <v>6602.71</v>
      </c>
      <c r="N25" s="186">
        <f t="shared" ref="N25" si="63">L25-M25</f>
        <v>40.789999999999964</v>
      </c>
      <c r="O25" s="187">
        <f t="shared" ref="O25" si="64">VLOOKUP(L25,Tarifa1,3)</f>
        <v>0.21360000000000001</v>
      </c>
      <c r="P25" s="186">
        <f t="shared" ref="P25" si="65">N25*O25</f>
        <v>8.7127439999999936</v>
      </c>
      <c r="Q25" s="188">
        <f t="shared" ref="Q25" si="66">VLOOKUP(L25,Tarifa1,2)</f>
        <v>699.3</v>
      </c>
      <c r="R25" s="186">
        <f t="shared" ref="R25" si="67">P25+Q25</f>
        <v>708.012744</v>
      </c>
      <c r="S25" s="189">
        <f t="shared" ref="S25" si="68">VLOOKUP(L25,Credito1,2)</f>
        <v>0</v>
      </c>
      <c r="T25" s="186">
        <f t="shared" ref="T25" si="69">ROUND(R25-S25,2)</f>
        <v>708.01</v>
      </c>
      <c r="U25" s="185">
        <f t="shared" ref="U25" si="70">-IF(T25&gt;0,0,T25)</f>
        <v>0</v>
      </c>
      <c r="V25" s="185">
        <f t="shared" ref="V25" si="71">IF(T25&lt;0,0,T25)</f>
        <v>708.01</v>
      </c>
      <c r="W25" s="185">
        <f>SUM(V25:V25)</f>
        <v>708.01</v>
      </c>
      <c r="X25" s="185">
        <f>J25+U25-W25</f>
        <v>5935.49</v>
      </c>
      <c r="Y25" s="118"/>
      <c r="AE25" s="98"/>
    </row>
    <row r="26" spans="1:31" s="95" customFormat="1" ht="132" customHeight="1" x14ac:dyDescent="0.25">
      <c r="A26" s="117"/>
      <c r="B26" s="178" t="s">
        <v>306</v>
      </c>
      <c r="C26" s="178" t="s">
        <v>117</v>
      </c>
      <c r="D26" s="190" t="s">
        <v>304</v>
      </c>
      <c r="E26" s="180" t="s">
        <v>305</v>
      </c>
      <c r="F26" s="181"/>
      <c r="G26" s="182"/>
      <c r="H26" s="183">
        <v>6071</v>
      </c>
      <c r="I26" s="184">
        <v>0</v>
      </c>
      <c r="J26" s="183">
        <f>H26</f>
        <v>6071</v>
      </c>
      <c r="K26" s="186">
        <f t="shared" si="48"/>
        <v>0</v>
      </c>
      <c r="L26" s="186">
        <f t="shared" si="49"/>
        <v>6071</v>
      </c>
      <c r="M26" s="186">
        <f t="shared" si="50"/>
        <v>5514.76</v>
      </c>
      <c r="N26" s="186">
        <f t="shared" si="51"/>
        <v>556.23999999999978</v>
      </c>
      <c r="O26" s="187">
        <f t="shared" si="52"/>
        <v>0.1792</v>
      </c>
      <c r="P26" s="186">
        <f t="shared" si="53"/>
        <v>99.678207999999955</v>
      </c>
      <c r="Q26" s="188">
        <f t="shared" si="54"/>
        <v>504.3</v>
      </c>
      <c r="R26" s="186">
        <f t="shared" si="55"/>
        <v>603.978208</v>
      </c>
      <c r="S26" s="189">
        <f t="shared" si="56"/>
        <v>0</v>
      </c>
      <c r="T26" s="186">
        <f t="shared" si="57"/>
        <v>603.98</v>
      </c>
      <c r="U26" s="185">
        <f>-IF(T26&gt;0,0,T26)</f>
        <v>0</v>
      </c>
      <c r="V26" s="185">
        <f t="shared" ref="V26" si="72">IF(T26&lt;0,0,T26)</f>
        <v>603.98</v>
      </c>
      <c r="W26" s="185">
        <f>SUM(V26:V26)</f>
        <v>603.98</v>
      </c>
      <c r="X26" s="185">
        <f>J26+U26-W26+I26</f>
        <v>5467.02</v>
      </c>
      <c r="Y26" s="118"/>
      <c r="AE26" s="98"/>
    </row>
    <row r="27" spans="1:31" s="95" customFormat="1" ht="132" customHeight="1" x14ac:dyDescent="0.25">
      <c r="A27" s="117"/>
      <c r="B27" s="178" t="s">
        <v>182</v>
      </c>
      <c r="C27" s="178" t="s">
        <v>117</v>
      </c>
      <c r="D27" s="190" t="s">
        <v>170</v>
      </c>
      <c r="E27" s="180" t="s">
        <v>295</v>
      </c>
      <c r="F27" s="181">
        <v>15</v>
      </c>
      <c r="G27" s="182">
        <f t="shared" ref="G27" si="73">H27/F27</f>
        <v>301.13333333333333</v>
      </c>
      <c r="H27" s="183">
        <v>4517</v>
      </c>
      <c r="I27" s="184">
        <v>0</v>
      </c>
      <c r="J27" s="185">
        <f t="shared" ref="J27" si="74">SUM(H27:I27)</f>
        <v>4517</v>
      </c>
      <c r="K27" s="186">
        <f t="shared" ref="K27" si="75">IF(H27/15&lt;=SMG,0,I27/2)</f>
        <v>0</v>
      </c>
      <c r="L27" s="186">
        <f t="shared" ref="L27" si="76">H27+K27</f>
        <v>4517</v>
      </c>
      <c r="M27" s="186">
        <f t="shared" ref="M27" si="77">VLOOKUP(L27,Tarifa1,1)</f>
        <v>2699.41</v>
      </c>
      <c r="N27" s="186">
        <f t="shared" ref="N27" si="78">L27-M27</f>
        <v>1817.5900000000001</v>
      </c>
      <c r="O27" s="187">
        <f t="shared" ref="O27" si="79">VLOOKUP(L27,Tarifa1,3)</f>
        <v>0.10879999999999999</v>
      </c>
      <c r="P27" s="186">
        <f t="shared" ref="P27" si="80">N27*O27</f>
        <v>197.753792</v>
      </c>
      <c r="Q27" s="188">
        <f t="shared" ref="Q27" si="81">VLOOKUP(L27,Tarifa1,2)</f>
        <v>158.55000000000001</v>
      </c>
      <c r="R27" s="186">
        <f t="shared" ref="R27" si="82">P27+Q27</f>
        <v>356.30379200000004</v>
      </c>
      <c r="S27" s="189">
        <f t="shared" ref="S27" si="83">VLOOKUP(L27,Credito1,2)</f>
        <v>0</v>
      </c>
      <c r="T27" s="186">
        <f t="shared" ref="T27" si="84">ROUND(R27-S27,2)</f>
        <v>356.3</v>
      </c>
      <c r="U27" s="185">
        <f t="shared" si="46"/>
        <v>0</v>
      </c>
      <c r="V27" s="185">
        <f t="shared" ref="V27" si="85">IF(T27&lt;0,0,T27)</f>
        <v>356.3</v>
      </c>
      <c r="W27" s="185">
        <f>SUM(V27:V27)</f>
        <v>356.3</v>
      </c>
      <c r="X27" s="185">
        <f>J27+U27-W27</f>
        <v>4160.7</v>
      </c>
      <c r="Y27" s="118"/>
      <c r="AE27" s="98"/>
    </row>
    <row r="28" spans="1:31" s="52" customFormat="1" ht="39" customHeight="1" thickBot="1" x14ac:dyDescent="0.3">
      <c r="A28" s="263" t="s">
        <v>45</v>
      </c>
      <c r="B28" s="264"/>
      <c r="C28" s="264"/>
      <c r="D28" s="264"/>
      <c r="E28" s="264"/>
      <c r="F28" s="264"/>
      <c r="G28" s="265"/>
      <c r="H28" s="192">
        <f t="shared" ref="H28:X28" si="86">SUM(H9:H27)</f>
        <v>100673.58</v>
      </c>
      <c r="I28" s="192">
        <f t="shared" si="86"/>
        <v>0</v>
      </c>
      <c r="J28" s="192">
        <f t="shared" si="86"/>
        <v>100673.58</v>
      </c>
      <c r="K28" s="193">
        <f t="shared" si="86"/>
        <v>0</v>
      </c>
      <c r="L28" s="193">
        <f t="shared" si="86"/>
        <v>100673.58</v>
      </c>
      <c r="M28" s="193">
        <f t="shared" si="86"/>
        <v>80279.539999999994</v>
      </c>
      <c r="N28" s="193">
        <f t="shared" si="86"/>
        <v>20394.040000000005</v>
      </c>
      <c r="O28" s="193">
        <f t="shared" si="86"/>
        <v>2.6432000000000002</v>
      </c>
      <c r="P28" s="193">
        <f t="shared" si="86"/>
        <v>3917.5579439999992</v>
      </c>
      <c r="Q28" s="193">
        <f t="shared" si="86"/>
        <v>7928.7000000000016</v>
      </c>
      <c r="R28" s="193">
        <f t="shared" si="86"/>
        <v>11846.257943999999</v>
      </c>
      <c r="S28" s="193">
        <f t="shared" si="86"/>
        <v>0</v>
      </c>
      <c r="T28" s="193">
        <f t="shared" si="86"/>
        <v>11846.259999999997</v>
      </c>
      <c r="U28" s="192">
        <f t="shared" si="86"/>
        <v>0</v>
      </c>
      <c r="V28" s="192">
        <f t="shared" si="86"/>
        <v>11846.259999999997</v>
      </c>
      <c r="W28" s="192">
        <f t="shared" si="86"/>
        <v>11846.259999999997</v>
      </c>
      <c r="X28" s="192">
        <f t="shared" si="86"/>
        <v>88827.32</v>
      </c>
      <c r="Y28" s="119"/>
    </row>
    <row r="29" spans="1:31" s="52" customFormat="1" ht="39" customHeight="1" thickTop="1" x14ac:dyDescent="0.25">
      <c r="A29" s="112"/>
      <c r="B29" s="112"/>
      <c r="C29" s="112"/>
      <c r="D29" s="112"/>
      <c r="E29" s="112"/>
      <c r="F29" s="112"/>
      <c r="G29" s="112"/>
      <c r="H29" s="113"/>
      <c r="I29" s="113"/>
      <c r="J29" s="113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3"/>
      <c r="V29" s="113"/>
      <c r="W29" s="113"/>
      <c r="X29" s="113"/>
    </row>
    <row r="30" spans="1:31" s="52" customFormat="1" ht="39" customHeight="1" x14ac:dyDescent="0.25">
      <c r="A30" s="112"/>
      <c r="B30" s="112"/>
      <c r="C30" s="112"/>
      <c r="D30" s="112"/>
      <c r="E30" s="112"/>
      <c r="F30" s="112"/>
      <c r="G30" s="112"/>
      <c r="H30" s="113"/>
      <c r="I30" s="113"/>
      <c r="J30" s="113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3"/>
      <c r="V30" s="113"/>
      <c r="W30" s="113"/>
      <c r="X30" s="113"/>
    </row>
    <row r="31" spans="1:31" s="52" customFormat="1" ht="39" customHeight="1" x14ac:dyDescent="0.25">
      <c r="A31" s="112"/>
      <c r="B31" s="112"/>
      <c r="C31" s="112"/>
      <c r="D31" s="112"/>
      <c r="E31" s="112"/>
      <c r="F31" s="112"/>
      <c r="G31" s="112"/>
      <c r="H31" s="113"/>
      <c r="I31" s="113"/>
      <c r="J31" s="11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3"/>
      <c r="V31" s="113"/>
      <c r="W31" s="113"/>
      <c r="X31" s="113"/>
    </row>
    <row r="32" spans="1:31" s="52" customFormat="1" ht="39" customHeight="1" x14ac:dyDescent="0.25">
      <c r="A32" s="112"/>
      <c r="B32" s="112"/>
      <c r="C32" s="112"/>
      <c r="D32" s="112"/>
      <c r="E32" s="112"/>
      <c r="F32" s="112"/>
      <c r="G32" s="112"/>
      <c r="H32" s="113"/>
      <c r="I32" s="113"/>
      <c r="J32" s="113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3"/>
      <c r="V32" s="113"/>
      <c r="W32" s="113"/>
      <c r="X32" s="113"/>
    </row>
  </sheetData>
  <mergeCells count="11">
    <mergeCell ref="A28:G28"/>
    <mergeCell ref="C5:C7"/>
    <mergeCell ref="A1:Y1"/>
    <mergeCell ref="A2:Y2"/>
    <mergeCell ref="A3:Y3"/>
    <mergeCell ref="H5:J5"/>
    <mergeCell ref="M5:R5"/>
    <mergeCell ref="V5:W5"/>
    <mergeCell ref="B19:Z19"/>
    <mergeCell ref="B20:Z20"/>
    <mergeCell ref="B21:Z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8 D23:D27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7"/>
  <sheetViews>
    <sheetView topLeftCell="B28" zoomScale="69" zoomScaleNormal="69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88" t="s">
        <v>1</v>
      </c>
      <c r="I6" s="289"/>
      <c r="J6" s="290"/>
      <c r="K6" s="50" t="s">
        <v>26</v>
      </c>
      <c r="L6" s="51"/>
      <c r="M6" s="291" t="s">
        <v>9</v>
      </c>
      <c r="N6" s="292"/>
      <c r="O6" s="292"/>
      <c r="P6" s="292"/>
      <c r="Q6" s="292"/>
      <c r="R6" s="293"/>
      <c r="S6" s="50" t="s">
        <v>30</v>
      </c>
      <c r="T6" s="50" t="s">
        <v>10</v>
      </c>
      <c r="U6" s="49" t="s">
        <v>54</v>
      </c>
      <c r="V6" s="294" t="s">
        <v>2</v>
      </c>
      <c r="W6" s="295"/>
      <c r="X6" s="49" t="s">
        <v>0</v>
      </c>
      <c r="Y6" s="48"/>
    </row>
    <row r="7" spans="1:25" s="52" customFormat="1" ht="24" x14ac:dyDescent="0.2">
      <c r="A7" s="53" t="s">
        <v>108</v>
      </c>
      <c r="B7" s="47" t="s">
        <v>103</v>
      </c>
      <c r="C7" s="47" t="s">
        <v>126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59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7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58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60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8" t="s">
        <v>15</v>
      </c>
      <c r="R8" s="50" t="s">
        <v>39</v>
      </c>
      <c r="S8" s="55" t="s">
        <v>19</v>
      </c>
      <c r="T8" s="56" t="s">
        <v>127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99"/>
      <c r="B9" s="125"/>
      <c r="C9" s="125"/>
      <c r="D9" s="125" t="s">
        <v>71</v>
      </c>
      <c r="E9" s="125" t="s">
        <v>62</v>
      </c>
      <c r="F9" s="125"/>
      <c r="G9" s="125"/>
      <c r="H9" s="126">
        <f>SUM(H10:H20)</f>
        <v>40527.699999999997</v>
      </c>
      <c r="I9" s="126">
        <f>SUM(I10:I20)</f>
        <v>0</v>
      </c>
      <c r="J9" s="126">
        <f>SUM(J10:J20)</f>
        <v>40527.699999999997</v>
      </c>
      <c r="K9" s="125"/>
      <c r="L9" s="125"/>
      <c r="M9" s="125"/>
      <c r="N9" s="125"/>
      <c r="O9" s="125"/>
      <c r="P9" s="125"/>
      <c r="Q9" s="127"/>
      <c r="R9" s="125"/>
      <c r="S9" s="125"/>
      <c r="T9" s="125"/>
      <c r="U9" s="126">
        <f>SUM(U10:U20)</f>
        <v>41.47</v>
      </c>
      <c r="V9" s="126">
        <f>SUM(V10:V20)</f>
        <v>2132.7799999999997</v>
      </c>
      <c r="W9" s="126">
        <f>SUM(W10:W20)</f>
        <v>2132.7799999999997</v>
      </c>
      <c r="X9" s="126">
        <f>SUM(X10:X20)</f>
        <v>38436.39</v>
      </c>
      <c r="Y9" s="100"/>
    </row>
    <row r="10" spans="1:25" s="4" customFormat="1" ht="81" customHeight="1" x14ac:dyDescent="0.25">
      <c r="A10" s="44"/>
      <c r="B10" s="178" t="s">
        <v>183</v>
      </c>
      <c r="C10" s="178" t="s">
        <v>117</v>
      </c>
      <c r="D10" s="179" t="s">
        <v>178</v>
      </c>
      <c r="E10" s="180" t="s">
        <v>177</v>
      </c>
      <c r="F10" s="181">
        <v>15</v>
      </c>
      <c r="G10" s="182">
        <f>H10/F10</f>
        <v>226.8</v>
      </c>
      <c r="H10" s="183">
        <v>3402</v>
      </c>
      <c r="I10" s="184">
        <v>0</v>
      </c>
      <c r="J10" s="185">
        <f t="shared" ref="J10" si="0">SUM(H10:I10)</f>
        <v>3402</v>
      </c>
      <c r="K10" s="186">
        <f t="shared" ref="K10:K14" si="1">IF(H10/15&lt;=SMG,0,I10/2)</f>
        <v>0</v>
      </c>
      <c r="L10" s="186">
        <f t="shared" ref="L10" si="2">H10+K10</f>
        <v>3402</v>
      </c>
      <c r="M10" s="186">
        <f t="shared" ref="M10:M14" si="3">VLOOKUP(L10,Tarifa1,1)</f>
        <v>2699.41</v>
      </c>
      <c r="N10" s="186">
        <f t="shared" ref="N10" si="4">L10-M10</f>
        <v>702.59000000000015</v>
      </c>
      <c r="O10" s="187">
        <f t="shared" ref="O10:O14" si="5">VLOOKUP(L10,Tarifa1,3)</f>
        <v>0.10879999999999999</v>
      </c>
      <c r="P10" s="186">
        <f t="shared" ref="P10" si="6">N10*O10</f>
        <v>76.441792000000007</v>
      </c>
      <c r="Q10" s="188">
        <f t="shared" ref="Q10:Q14" si="7">VLOOKUP(L10,Tarifa1,2)</f>
        <v>158.55000000000001</v>
      </c>
      <c r="R10" s="186">
        <f t="shared" ref="R10" si="8">P10+Q10</f>
        <v>234.99179200000003</v>
      </c>
      <c r="S10" s="189">
        <f t="shared" ref="S10:S14" si="9">VLOOKUP(L10,Credito1,2)</f>
        <v>125.1</v>
      </c>
      <c r="T10" s="186">
        <f t="shared" ref="T10" si="10">ROUND(R10-S10,2)</f>
        <v>109.89</v>
      </c>
      <c r="U10" s="185">
        <f t="shared" ref="U10" si="11">-IF(T10&gt;0,0,T10)</f>
        <v>0</v>
      </c>
      <c r="V10" s="185">
        <f t="shared" ref="V10" si="12">IF(T10&lt;0,0,T10)</f>
        <v>109.89</v>
      </c>
      <c r="W10" s="185">
        <f>SUM(V10:V10)</f>
        <v>109.89</v>
      </c>
      <c r="X10" s="185">
        <f>J10+U10-W10</f>
        <v>3292.11</v>
      </c>
      <c r="Y10" s="91"/>
    </row>
    <row r="11" spans="1:25" s="4" customFormat="1" ht="81" customHeight="1" x14ac:dyDescent="0.25">
      <c r="A11" s="44"/>
      <c r="B11" s="178" t="s">
        <v>105</v>
      </c>
      <c r="C11" s="178" t="s">
        <v>117</v>
      </c>
      <c r="D11" s="180" t="s">
        <v>72</v>
      </c>
      <c r="E11" s="179" t="s">
        <v>73</v>
      </c>
      <c r="F11" s="181">
        <v>15</v>
      </c>
      <c r="G11" s="182">
        <f>H11/F11</f>
        <v>230.5</v>
      </c>
      <c r="H11" s="183">
        <v>3457.5</v>
      </c>
      <c r="I11" s="184">
        <v>0</v>
      </c>
      <c r="J11" s="185">
        <f t="shared" ref="J11" si="13">SUM(H11:I11)</f>
        <v>3457.5</v>
      </c>
      <c r="K11" s="186">
        <f t="shared" si="1"/>
        <v>0</v>
      </c>
      <c r="L11" s="186">
        <f t="shared" ref="L11:L17" si="14">H11+K11</f>
        <v>3457.5</v>
      </c>
      <c r="M11" s="186">
        <f t="shared" si="3"/>
        <v>2699.41</v>
      </c>
      <c r="N11" s="186">
        <f t="shared" ref="N11:N17" si="15">L11-M11</f>
        <v>758.09000000000015</v>
      </c>
      <c r="O11" s="187">
        <f t="shared" si="5"/>
        <v>0.10879999999999999</v>
      </c>
      <c r="P11" s="186">
        <f t="shared" ref="P11:P17" si="16">N11*O11</f>
        <v>82.480192000000017</v>
      </c>
      <c r="Q11" s="188">
        <f t="shared" si="7"/>
        <v>158.55000000000001</v>
      </c>
      <c r="R11" s="186">
        <f t="shared" ref="R11:R17" si="17">P11+Q11</f>
        <v>241.03019200000003</v>
      </c>
      <c r="S11" s="189">
        <f t="shared" si="9"/>
        <v>125.1</v>
      </c>
      <c r="T11" s="186">
        <f t="shared" ref="T11:T17" si="18">ROUND(R11-S11,2)</f>
        <v>115.93</v>
      </c>
      <c r="U11" s="185">
        <f t="shared" ref="U11:U12" si="19">-IF(T11&gt;0,0,T11)</f>
        <v>0</v>
      </c>
      <c r="V11" s="185">
        <f t="shared" ref="V11:V12" si="20">IF(T11&lt;0,0,T11)</f>
        <v>115.93</v>
      </c>
      <c r="W11" s="185">
        <f>SUM(V11:V11)</f>
        <v>115.93</v>
      </c>
      <c r="X11" s="185">
        <f>J11+U11-W11</f>
        <v>3341.57</v>
      </c>
      <c r="Y11" s="91"/>
    </row>
    <row r="12" spans="1:25" s="4" customFormat="1" ht="81" customHeight="1" x14ac:dyDescent="0.25">
      <c r="A12" s="44"/>
      <c r="B12" s="178" t="s">
        <v>309</v>
      </c>
      <c r="C12" s="178" t="s">
        <v>117</v>
      </c>
      <c r="D12" s="180" t="s">
        <v>313</v>
      </c>
      <c r="E12" s="180" t="s">
        <v>177</v>
      </c>
      <c r="F12" s="181">
        <v>15</v>
      </c>
      <c r="G12" s="182"/>
      <c r="H12" s="183">
        <v>3402</v>
      </c>
      <c r="I12" s="184">
        <v>0</v>
      </c>
      <c r="J12" s="185">
        <f t="shared" ref="J12" si="21">SUM(H12:I12)</f>
        <v>3402</v>
      </c>
      <c r="K12" s="186">
        <f t="shared" si="1"/>
        <v>0</v>
      </c>
      <c r="L12" s="186">
        <f t="shared" si="14"/>
        <v>3402</v>
      </c>
      <c r="M12" s="186">
        <f t="shared" si="3"/>
        <v>2699.41</v>
      </c>
      <c r="N12" s="186">
        <f t="shared" si="15"/>
        <v>702.59000000000015</v>
      </c>
      <c r="O12" s="187">
        <f t="shared" si="5"/>
        <v>0.10879999999999999</v>
      </c>
      <c r="P12" s="186">
        <f t="shared" si="16"/>
        <v>76.441792000000007</v>
      </c>
      <c r="Q12" s="188">
        <f t="shared" si="7"/>
        <v>158.55000000000001</v>
      </c>
      <c r="R12" s="186">
        <f t="shared" si="17"/>
        <v>234.99179200000003</v>
      </c>
      <c r="S12" s="189">
        <f t="shared" si="9"/>
        <v>125.1</v>
      </c>
      <c r="T12" s="186">
        <f t="shared" si="18"/>
        <v>109.89</v>
      </c>
      <c r="U12" s="185">
        <f t="shared" si="19"/>
        <v>0</v>
      </c>
      <c r="V12" s="185">
        <f t="shared" si="20"/>
        <v>109.89</v>
      </c>
      <c r="W12" s="185">
        <f>SUM(V12:V12)</f>
        <v>109.89</v>
      </c>
      <c r="X12" s="185">
        <f>J12+U12-W12</f>
        <v>3292.11</v>
      </c>
      <c r="Y12" s="91"/>
    </row>
    <row r="13" spans="1:25" s="4" customFormat="1" ht="81" customHeight="1" x14ac:dyDescent="0.25">
      <c r="A13" s="44"/>
      <c r="B13" s="178" t="s">
        <v>134</v>
      </c>
      <c r="C13" s="178" t="s">
        <v>117</v>
      </c>
      <c r="D13" s="204" t="s">
        <v>133</v>
      </c>
      <c r="E13" s="180" t="s">
        <v>104</v>
      </c>
      <c r="F13" s="181">
        <v>15</v>
      </c>
      <c r="G13" s="182">
        <f>H13/F13</f>
        <v>251.72266666666667</v>
      </c>
      <c r="H13" s="183">
        <v>3775.84</v>
      </c>
      <c r="I13" s="184">
        <v>0</v>
      </c>
      <c r="J13" s="185">
        <f t="shared" ref="J13" si="22">SUM(H13:I13)</f>
        <v>3775.84</v>
      </c>
      <c r="K13" s="186">
        <f t="shared" si="1"/>
        <v>0</v>
      </c>
      <c r="L13" s="186">
        <f t="shared" si="14"/>
        <v>3775.84</v>
      </c>
      <c r="M13" s="186">
        <f t="shared" si="3"/>
        <v>2699.41</v>
      </c>
      <c r="N13" s="186">
        <f t="shared" si="15"/>
        <v>1076.4300000000003</v>
      </c>
      <c r="O13" s="187">
        <f t="shared" si="5"/>
        <v>0.10879999999999999</v>
      </c>
      <c r="P13" s="186">
        <f t="shared" si="16"/>
        <v>117.11558400000003</v>
      </c>
      <c r="Q13" s="188">
        <f t="shared" si="7"/>
        <v>158.55000000000001</v>
      </c>
      <c r="R13" s="186">
        <f t="shared" si="17"/>
        <v>275.66558400000002</v>
      </c>
      <c r="S13" s="189">
        <f t="shared" si="9"/>
        <v>0</v>
      </c>
      <c r="T13" s="186">
        <f t="shared" si="18"/>
        <v>275.67</v>
      </c>
      <c r="U13" s="185">
        <f>-IF(T13&gt;0,0,T13)</f>
        <v>0</v>
      </c>
      <c r="V13" s="185">
        <f>IF(T13&lt;0,0,T13)</f>
        <v>275.67</v>
      </c>
      <c r="W13" s="185">
        <f>SUM(V13:V13)</f>
        <v>275.67</v>
      </c>
      <c r="X13" s="185">
        <f>J13+U13-W13</f>
        <v>3500.17</v>
      </c>
      <c r="Y13" s="91"/>
    </row>
    <row r="14" spans="1:25" s="4" customFormat="1" ht="81" customHeight="1" x14ac:dyDescent="0.25">
      <c r="A14" s="44"/>
      <c r="B14" s="178" t="s">
        <v>196</v>
      </c>
      <c r="C14" s="178" t="s">
        <v>117</v>
      </c>
      <c r="D14" s="201" t="s">
        <v>197</v>
      </c>
      <c r="E14" s="180" t="s">
        <v>270</v>
      </c>
      <c r="F14" s="181">
        <v>15</v>
      </c>
      <c r="G14" s="182"/>
      <c r="H14" s="183">
        <v>3303.5</v>
      </c>
      <c r="I14" s="184">
        <v>0</v>
      </c>
      <c r="J14" s="185">
        <f t="shared" ref="J14" si="23">SUM(H14:I14)</f>
        <v>3303.5</v>
      </c>
      <c r="K14" s="186">
        <f t="shared" si="1"/>
        <v>0</v>
      </c>
      <c r="L14" s="186">
        <f t="shared" si="14"/>
        <v>3303.5</v>
      </c>
      <c r="M14" s="186">
        <f t="shared" si="3"/>
        <v>2699.41</v>
      </c>
      <c r="N14" s="186">
        <f t="shared" si="15"/>
        <v>604.09000000000015</v>
      </c>
      <c r="O14" s="187">
        <f t="shared" si="5"/>
        <v>0.10879999999999999</v>
      </c>
      <c r="P14" s="186">
        <f t="shared" si="16"/>
        <v>65.724992000000015</v>
      </c>
      <c r="Q14" s="188">
        <f t="shared" si="7"/>
        <v>158.55000000000001</v>
      </c>
      <c r="R14" s="186">
        <f t="shared" si="17"/>
        <v>224.27499200000003</v>
      </c>
      <c r="S14" s="189">
        <f t="shared" si="9"/>
        <v>125.1</v>
      </c>
      <c r="T14" s="186">
        <f t="shared" si="18"/>
        <v>99.17</v>
      </c>
      <c r="U14" s="185">
        <f t="shared" ref="U14" si="24">-IF(T14&gt;0,0,T14)</f>
        <v>0</v>
      </c>
      <c r="V14" s="185">
        <f t="shared" ref="V14" si="25">IF(T14&lt;0,0,T14)</f>
        <v>99.17</v>
      </c>
      <c r="W14" s="185">
        <f>SUM(V14:V14)</f>
        <v>99.17</v>
      </c>
      <c r="X14" s="185">
        <f>J14+U14-W14</f>
        <v>3204.33</v>
      </c>
      <c r="Y14" s="91"/>
    </row>
    <row r="15" spans="1:25" s="4" customFormat="1" ht="81" customHeight="1" x14ac:dyDescent="0.25">
      <c r="A15" s="44"/>
      <c r="B15" s="178" t="s">
        <v>271</v>
      </c>
      <c r="C15" s="178" t="s">
        <v>117</v>
      </c>
      <c r="D15" s="204" t="s">
        <v>273</v>
      </c>
      <c r="E15" s="180" t="s">
        <v>272</v>
      </c>
      <c r="F15" s="181">
        <v>15</v>
      </c>
      <c r="G15" s="182"/>
      <c r="H15" s="183">
        <v>2304.35</v>
      </c>
      <c r="I15" s="184">
        <v>0</v>
      </c>
      <c r="J15" s="185">
        <f>SUM(H15:I15)</f>
        <v>2304.35</v>
      </c>
      <c r="K15" s="186">
        <f>IF(H15/15&lt;=SMG,0,I15/2)</f>
        <v>0</v>
      </c>
      <c r="L15" s="186">
        <f t="shared" si="14"/>
        <v>2304.35</v>
      </c>
      <c r="M15" s="186">
        <f>VLOOKUP(L15,Tarifa1,1)</f>
        <v>318.01</v>
      </c>
      <c r="N15" s="186">
        <f t="shared" si="15"/>
        <v>1986.34</v>
      </c>
      <c r="O15" s="187">
        <f>VLOOKUP(L15,Tarifa1,3)</f>
        <v>6.4000000000000001E-2</v>
      </c>
      <c r="P15" s="186">
        <f t="shared" si="16"/>
        <v>127.12576</v>
      </c>
      <c r="Q15" s="188">
        <f>VLOOKUP(L15,Tarifa1,2)</f>
        <v>6.15</v>
      </c>
      <c r="R15" s="186">
        <f t="shared" si="17"/>
        <v>133.27575999999999</v>
      </c>
      <c r="S15" s="186">
        <f>VLOOKUP(L15,Credito1,2)</f>
        <v>174.75</v>
      </c>
      <c r="T15" s="186">
        <f t="shared" si="18"/>
        <v>-41.47</v>
      </c>
      <c r="U15" s="185">
        <f>-IF(T15&gt;0,0,T15)</f>
        <v>41.47</v>
      </c>
      <c r="V15" s="185">
        <f>IF(T15&lt;0,0,T15)</f>
        <v>0</v>
      </c>
      <c r="W15" s="185">
        <f>SUM(V15:V15)</f>
        <v>0</v>
      </c>
      <c r="X15" s="185">
        <f>J15+U15-W15</f>
        <v>2345.8199999999997</v>
      </c>
      <c r="Y15" s="91"/>
    </row>
    <row r="16" spans="1:25" s="4" customFormat="1" ht="81" customHeight="1" x14ac:dyDescent="0.25">
      <c r="A16" s="44"/>
      <c r="B16" s="177" t="s">
        <v>240</v>
      </c>
      <c r="C16" s="178" t="s">
        <v>117</v>
      </c>
      <c r="D16" s="180" t="s">
        <v>259</v>
      </c>
      <c r="E16" s="179" t="s">
        <v>74</v>
      </c>
      <c r="F16" s="181">
        <v>15</v>
      </c>
      <c r="G16" s="182">
        <f>H16/F16</f>
        <v>483.10066666666665</v>
      </c>
      <c r="H16" s="183">
        <v>7246.51</v>
      </c>
      <c r="I16" s="184">
        <v>0</v>
      </c>
      <c r="J16" s="185">
        <f t="shared" ref="J16" si="26">SUM(H16:I16)</f>
        <v>7246.51</v>
      </c>
      <c r="K16" s="186">
        <f t="shared" ref="K16" si="27">IF(H16/15&lt;=SMG,0,I16/2)</f>
        <v>0</v>
      </c>
      <c r="L16" s="186">
        <f t="shared" si="14"/>
        <v>7246.51</v>
      </c>
      <c r="M16" s="186">
        <f t="shared" ref="M16" si="28">VLOOKUP(L16,Tarifa1,1)</f>
        <v>6602.71</v>
      </c>
      <c r="N16" s="186">
        <f t="shared" si="15"/>
        <v>643.80000000000018</v>
      </c>
      <c r="O16" s="187">
        <f t="shared" ref="O16" si="29">VLOOKUP(L16,Tarifa1,3)</f>
        <v>0.21360000000000001</v>
      </c>
      <c r="P16" s="186">
        <f t="shared" si="16"/>
        <v>137.51568000000006</v>
      </c>
      <c r="Q16" s="188">
        <f t="shared" ref="Q16" si="30">VLOOKUP(L16,Tarifa1,2)</f>
        <v>699.3</v>
      </c>
      <c r="R16" s="186">
        <f t="shared" si="17"/>
        <v>836.81568000000004</v>
      </c>
      <c r="S16" s="186">
        <f t="shared" ref="S16" si="31">VLOOKUP(L16,Credito1,2)</f>
        <v>0</v>
      </c>
      <c r="T16" s="186">
        <f t="shared" si="18"/>
        <v>836.82</v>
      </c>
      <c r="U16" s="185">
        <f t="shared" ref="U16" si="32">-IF(T16&gt;0,0,T16)</f>
        <v>0</v>
      </c>
      <c r="V16" s="185">
        <f t="shared" ref="V16" si="33">IF(T16&lt;0,0,T16)</f>
        <v>836.82</v>
      </c>
      <c r="W16" s="185">
        <f>SUM(V16:V16)</f>
        <v>836.82</v>
      </c>
      <c r="X16" s="185">
        <f>J16+U16-W16</f>
        <v>6409.6900000000005</v>
      </c>
      <c r="Y16" s="91"/>
    </row>
    <row r="17" spans="1:31" s="4" customFormat="1" ht="81" customHeight="1" x14ac:dyDescent="0.25">
      <c r="A17" s="44"/>
      <c r="B17" s="177" t="s">
        <v>241</v>
      </c>
      <c r="C17" s="178" t="s">
        <v>117</v>
      </c>
      <c r="D17" s="179" t="s">
        <v>258</v>
      </c>
      <c r="E17" s="180" t="s">
        <v>176</v>
      </c>
      <c r="F17" s="181">
        <v>15</v>
      </c>
      <c r="G17" s="182"/>
      <c r="H17" s="183">
        <v>3868.5</v>
      </c>
      <c r="I17" s="184">
        <v>0</v>
      </c>
      <c r="J17" s="185">
        <f>SUM(H17:I17)</f>
        <v>3868.5</v>
      </c>
      <c r="K17" s="186">
        <f>IF(H17/15&lt;=SMG,0,I17/2)</f>
        <v>0</v>
      </c>
      <c r="L17" s="186">
        <f t="shared" si="14"/>
        <v>3868.5</v>
      </c>
      <c r="M17" s="186">
        <f>VLOOKUP(L17,Tarifa1,1)</f>
        <v>2699.41</v>
      </c>
      <c r="N17" s="186">
        <f t="shared" si="15"/>
        <v>1169.0900000000001</v>
      </c>
      <c r="O17" s="187">
        <f>VLOOKUP(L17,Tarifa1,3)</f>
        <v>0.10879999999999999</v>
      </c>
      <c r="P17" s="186">
        <f t="shared" si="16"/>
        <v>127.19699200000001</v>
      </c>
      <c r="Q17" s="188">
        <f>VLOOKUP(L17,Tarifa1,2)</f>
        <v>158.55000000000001</v>
      </c>
      <c r="R17" s="186">
        <f t="shared" si="17"/>
        <v>285.74699200000003</v>
      </c>
      <c r="S17" s="189">
        <f>VLOOKUP(L17,Credito1,2)</f>
        <v>0</v>
      </c>
      <c r="T17" s="186">
        <f t="shared" si="18"/>
        <v>285.75</v>
      </c>
      <c r="U17" s="185">
        <f>-IF(T17&gt;0,0,T17)</f>
        <v>0</v>
      </c>
      <c r="V17" s="194">
        <f>IF(T17&lt;0,0,T17)</f>
        <v>285.75</v>
      </c>
      <c r="W17" s="185">
        <f>SUM(V17:V17)</f>
        <v>285.75</v>
      </c>
      <c r="X17" s="185">
        <f>J17+U17-W17</f>
        <v>3582.75</v>
      </c>
      <c r="Y17" s="91"/>
    </row>
    <row r="18" spans="1:31" s="4" customFormat="1" ht="81" customHeight="1" x14ac:dyDescent="0.25">
      <c r="A18" s="120"/>
      <c r="B18" s="177" t="s">
        <v>210</v>
      </c>
      <c r="C18" s="178" t="s">
        <v>117</v>
      </c>
      <c r="D18" s="180" t="s">
        <v>83</v>
      </c>
      <c r="E18" s="180" t="s">
        <v>191</v>
      </c>
      <c r="F18" s="181">
        <v>15</v>
      </c>
      <c r="G18" s="182">
        <f>H18/F18</f>
        <v>208.46666666666667</v>
      </c>
      <c r="H18" s="183">
        <v>3127</v>
      </c>
      <c r="I18" s="184">
        <v>0</v>
      </c>
      <c r="J18" s="185">
        <f>SUM(H18:I18)</f>
        <v>3127</v>
      </c>
      <c r="K18" s="186">
        <f>IF(H18/15&lt;=SMG,0,I18/2)</f>
        <v>0</v>
      </c>
      <c r="L18" s="186">
        <f t="shared" ref="L18:L20" si="34">H18+K18</f>
        <v>3127</v>
      </c>
      <c r="M18" s="186">
        <f>VLOOKUP(L18,Tarifa1,1)</f>
        <v>2699.41</v>
      </c>
      <c r="N18" s="186">
        <f t="shared" ref="N18:N20" si="35">L18-M18</f>
        <v>427.59000000000015</v>
      </c>
      <c r="O18" s="187">
        <f>VLOOKUP(L18,Tarifa1,3)</f>
        <v>0.10879999999999999</v>
      </c>
      <c r="P18" s="186">
        <f t="shared" ref="P18:P20" si="36">N18*O18</f>
        <v>46.521792000000012</v>
      </c>
      <c r="Q18" s="188">
        <f>VLOOKUP(L18,Tarifa1,2)</f>
        <v>158.55000000000001</v>
      </c>
      <c r="R18" s="186">
        <f t="shared" ref="R18:R20" si="37">P18+Q18</f>
        <v>205.07179200000002</v>
      </c>
      <c r="S18" s="189">
        <f>VLOOKUP(L18,Credito1,2)</f>
        <v>125.1</v>
      </c>
      <c r="T18" s="186">
        <f t="shared" ref="T18:T20" si="38">ROUND(R18-S18,2)</f>
        <v>79.97</v>
      </c>
      <c r="U18" s="185">
        <f>-IF(T18&gt;0,0,T18)</f>
        <v>0</v>
      </c>
      <c r="V18" s="185">
        <f>IF(T18&lt;0,0,T18)</f>
        <v>79.97</v>
      </c>
      <c r="W18" s="185">
        <f>SUM(V18:V18)</f>
        <v>79.97</v>
      </c>
      <c r="X18" s="185">
        <f>J18+U18-W18</f>
        <v>3047.03</v>
      </c>
      <c r="Y18" s="91"/>
      <c r="Z18" s="89"/>
    </row>
    <row r="19" spans="1:31" s="4" customFormat="1" ht="81" customHeight="1" x14ac:dyDescent="0.25">
      <c r="A19" s="120"/>
      <c r="B19" s="177" t="s">
        <v>242</v>
      </c>
      <c r="C19" s="178" t="s">
        <v>117</v>
      </c>
      <c r="D19" s="180" t="s">
        <v>254</v>
      </c>
      <c r="E19" s="180" t="s">
        <v>146</v>
      </c>
      <c r="F19" s="181">
        <v>15</v>
      </c>
      <c r="G19" s="182"/>
      <c r="H19" s="183">
        <v>3513.5</v>
      </c>
      <c r="I19" s="184">
        <v>0</v>
      </c>
      <c r="J19" s="185">
        <f t="shared" ref="J19" si="39">SUM(H19:I19)</f>
        <v>3513.5</v>
      </c>
      <c r="K19" s="186">
        <f t="shared" ref="K19" si="40">IF(H19/15&lt;=SMG,0,I19/2)</f>
        <v>0</v>
      </c>
      <c r="L19" s="186">
        <f t="shared" si="34"/>
        <v>3513.5</v>
      </c>
      <c r="M19" s="186">
        <f t="shared" ref="M19" si="41">VLOOKUP(L19,Tarifa1,1)</f>
        <v>2699.41</v>
      </c>
      <c r="N19" s="186">
        <f t="shared" si="35"/>
        <v>814.09000000000015</v>
      </c>
      <c r="O19" s="187">
        <f t="shared" ref="O19" si="42">VLOOKUP(L19,Tarifa1,3)</f>
        <v>0.10879999999999999</v>
      </c>
      <c r="P19" s="186">
        <f t="shared" si="36"/>
        <v>88.572992000000013</v>
      </c>
      <c r="Q19" s="188">
        <f t="shared" ref="Q19" si="43">VLOOKUP(L19,Tarifa1,2)</f>
        <v>158.55000000000001</v>
      </c>
      <c r="R19" s="186">
        <f t="shared" si="37"/>
        <v>247.12299200000001</v>
      </c>
      <c r="S19" s="189">
        <f t="shared" ref="S19" si="44">VLOOKUP(L19,Credito1,2)</f>
        <v>107.4</v>
      </c>
      <c r="T19" s="186">
        <f t="shared" si="38"/>
        <v>139.72</v>
      </c>
      <c r="U19" s="185">
        <f t="shared" ref="U19" si="45">-IF(T19&gt;0,0,T19)</f>
        <v>0</v>
      </c>
      <c r="V19" s="185">
        <f t="shared" ref="V19" si="46">IF(T19&lt;0,0,T19)</f>
        <v>139.72</v>
      </c>
      <c r="W19" s="185">
        <f>SUM(V19:V19)</f>
        <v>139.72</v>
      </c>
      <c r="X19" s="185">
        <f>J19+U19-W19</f>
        <v>3373.78</v>
      </c>
      <c r="Y19" s="91"/>
      <c r="Z19" s="89"/>
    </row>
    <row r="20" spans="1:31" s="4" customFormat="1" ht="81" customHeight="1" x14ac:dyDescent="0.25">
      <c r="A20" s="120"/>
      <c r="B20" s="177" t="s">
        <v>275</v>
      </c>
      <c r="C20" s="178" t="s">
        <v>117</v>
      </c>
      <c r="D20" s="179" t="s">
        <v>256</v>
      </c>
      <c r="E20" s="180" t="s">
        <v>146</v>
      </c>
      <c r="F20" s="181">
        <v>15</v>
      </c>
      <c r="G20" s="182"/>
      <c r="H20" s="183">
        <v>3127</v>
      </c>
      <c r="I20" s="184">
        <v>0</v>
      </c>
      <c r="J20" s="185">
        <f>SUM(H20:I20)</f>
        <v>3127</v>
      </c>
      <c r="K20" s="186">
        <f>IF(H20/15&lt;=SMG,0,I20/2)</f>
        <v>0</v>
      </c>
      <c r="L20" s="186">
        <f t="shared" si="34"/>
        <v>3127</v>
      </c>
      <c r="M20" s="186">
        <f>VLOOKUP(L20,Tarifa1,1)</f>
        <v>2699.41</v>
      </c>
      <c r="N20" s="186">
        <f t="shared" si="35"/>
        <v>427.59000000000015</v>
      </c>
      <c r="O20" s="187">
        <f>VLOOKUP(L20,Tarifa1,3)</f>
        <v>0.10879999999999999</v>
      </c>
      <c r="P20" s="186">
        <f t="shared" si="36"/>
        <v>46.521792000000012</v>
      </c>
      <c r="Q20" s="188">
        <f>VLOOKUP(L20,Tarifa1,2)</f>
        <v>158.55000000000001</v>
      </c>
      <c r="R20" s="186">
        <f t="shared" si="37"/>
        <v>205.07179200000002</v>
      </c>
      <c r="S20" s="189">
        <f>VLOOKUP(L20,Credito1,2)</f>
        <v>125.1</v>
      </c>
      <c r="T20" s="186">
        <f t="shared" si="38"/>
        <v>79.97</v>
      </c>
      <c r="U20" s="185">
        <f>-IF(T20&gt;0,0,T20)</f>
        <v>0</v>
      </c>
      <c r="V20" s="185">
        <f>IF(T20&lt;0,0,T20)</f>
        <v>79.97</v>
      </c>
      <c r="W20" s="185">
        <f>SUM(V20:V20)</f>
        <v>79.97</v>
      </c>
      <c r="X20" s="185">
        <f>J20+U20-W20</f>
        <v>3047.03</v>
      </c>
      <c r="Y20" s="91"/>
      <c r="Z20" s="89"/>
    </row>
    <row r="21" spans="1:31" s="4" customFormat="1" ht="75" customHeight="1" x14ac:dyDescent="0.2">
      <c r="A21" s="120"/>
      <c r="B21" s="161"/>
      <c r="C21" s="120"/>
      <c r="D21" s="172"/>
      <c r="E21" s="172"/>
      <c r="F21" s="162"/>
      <c r="G21" s="163"/>
      <c r="H21" s="164"/>
      <c r="I21" s="165"/>
      <c r="J21" s="166"/>
      <c r="K21" s="167"/>
      <c r="L21" s="167"/>
      <c r="M21" s="167"/>
      <c r="N21" s="167"/>
      <c r="O21" s="168"/>
      <c r="P21" s="167"/>
      <c r="Q21" s="169"/>
      <c r="R21" s="167"/>
      <c r="S21" s="170"/>
      <c r="T21" s="167"/>
      <c r="U21" s="166"/>
      <c r="V21" s="166"/>
      <c r="W21" s="166"/>
      <c r="X21" s="166"/>
      <c r="Z21" s="89"/>
    </row>
    <row r="22" spans="1:31" s="4" customFormat="1" ht="24" customHeight="1" x14ac:dyDescent="0.25">
      <c r="A22" s="120"/>
      <c r="B22" s="276" t="s">
        <v>80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</row>
    <row r="23" spans="1:31" s="4" customFormat="1" ht="24" customHeight="1" x14ac:dyDescent="0.25">
      <c r="A23" s="120"/>
      <c r="B23" s="276" t="s">
        <v>65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</row>
    <row r="24" spans="1:31" s="4" customFormat="1" ht="25.5" customHeight="1" x14ac:dyDescent="0.25">
      <c r="A24" s="120"/>
      <c r="B24" s="267" t="s">
        <v>322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</row>
    <row r="25" spans="1:31" s="4" customFormat="1" ht="24" customHeight="1" x14ac:dyDescent="0.2">
      <c r="A25" s="120"/>
      <c r="B25" s="161"/>
      <c r="C25" s="120"/>
      <c r="D25" s="172"/>
      <c r="E25" s="172"/>
      <c r="F25" s="162"/>
      <c r="G25" s="163"/>
      <c r="H25" s="164"/>
      <c r="I25" s="165"/>
      <c r="J25" s="166"/>
      <c r="K25" s="167"/>
      <c r="L25" s="167"/>
      <c r="M25" s="167"/>
      <c r="N25" s="167"/>
      <c r="O25" s="168"/>
      <c r="P25" s="167"/>
      <c r="Q25" s="169"/>
      <c r="R25" s="167"/>
      <c r="S25" s="170"/>
      <c r="T25" s="167"/>
      <c r="U25" s="166"/>
      <c r="V25" s="166"/>
      <c r="W25" s="166"/>
      <c r="X25" s="166"/>
      <c r="Z25" s="89"/>
    </row>
    <row r="26" spans="1:31" s="4" customFormat="1" ht="21.75" customHeight="1" x14ac:dyDescent="0.2">
      <c r="A26" s="120"/>
      <c r="B26" s="161"/>
      <c r="C26" s="120"/>
      <c r="D26" s="172"/>
      <c r="E26" s="172"/>
      <c r="F26" s="162"/>
      <c r="G26" s="163"/>
      <c r="H26" s="164"/>
      <c r="I26" s="165"/>
      <c r="J26" s="166"/>
      <c r="K26" s="167"/>
      <c r="L26" s="167"/>
      <c r="M26" s="167"/>
      <c r="N26" s="167"/>
      <c r="O26" s="168"/>
      <c r="P26" s="167"/>
      <c r="Q26" s="169"/>
      <c r="R26" s="167"/>
      <c r="S26" s="170"/>
      <c r="T26" s="167"/>
      <c r="U26" s="166"/>
      <c r="V26" s="166"/>
      <c r="W26" s="166"/>
      <c r="X26" s="166"/>
      <c r="Z26" s="89"/>
    </row>
    <row r="27" spans="1:31" s="4" customFormat="1" ht="57.75" customHeight="1" x14ac:dyDescent="0.25">
      <c r="A27" s="115"/>
      <c r="B27" s="124" t="s">
        <v>103</v>
      </c>
      <c r="C27" s="124" t="s">
        <v>126</v>
      </c>
      <c r="D27" s="125" t="s">
        <v>125</v>
      </c>
      <c r="E27" s="125" t="s">
        <v>62</v>
      </c>
      <c r="F27" s="125"/>
      <c r="G27" s="125"/>
      <c r="H27" s="126">
        <f>SUM(H28:H29)</f>
        <v>9508</v>
      </c>
      <c r="I27" s="126">
        <f>SUM(I28:I29)</f>
        <v>0</v>
      </c>
      <c r="J27" s="126">
        <f>SUM(J28:J29)</f>
        <v>9508</v>
      </c>
      <c r="K27" s="125"/>
      <c r="L27" s="125"/>
      <c r="M27" s="125"/>
      <c r="N27" s="125"/>
      <c r="O27" s="125"/>
      <c r="P27" s="125"/>
      <c r="Q27" s="127"/>
      <c r="R27" s="125"/>
      <c r="S27" s="125"/>
      <c r="T27" s="125"/>
      <c r="U27" s="126">
        <f>SUM(U28:U29)</f>
        <v>0</v>
      </c>
      <c r="V27" s="126">
        <f>SUM(V28:V29)</f>
        <v>776.81</v>
      </c>
      <c r="W27" s="126">
        <f>SUM(W28:W29)</f>
        <v>776.81</v>
      </c>
      <c r="X27" s="126">
        <f>SUM(X28:X29)</f>
        <v>8731.1899999999987</v>
      </c>
      <c r="Y27" s="100"/>
    </row>
    <row r="28" spans="1:31" s="4" customFormat="1" ht="81" customHeight="1" x14ac:dyDescent="0.25">
      <c r="A28" s="117" t="s">
        <v>86</v>
      </c>
      <c r="B28" s="177" t="s">
        <v>162</v>
      </c>
      <c r="C28" s="178" t="s">
        <v>117</v>
      </c>
      <c r="D28" s="180" t="s">
        <v>148</v>
      </c>
      <c r="E28" s="180" t="s">
        <v>147</v>
      </c>
      <c r="F28" s="181">
        <v>15</v>
      </c>
      <c r="G28" s="182">
        <f>H28/F28</f>
        <v>332.73333333333335</v>
      </c>
      <c r="H28" s="183">
        <v>4991</v>
      </c>
      <c r="I28" s="184">
        <v>0</v>
      </c>
      <c r="J28" s="185">
        <f>SUM(H28:I28)</f>
        <v>4991</v>
      </c>
      <c r="K28" s="186">
        <f>IF(H28/15&lt;=SMG,0,I28/2)</f>
        <v>0</v>
      </c>
      <c r="L28" s="186">
        <f t="shared" ref="L28:L29" si="47">H28+K28</f>
        <v>4991</v>
      </c>
      <c r="M28" s="186">
        <f>VLOOKUP(L28,Tarifa1,1)</f>
        <v>4744.0600000000004</v>
      </c>
      <c r="N28" s="186">
        <f t="shared" ref="N28:N29" si="48">L28-M28</f>
        <v>246.9399999999996</v>
      </c>
      <c r="O28" s="187">
        <f>VLOOKUP(L28,Tarifa1,3)</f>
        <v>0.16</v>
      </c>
      <c r="P28" s="186">
        <f t="shared" ref="P28:P29" si="49">N28*O28</f>
        <v>39.51039999999994</v>
      </c>
      <c r="Q28" s="188">
        <f>VLOOKUP(L28,Tarifa1,2)</f>
        <v>381</v>
      </c>
      <c r="R28" s="186">
        <f t="shared" ref="R28:R29" si="50">P28+Q28</f>
        <v>420.51039999999995</v>
      </c>
      <c r="S28" s="189">
        <f>VLOOKUP(L28,Credito1,2)</f>
        <v>0</v>
      </c>
      <c r="T28" s="186">
        <f t="shared" ref="T28:T29" si="51">ROUND(R28-S28,2)</f>
        <v>420.51</v>
      </c>
      <c r="U28" s="185">
        <f>-IF(T28&gt;0,0,T28)</f>
        <v>0</v>
      </c>
      <c r="V28" s="185">
        <f>IF(T28&lt;0,0,T28)</f>
        <v>420.51</v>
      </c>
      <c r="W28" s="185">
        <f>SUM(V28:V28)</f>
        <v>420.51</v>
      </c>
      <c r="X28" s="185">
        <f>J28+U28-W28</f>
        <v>4570.49</v>
      </c>
      <c r="Y28" s="91"/>
      <c r="AE28" s="96"/>
    </row>
    <row r="29" spans="1:31" s="4" customFormat="1" ht="81" customHeight="1" x14ac:dyDescent="0.25">
      <c r="A29" s="117"/>
      <c r="B29" s="177" t="s">
        <v>184</v>
      </c>
      <c r="C29" s="178" t="s">
        <v>117</v>
      </c>
      <c r="D29" s="179" t="s">
        <v>174</v>
      </c>
      <c r="E29" s="180" t="s">
        <v>175</v>
      </c>
      <c r="F29" s="181">
        <v>15</v>
      </c>
      <c r="G29" s="182"/>
      <c r="H29" s="183">
        <v>4517</v>
      </c>
      <c r="I29" s="184">
        <v>0</v>
      </c>
      <c r="J29" s="185">
        <f>SUM(H29:I29)</f>
        <v>4517</v>
      </c>
      <c r="K29" s="186">
        <f>IF(H29/15&lt;=SMG,0,I29/2)</f>
        <v>0</v>
      </c>
      <c r="L29" s="186">
        <f t="shared" si="47"/>
        <v>4517</v>
      </c>
      <c r="M29" s="186">
        <f>VLOOKUP(L29,Tarifa1,1)</f>
        <v>2699.41</v>
      </c>
      <c r="N29" s="186">
        <f t="shared" si="48"/>
        <v>1817.5900000000001</v>
      </c>
      <c r="O29" s="187">
        <f>VLOOKUP(L29,Tarifa1,3)</f>
        <v>0.10879999999999999</v>
      </c>
      <c r="P29" s="186">
        <f t="shared" si="49"/>
        <v>197.753792</v>
      </c>
      <c r="Q29" s="188">
        <f>VLOOKUP(L29,Tarifa1,2)</f>
        <v>158.55000000000001</v>
      </c>
      <c r="R29" s="186">
        <f t="shared" si="50"/>
        <v>356.30379200000004</v>
      </c>
      <c r="S29" s="189">
        <f>VLOOKUP(L29,Credito1,2)</f>
        <v>0</v>
      </c>
      <c r="T29" s="186">
        <f t="shared" si="51"/>
        <v>356.3</v>
      </c>
      <c r="U29" s="185">
        <f>-IF(T29&gt;0,0,T29)</f>
        <v>0</v>
      </c>
      <c r="V29" s="185">
        <f>IF(T29&lt;0,0,T29)</f>
        <v>356.3</v>
      </c>
      <c r="W29" s="185">
        <f>SUM(V29:V29)</f>
        <v>356.3</v>
      </c>
      <c r="X29" s="185">
        <f>J29+U29-W29</f>
        <v>4160.7</v>
      </c>
      <c r="Y29" s="91"/>
      <c r="AE29" s="96"/>
    </row>
    <row r="30" spans="1:31" s="4" customFormat="1" ht="27.75" customHeight="1" x14ac:dyDescent="0.25">
      <c r="A30" s="212"/>
      <c r="B30" s="212"/>
      <c r="C30" s="212"/>
      <c r="D30" s="212"/>
      <c r="E30" s="212"/>
      <c r="F30" s="212"/>
      <c r="G30" s="212"/>
      <c r="H30" s="218"/>
      <c r="I30" s="218"/>
      <c r="J30" s="218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</row>
    <row r="31" spans="1:31" s="4" customFormat="1" ht="75" customHeight="1" thickBot="1" x14ac:dyDescent="0.3">
      <c r="A31" s="263" t="s">
        <v>45</v>
      </c>
      <c r="B31" s="264"/>
      <c r="C31" s="264"/>
      <c r="D31" s="264"/>
      <c r="E31" s="264"/>
      <c r="F31" s="264"/>
      <c r="G31" s="265"/>
      <c r="H31" s="192">
        <f>H9+H27</f>
        <v>50035.7</v>
      </c>
      <c r="I31" s="192">
        <f>I9+I27</f>
        <v>0</v>
      </c>
      <c r="J31" s="192">
        <f>J9+J27</f>
        <v>50035.7</v>
      </c>
      <c r="K31" s="193">
        <f t="shared" ref="K31:T31" si="52">SUM(K10:K30)</f>
        <v>0</v>
      </c>
      <c r="L31" s="193">
        <f t="shared" si="52"/>
        <v>50035.7</v>
      </c>
      <c r="M31" s="193">
        <f t="shared" si="52"/>
        <v>38658.880000000005</v>
      </c>
      <c r="N31" s="193">
        <f t="shared" si="52"/>
        <v>11376.82</v>
      </c>
      <c r="O31" s="193">
        <f t="shared" si="52"/>
        <v>1.5255999999999998</v>
      </c>
      <c r="P31" s="193">
        <f t="shared" si="52"/>
        <v>1228.9235520000002</v>
      </c>
      <c r="Q31" s="193">
        <f t="shared" si="52"/>
        <v>2671.95</v>
      </c>
      <c r="R31" s="193">
        <f t="shared" si="52"/>
        <v>3900.8735520000009</v>
      </c>
      <c r="S31" s="193">
        <f t="shared" si="52"/>
        <v>1032.75</v>
      </c>
      <c r="T31" s="193">
        <f t="shared" si="52"/>
        <v>2868.12</v>
      </c>
      <c r="U31" s="192">
        <f>U9+U27</f>
        <v>41.47</v>
      </c>
      <c r="V31" s="192">
        <f>V9+V27</f>
        <v>2909.5899999999997</v>
      </c>
      <c r="W31" s="192">
        <f>W9+W27</f>
        <v>2909.5899999999997</v>
      </c>
      <c r="X31" s="192">
        <f>X9+X27</f>
        <v>47167.58</v>
      </c>
    </row>
    <row r="32" spans="1:31" s="4" customFormat="1" ht="18" customHeight="1" thickTop="1" x14ac:dyDescent="0.25">
      <c r="A32" s="173"/>
      <c r="B32" s="173"/>
      <c r="C32" s="173"/>
      <c r="D32" s="173"/>
      <c r="E32" s="173"/>
      <c r="F32" s="173"/>
      <c r="G32" s="173"/>
      <c r="H32" s="174"/>
      <c r="I32" s="174"/>
      <c r="J32" s="174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4"/>
      <c r="V32" s="174"/>
      <c r="W32" s="174"/>
      <c r="X32" s="174"/>
    </row>
    <row r="33" spans="1:24" s="4" customFormat="1" ht="18" customHeight="1" x14ac:dyDescent="0.25">
      <c r="A33" s="173"/>
      <c r="B33" s="173"/>
      <c r="C33" s="173"/>
      <c r="D33" s="173"/>
      <c r="E33" s="173"/>
      <c r="F33" s="173"/>
      <c r="G33" s="173"/>
      <c r="H33" s="174"/>
      <c r="I33" s="174"/>
      <c r="J33" s="174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4"/>
      <c r="V33" s="174"/>
      <c r="W33" s="174"/>
      <c r="X33" s="174"/>
    </row>
    <row r="34" spans="1:24" s="4" customFormat="1" ht="18" customHeight="1" x14ac:dyDescent="0.25">
      <c r="A34" s="173"/>
      <c r="B34" s="173"/>
      <c r="C34" s="173"/>
      <c r="D34" s="173"/>
      <c r="E34" s="173"/>
      <c r="F34" s="173"/>
      <c r="G34" s="173"/>
      <c r="H34" s="174"/>
      <c r="I34" s="174"/>
      <c r="J34" s="174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4"/>
      <c r="V34" s="174"/>
      <c r="W34" s="174"/>
      <c r="X34" s="174"/>
    </row>
    <row r="35" spans="1:24" s="4" customFormat="1" ht="18" customHeight="1" x14ac:dyDescent="0.25">
      <c r="A35" s="173"/>
      <c r="B35" s="173"/>
      <c r="C35" s="173"/>
      <c r="D35" s="173"/>
      <c r="E35" s="173"/>
      <c r="F35" s="173"/>
      <c r="G35" s="173"/>
      <c r="H35" s="174"/>
      <c r="I35" s="174"/>
      <c r="J35" s="174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4"/>
      <c r="V35" s="174"/>
      <c r="W35" s="174"/>
      <c r="X35" s="174"/>
    </row>
    <row r="36" spans="1:24" s="4" customFormat="1" ht="18" customHeight="1" x14ac:dyDescent="0.25">
      <c r="A36" s="173"/>
      <c r="B36" s="173"/>
      <c r="C36" s="173"/>
      <c r="D36" s="173"/>
      <c r="E36" s="173"/>
      <c r="F36" s="173"/>
      <c r="G36" s="173"/>
      <c r="H36" s="174"/>
      <c r="I36" s="174"/>
      <c r="J36" s="174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4"/>
      <c r="V36" s="174"/>
      <c r="W36" s="174"/>
      <c r="X36" s="174"/>
    </row>
    <row r="37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1"/>
  <sheetViews>
    <sheetView topLeftCell="B29" zoomScale="57" zoomScaleNormal="57" workbookViewId="0">
      <selection activeCell="W2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31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31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85" t="s">
        <v>126</v>
      </c>
      <c r="D5" s="48"/>
      <c r="E5" s="48"/>
      <c r="F5" s="49" t="s">
        <v>23</v>
      </c>
      <c r="G5" s="49" t="s">
        <v>6</v>
      </c>
      <c r="H5" s="288" t="s">
        <v>1</v>
      </c>
      <c r="I5" s="289"/>
      <c r="J5" s="290"/>
      <c r="K5" s="50" t="s">
        <v>26</v>
      </c>
      <c r="L5" s="51"/>
      <c r="M5" s="291" t="s">
        <v>9</v>
      </c>
      <c r="N5" s="292"/>
      <c r="O5" s="292"/>
      <c r="P5" s="292"/>
      <c r="Q5" s="292"/>
      <c r="R5" s="293"/>
      <c r="S5" s="50" t="s">
        <v>30</v>
      </c>
      <c r="T5" s="50" t="s">
        <v>10</v>
      </c>
      <c r="U5" s="49" t="s">
        <v>54</v>
      </c>
      <c r="V5" s="294" t="s">
        <v>2</v>
      </c>
      <c r="W5" s="295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103</v>
      </c>
      <c r="C6" s="286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7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53"/>
      <c r="B7" s="53"/>
      <c r="C7" s="287"/>
      <c r="D7" s="53"/>
      <c r="E7" s="53"/>
      <c r="F7" s="53"/>
      <c r="G7" s="53"/>
      <c r="H7" s="53" t="s">
        <v>47</v>
      </c>
      <c r="I7" s="53" t="s">
        <v>60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8" t="s">
        <v>15</v>
      </c>
      <c r="R7" s="50" t="s">
        <v>39</v>
      </c>
      <c r="S7" s="55" t="s">
        <v>19</v>
      </c>
      <c r="T7" s="56" t="s">
        <v>127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84.95" customHeight="1" x14ac:dyDescent="0.25">
      <c r="A8" s="37"/>
      <c r="B8" s="104" t="s">
        <v>103</v>
      </c>
      <c r="C8" s="104" t="s">
        <v>126</v>
      </c>
      <c r="D8" s="37" t="s">
        <v>152</v>
      </c>
      <c r="E8" s="37" t="s">
        <v>62</v>
      </c>
      <c r="F8" s="37"/>
      <c r="G8" s="37"/>
      <c r="H8" s="101">
        <f>SUM(H9:H9)</f>
        <v>6808.5</v>
      </c>
      <c r="I8" s="101">
        <f>SUM(I9:I9)</f>
        <v>0</v>
      </c>
      <c r="J8" s="101">
        <f>SUM(J9:J9)</f>
        <v>6808.5</v>
      </c>
      <c r="K8" s="37"/>
      <c r="L8" s="37"/>
      <c r="M8" s="37"/>
      <c r="N8" s="37"/>
      <c r="O8" s="37"/>
      <c r="P8" s="37"/>
      <c r="Q8" s="102"/>
      <c r="R8" s="37"/>
      <c r="S8" s="37"/>
      <c r="T8" s="37"/>
      <c r="U8" s="101">
        <f>SUM(U9:U9)</f>
        <v>0</v>
      </c>
      <c r="V8" s="101">
        <f>SUM(V9:V9)</f>
        <v>743.26</v>
      </c>
      <c r="W8" s="101">
        <f>SUM(W9:W9)</f>
        <v>743.26</v>
      </c>
      <c r="X8" s="101">
        <f>SUM(X9:X9)</f>
        <v>6065.24</v>
      </c>
      <c r="Y8" s="103"/>
    </row>
    <row r="9" spans="1:31" s="52" customFormat="1" ht="84.95" customHeight="1" x14ac:dyDescent="0.25">
      <c r="A9" s="37"/>
      <c r="B9" s="219">
        <v>275</v>
      </c>
      <c r="C9" s="220" t="s">
        <v>117</v>
      </c>
      <c r="D9" s="221" t="s">
        <v>269</v>
      </c>
      <c r="E9" s="222" t="s">
        <v>237</v>
      </c>
      <c r="F9" s="206">
        <v>15</v>
      </c>
      <c r="G9" s="206"/>
      <c r="H9" s="183">
        <v>6808.5</v>
      </c>
      <c r="I9" s="184">
        <v>0</v>
      </c>
      <c r="J9" s="185">
        <f>SUM(H9:I9)</f>
        <v>6808.5</v>
      </c>
      <c r="K9" s="186">
        <f>IF(H9/15&lt;=SMG,0,I9/2)</f>
        <v>0</v>
      </c>
      <c r="L9" s="186">
        <f t="shared" ref="L9:L10" si="0">H9+K9</f>
        <v>6808.5</v>
      </c>
      <c r="M9" s="186">
        <f>VLOOKUP(L9,Tarifa1,1)</f>
        <v>6602.71</v>
      </c>
      <c r="N9" s="186">
        <f t="shared" ref="N9:N10" si="1">L9-M9</f>
        <v>205.78999999999996</v>
      </c>
      <c r="O9" s="187">
        <f>VLOOKUP(L9,Tarifa1,3)</f>
        <v>0.21360000000000001</v>
      </c>
      <c r="P9" s="186">
        <f t="shared" ref="P9:P10" si="2">N9*O9</f>
        <v>43.956743999999993</v>
      </c>
      <c r="Q9" s="188">
        <f>VLOOKUP(L9,Tarifa1,2)</f>
        <v>699.3</v>
      </c>
      <c r="R9" s="186">
        <f t="shared" ref="R9:R10" si="3">P9+Q9</f>
        <v>743.25674399999991</v>
      </c>
      <c r="S9" s="189">
        <f>VLOOKUP(L9,Credito1,2)</f>
        <v>0</v>
      </c>
      <c r="T9" s="186">
        <f t="shared" ref="T9:T10" si="4">ROUND(R9-S9,2)</f>
        <v>743.26</v>
      </c>
      <c r="U9" s="185">
        <f>-IF(T9&gt;0,0,T9)</f>
        <v>0</v>
      </c>
      <c r="V9" s="185">
        <f>IF(T9&lt;0,0,T9)</f>
        <v>743.26</v>
      </c>
      <c r="W9" s="185">
        <f>SUM(V9:V9)</f>
        <v>743.26</v>
      </c>
      <c r="X9" s="185">
        <f>J9+U9-W9</f>
        <v>6065.24</v>
      </c>
      <c r="Y9" s="171"/>
    </row>
    <row r="10" spans="1:31" s="52" customFormat="1" ht="84.95" customHeight="1" x14ac:dyDescent="0.25">
      <c r="A10" s="37"/>
      <c r="B10" s="177" t="s">
        <v>160</v>
      </c>
      <c r="C10" s="178" t="s">
        <v>117</v>
      </c>
      <c r="D10" s="191" t="s">
        <v>143</v>
      </c>
      <c r="E10" s="180" t="s">
        <v>310</v>
      </c>
      <c r="F10" s="181">
        <v>15</v>
      </c>
      <c r="G10" s="182">
        <v>341.11</v>
      </c>
      <c r="H10" s="183">
        <v>4673.3100000000004</v>
      </c>
      <c r="I10" s="184">
        <v>0</v>
      </c>
      <c r="J10" s="185">
        <f>SUM(H10:I10)</f>
        <v>4673.3100000000004</v>
      </c>
      <c r="K10" s="186">
        <f>IF(H10/15&lt;=SMG,0,I10/2)</f>
        <v>0</v>
      </c>
      <c r="L10" s="186">
        <f t="shared" si="0"/>
        <v>4673.3100000000004</v>
      </c>
      <c r="M10" s="186">
        <f>VLOOKUP(L10,Tarifa1,1)</f>
        <v>2699.41</v>
      </c>
      <c r="N10" s="186">
        <f t="shared" si="1"/>
        <v>1973.9000000000005</v>
      </c>
      <c r="O10" s="187">
        <f>VLOOKUP(L10,Tarifa1,3)</f>
        <v>0.10879999999999999</v>
      </c>
      <c r="P10" s="186">
        <f t="shared" si="2"/>
        <v>214.76032000000004</v>
      </c>
      <c r="Q10" s="188">
        <f>VLOOKUP(L10,Tarifa1,2)</f>
        <v>158.55000000000001</v>
      </c>
      <c r="R10" s="186">
        <f t="shared" si="3"/>
        <v>373.31032000000005</v>
      </c>
      <c r="S10" s="189">
        <f>VLOOKUP(L10,Credito1,2)</f>
        <v>0</v>
      </c>
      <c r="T10" s="186">
        <f t="shared" si="4"/>
        <v>373.31</v>
      </c>
      <c r="U10" s="185">
        <f>-IF(T10&gt;0,0,T10)</f>
        <v>0</v>
      </c>
      <c r="V10" s="185">
        <f>IF(T10&lt;0,0,T10)</f>
        <v>373.31</v>
      </c>
      <c r="W10" s="185">
        <f>SUM(V10:V10)</f>
        <v>373.31</v>
      </c>
      <c r="X10" s="185">
        <f>J10+U10-W10</f>
        <v>4300</v>
      </c>
      <c r="Y10" s="171"/>
    </row>
    <row r="11" spans="1:31" s="52" customFormat="1" ht="84.95" customHeight="1" x14ac:dyDescent="0.25">
      <c r="A11" s="46"/>
      <c r="B11" s="104" t="s">
        <v>103</v>
      </c>
      <c r="C11" s="104" t="s">
        <v>126</v>
      </c>
      <c r="D11" s="37" t="s">
        <v>201</v>
      </c>
      <c r="E11" s="37" t="s">
        <v>62</v>
      </c>
      <c r="F11" s="37"/>
      <c r="G11" s="37"/>
      <c r="H11" s="101">
        <f>SUM(H12)</f>
        <v>6808.5</v>
      </c>
      <c r="I11" s="101">
        <f>SUM(I12)</f>
        <v>0</v>
      </c>
      <c r="J11" s="101">
        <f>SUM(J12)</f>
        <v>6808.5</v>
      </c>
      <c r="K11" s="37"/>
      <c r="L11" s="37"/>
      <c r="M11" s="37"/>
      <c r="N11" s="37"/>
      <c r="O11" s="37"/>
      <c r="P11" s="37"/>
      <c r="Q11" s="102"/>
      <c r="R11" s="37"/>
      <c r="S11" s="37"/>
      <c r="T11" s="37"/>
      <c r="U11" s="101">
        <f>SUM(U12)</f>
        <v>0</v>
      </c>
      <c r="V11" s="101">
        <f>SUM(V12)</f>
        <v>743.26</v>
      </c>
      <c r="W11" s="101">
        <f>SUM(W12)</f>
        <v>743.26</v>
      </c>
      <c r="X11" s="101">
        <f>SUM(X12)</f>
        <v>6065.24</v>
      </c>
      <c r="Y11" s="103"/>
      <c r="AE11" s="60"/>
    </row>
    <row r="12" spans="1:31" s="52" customFormat="1" ht="84.95" customHeight="1" x14ac:dyDescent="0.25">
      <c r="A12" s="46"/>
      <c r="B12" s="177" t="s">
        <v>202</v>
      </c>
      <c r="C12" s="178" t="s">
        <v>117</v>
      </c>
      <c r="D12" s="191" t="s">
        <v>200</v>
      </c>
      <c r="E12" s="180" t="s">
        <v>278</v>
      </c>
      <c r="F12" s="181">
        <v>15</v>
      </c>
      <c r="G12" s="182">
        <f>H12/F12</f>
        <v>453.9</v>
      </c>
      <c r="H12" s="183">
        <v>6808.5</v>
      </c>
      <c r="I12" s="184">
        <v>0</v>
      </c>
      <c r="J12" s="185">
        <f>SUM(H12:I12)</f>
        <v>6808.5</v>
      </c>
      <c r="K12" s="186">
        <f>IF(H12/15&lt;=SMG,0,I12/2)</f>
        <v>0</v>
      </c>
      <c r="L12" s="186">
        <f t="shared" ref="L12" si="5">H12+K12</f>
        <v>6808.5</v>
      </c>
      <c r="M12" s="186">
        <f>VLOOKUP(L12,Tarifa1,1)</f>
        <v>6602.71</v>
      </c>
      <c r="N12" s="186">
        <f t="shared" ref="N12" si="6">L12-M12</f>
        <v>205.78999999999996</v>
      </c>
      <c r="O12" s="187">
        <f>VLOOKUP(L12,Tarifa1,3)</f>
        <v>0.21360000000000001</v>
      </c>
      <c r="P12" s="186">
        <f t="shared" ref="P12" si="7">N12*O12</f>
        <v>43.956743999999993</v>
      </c>
      <c r="Q12" s="188">
        <f>VLOOKUP(L12,Tarifa1,2)</f>
        <v>699.3</v>
      </c>
      <c r="R12" s="186">
        <f t="shared" ref="R12" si="8">P12+Q12</f>
        <v>743.25674399999991</v>
      </c>
      <c r="S12" s="189">
        <f>VLOOKUP(L12,Credito1,2)</f>
        <v>0</v>
      </c>
      <c r="T12" s="186">
        <f t="shared" ref="T12" si="9">ROUND(R12-S12,2)</f>
        <v>743.26</v>
      </c>
      <c r="U12" s="185">
        <f>-IF(T12&gt;0,0,T12)</f>
        <v>0</v>
      </c>
      <c r="V12" s="185">
        <f>IF(T12&lt;0,0,T12)</f>
        <v>743.26</v>
      </c>
      <c r="W12" s="185">
        <f>SUM(V12:V12)</f>
        <v>743.26</v>
      </c>
      <c r="X12" s="185">
        <f>J12+U12-W12</f>
        <v>6065.24</v>
      </c>
      <c r="Y12" s="94"/>
      <c r="AE12" s="60"/>
    </row>
    <row r="13" spans="1:31" s="52" customFormat="1" ht="84.95" customHeight="1" x14ac:dyDescent="0.25">
      <c r="A13" s="46"/>
      <c r="B13" s="104" t="s">
        <v>103</v>
      </c>
      <c r="C13" s="104" t="s">
        <v>126</v>
      </c>
      <c r="D13" s="37" t="s">
        <v>129</v>
      </c>
      <c r="E13" s="37" t="s">
        <v>62</v>
      </c>
      <c r="F13" s="37"/>
      <c r="G13" s="37"/>
      <c r="H13" s="101">
        <f>SUM(H14:H16)</f>
        <v>14107.5</v>
      </c>
      <c r="I13" s="101">
        <f>SUM(I14:I16)</f>
        <v>0</v>
      </c>
      <c r="J13" s="101">
        <f>SUM(J14:J16)</f>
        <v>14107.5</v>
      </c>
      <c r="K13" s="37"/>
      <c r="L13" s="37"/>
      <c r="M13" s="37"/>
      <c r="N13" s="37"/>
      <c r="O13" s="37"/>
      <c r="P13" s="37"/>
      <c r="Q13" s="102"/>
      <c r="R13" s="37"/>
      <c r="S13" s="37"/>
      <c r="T13" s="37"/>
      <c r="U13" s="101">
        <f>SUM(U14:U16)</f>
        <v>0</v>
      </c>
      <c r="V13" s="101">
        <f>SUM(V14:V16)</f>
        <v>1229.1500000000001</v>
      </c>
      <c r="W13" s="101">
        <f>SUM(W14:W16)</f>
        <v>1229.1500000000001</v>
      </c>
      <c r="X13" s="101">
        <f>SUM(X14:X16)</f>
        <v>12878.35</v>
      </c>
      <c r="Y13" s="103"/>
      <c r="AE13" s="60"/>
    </row>
    <row r="14" spans="1:31" s="52" customFormat="1" ht="84.95" customHeight="1" x14ac:dyDescent="0.25">
      <c r="A14" s="46" t="s">
        <v>89</v>
      </c>
      <c r="B14" s="178" t="s">
        <v>116</v>
      </c>
      <c r="C14" s="178" t="s">
        <v>117</v>
      </c>
      <c r="D14" s="191" t="s">
        <v>95</v>
      </c>
      <c r="E14" s="180" t="s">
        <v>96</v>
      </c>
      <c r="F14" s="181">
        <v>15</v>
      </c>
      <c r="G14" s="182">
        <f t="shared" ref="G14:G29" si="10">H14/F14</f>
        <v>424.7</v>
      </c>
      <c r="H14" s="183">
        <v>6370.5</v>
      </c>
      <c r="I14" s="184">
        <v>0</v>
      </c>
      <c r="J14" s="185">
        <f>H14</f>
        <v>6370.5</v>
      </c>
      <c r="K14" s="186">
        <f>IF(H14/15&lt;=SMG,0,I14/2)</f>
        <v>0</v>
      </c>
      <c r="L14" s="186">
        <f t="shared" ref="L14:L16" si="11">H14+K14</f>
        <v>6370.5</v>
      </c>
      <c r="M14" s="186">
        <f>VLOOKUP(L14,Tarifa1,1)</f>
        <v>5514.76</v>
      </c>
      <c r="N14" s="186">
        <f t="shared" ref="N14:N16" si="12">L14-M14</f>
        <v>855.73999999999978</v>
      </c>
      <c r="O14" s="187">
        <f>VLOOKUP(L14,Tarifa1,3)</f>
        <v>0.1792</v>
      </c>
      <c r="P14" s="186">
        <f t="shared" ref="P14:P16" si="13">N14*O14</f>
        <v>153.34860799999996</v>
      </c>
      <c r="Q14" s="188">
        <f>VLOOKUP(L14,Tarifa1,2)</f>
        <v>504.3</v>
      </c>
      <c r="R14" s="186">
        <f t="shared" ref="R14:R16" si="14">P14+Q14</f>
        <v>657.64860799999997</v>
      </c>
      <c r="S14" s="189">
        <f>VLOOKUP(L14,Credito1,2)</f>
        <v>0</v>
      </c>
      <c r="T14" s="186">
        <f t="shared" ref="T14:T16" si="15">ROUND(R14-S14,2)</f>
        <v>657.65</v>
      </c>
      <c r="U14" s="185">
        <f>-IF(T14&gt;0,0,T14)</f>
        <v>0</v>
      </c>
      <c r="V14" s="185">
        <f>IF(T14&lt;0,0,T14)</f>
        <v>657.65</v>
      </c>
      <c r="W14" s="185">
        <f>SUM(V14:V14)</f>
        <v>657.65</v>
      </c>
      <c r="X14" s="185">
        <f>J14+U14-W14</f>
        <v>5712.85</v>
      </c>
      <c r="Y14" s="94"/>
      <c r="AE14" s="65"/>
    </row>
    <row r="15" spans="1:31" s="52" customFormat="1" ht="84.95" customHeight="1" x14ac:dyDescent="0.25">
      <c r="A15" s="46"/>
      <c r="B15" s="177" t="s">
        <v>185</v>
      </c>
      <c r="C15" s="178" t="s">
        <v>117</v>
      </c>
      <c r="D15" s="191" t="s">
        <v>171</v>
      </c>
      <c r="E15" s="180" t="s">
        <v>172</v>
      </c>
      <c r="F15" s="181">
        <v>15</v>
      </c>
      <c r="G15" s="182"/>
      <c r="H15" s="183">
        <v>3868.5</v>
      </c>
      <c r="I15" s="184">
        <v>0</v>
      </c>
      <c r="J15" s="185">
        <f>SUM(H15:I15)</f>
        <v>3868.5</v>
      </c>
      <c r="K15" s="186">
        <f>IF(H15/15&lt;=SMG,0,I15/2)</f>
        <v>0</v>
      </c>
      <c r="L15" s="186">
        <f t="shared" si="11"/>
        <v>3868.5</v>
      </c>
      <c r="M15" s="186">
        <f>VLOOKUP(L15,Tarifa1,1)</f>
        <v>2699.41</v>
      </c>
      <c r="N15" s="186">
        <f t="shared" si="12"/>
        <v>1169.0900000000001</v>
      </c>
      <c r="O15" s="187">
        <f>VLOOKUP(L15,Tarifa1,3)</f>
        <v>0.10879999999999999</v>
      </c>
      <c r="P15" s="186">
        <f t="shared" si="13"/>
        <v>127.19699200000001</v>
      </c>
      <c r="Q15" s="188">
        <f>VLOOKUP(L15,Tarifa1,2)</f>
        <v>158.55000000000001</v>
      </c>
      <c r="R15" s="186">
        <f t="shared" si="14"/>
        <v>285.74699200000003</v>
      </c>
      <c r="S15" s="189">
        <f>VLOOKUP(L15,Credito1,2)</f>
        <v>0</v>
      </c>
      <c r="T15" s="186">
        <f t="shared" si="15"/>
        <v>285.75</v>
      </c>
      <c r="U15" s="185">
        <f>-IF(T15&gt;0,0,T15)</f>
        <v>0</v>
      </c>
      <c r="V15" s="194">
        <f>IF(T15&lt;0,0,T15)</f>
        <v>285.75</v>
      </c>
      <c r="W15" s="185">
        <f>SUM(V15:V15)</f>
        <v>285.75</v>
      </c>
      <c r="X15" s="185">
        <f>J15+U15-W15</f>
        <v>3582.75</v>
      </c>
      <c r="Y15" s="94"/>
      <c r="AE15" s="65"/>
    </row>
    <row r="16" spans="1:31" s="52" customFormat="1" ht="84.95" customHeight="1" x14ac:dyDescent="0.25">
      <c r="A16" s="46"/>
      <c r="B16" s="177" t="s">
        <v>206</v>
      </c>
      <c r="C16" s="178" t="s">
        <v>159</v>
      </c>
      <c r="D16" s="191" t="s">
        <v>203</v>
      </c>
      <c r="E16" s="180" t="s">
        <v>172</v>
      </c>
      <c r="F16" s="181">
        <v>15</v>
      </c>
      <c r="G16" s="182"/>
      <c r="H16" s="183">
        <v>3868.5</v>
      </c>
      <c r="I16" s="184">
        <v>0</v>
      </c>
      <c r="J16" s="185">
        <f>SUM(H16:I16)</f>
        <v>3868.5</v>
      </c>
      <c r="K16" s="186">
        <f>IF(H16/15&lt;=SMG,0,I16/2)</f>
        <v>0</v>
      </c>
      <c r="L16" s="186">
        <f t="shared" si="11"/>
        <v>3868.5</v>
      </c>
      <c r="M16" s="186">
        <f>VLOOKUP(L16,Tarifa1,1)</f>
        <v>2699.41</v>
      </c>
      <c r="N16" s="186">
        <f t="shared" si="12"/>
        <v>1169.0900000000001</v>
      </c>
      <c r="O16" s="187">
        <f>VLOOKUP(L16,Tarifa1,3)</f>
        <v>0.10879999999999999</v>
      </c>
      <c r="P16" s="186">
        <f t="shared" si="13"/>
        <v>127.19699200000001</v>
      </c>
      <c r="Q16" s="188">
        <f>VLOOKUP(L16,Tarifa1,2)</f>
        <v>158.55000000000001</v>
      </c>
      <c r="R16" s="186">
        <f t="shared" si="14"/>
        <v>285.74699200000003</v>
      </c>
      <c r="S16" s="189">
        <f>VLOOKUP(L16,Credito1,2)</f>
        <v>0</v>
      </c>
      <c r="T16" s="186">
        <f t="shared" si="15"/>
        <v>285.75</v>
      </c>
      <c r="U16" s="185">
        <f>-IF(T16&gt;0,0,T16)</f>
        <v>0</v>
      </c>
      <c r="V16" s="194">
        <f>IF(T16&lt;0,0,T16)</f>
        <v>285.75</v>
      </c>
      <c r="W16" s="185">
        <f>SUM(V16:V16)</f>
        <v>285.75</v>
      </c>
      <c r="X16" s="185">
        <f>J16+U16-W16</f>
        <v>3582.75</v>
      </c>
      <c r="Y16" s="94"/>
      <c r="AE16" s="65"/>
    </row>
    <row r="17" spans="1:31" s="52" customFormat="1" ht="84.95" customHeight="1" x14ac:dyDescent="0.25">
      <c r="A17" s="46"/>
      <c r="B17" s="104" t="s">
        <v>103</v>
      </c>
      <c r="C17" s="104" t="s">
        <v>126</v>
      </c>
      <c r="D17" s="37" t="s">
        <v>130</v>
      </c>
      <c r="E17" s="37" t="s">
        <v>62</v>
      </c>
      <c r="F17" s="37"/>
      <c r="G17" s="37"/>
      <c r="H17" s="101">
        <f>SUM(H18:H20)</f>
        <v>16337.5</v>
      </c>
      <c r="I17" s="101">
        <f>SUM(I18:I20)</f>
        <v>0</v>
      </c>
      <c r="J17" s="101">
        <f>SUM(J18:J20)</f>
        <v>16337.5</v>
      </c>
      <c r="K17" s="37"/>
      <c r="L17" s="37"/>
      <c r="M17" s="37"/>
      <c r="N17" s="37"/>
      <c r="O17" s="37"/>
      <c r="P17" s="37"/>
      <c r="Q17" s="102"/>
      <c r="R17" s="37"/>
      <c r="S17" s="37"/>
      <c r="T17" s="37"/>
      <c r="U17" s="101">
        <f>SUM(U18:U20)</f>
        <v>0</v>
      </c>
      <c r="V17" s="101">
        <f>SUM(V18:V20)</f>
        <v>1580.08</v>
      </c>
      <c r="W17" s="101">
        <f>SUM(W18:W20)</f>
        <v>1580.08</v>
      </c>
      <c r="X17" s="101">
        <f>SUM(X18:X20)</f>
        <v>14757.420000000002</v>
      </c>
      <c r="Y17" s="103"/>
      <c r="AE17" s="65"/>
    </row>
    <row r="18" spans="1:31" s="52" customFormat="1" ht="84.95" customHeight="1" x14ac:dyDescent="0.25">
      <c r="A18" s="46" t="s">
        <v>90</v>
      </c>
      <c r="B18" s="223">
        <v>185</v>
      </c>
      <c r="C18" s="178" t="s">
        <v>117</v>
      </c>
      <c r="D18" s="224" t="s">
        <v>157</v>
      </c>
      <c r="E18" s="180" t="s">
        <v>97</v>
      </c>
      <c r="F18" s="181">
        <v>15</v>
      </c>
      <c r="G18" s="182">
        <f t="shared" si="10"/>
        <v>483.1</v>
      </c>
      <c r="H18" s="183">
        <v>7246.5</v>
      </c>
      <c r="I18" s="184">
        <v>0</v>
      </c>
      <c r="J18" s="185">
        <f t="shared" ref="J18" si="16">SUM(H18:I18)</f>
        <v>7246.5</v>
      </c>
      <c r="K18" s="186">
        <f>IF(H18/15&lt;=SMG,0,I18/2)</f>
        <v>0</v>
      </c>
      <c r="L18" s="186">
        <f t="shared" ref="L18:L20" si="17">H18+K18</f>
        <v>7246.5</v>
      </c>
      <c r="M18" s="186">
        <f>VLOOKUP(L18,Tarifa1,1)</f>
        <v>6602.71</v>
      </c>
      <c r="N18" s="186">
        <f t="shared" ref="N18:N20" si="18">L18-M18</f>
        <v>643.79</v>
      </c>
      <c r="O18" s="187">
        <f>VLOOKUP(L18,Tarifa1,3)</f>
        <v>0.21360000000000001</v>
      </c>
      <c r="P18" s="186">
        <f t="shared" ref="P18:P20" si="19">N18*O18</f>
        <v>137.513544</v>
      </c>
      <c r="Q18" s="188">
        <f>VLOOKUP(L18,Tarifa1,2)</f>
        <v>699.3</v>
      </c>
      <c r="R18" s="186">
        <f t="shared" ref="R18:R20" si="20">P18+Q18</f>
        <v>836.81354399999998</v>
      </c>
      <c r="S18" s="189">
        <f>VLOOKUP(L18,Credito1,2)</f>
        <v>0</v>
      </c>
      <c r="T18" s="186">
        <f t="shared" ref="T18:T20" si="21">ROUND(R18-S18,2)</f>
        <v>836.81</v>
      </c>
      <c r="U18" s="185">
        <f t="shared" ref="U18" si="22">-IF(T18&gt;0,0,T18)</f>
        <v>0</v>
      </c>
      <c r="V18" s="185">
        <f t="shared" ref="V18" si="23">IF(T18&lt;0,0,T18)</f>
        <v>836.81</v>
      </c>
      <c r="W18" s="185">
        <f>SUM(V18:V18)</f>
        <v>836.81</v>
      </c>
      <c r="X18" s="185">
        <f>J18+U18-W18</f>
        <v>6409.6900000000005</v>
      </c>
      <c r="Y18" s="94"/>
      <c r="AE18" s="65"/>
    </row>
    <row r="19" spans="1:31" s="52" customFormat="1" ht="84.95" customHeight="1" x14ac:dyDescent="0.25">
      <c r="A19" s="46"/>
      <c r="B19" s="177" t="s">
        <v>163</v>
      </c>
      <c r="C19" s="178" t="s">
        <v>117</v>
      </c>
      <c r="D19" s="201" t="s">
        <v>150</v>
      </c>
      <c r="E19" s="180" t="s">
        <v>149</v>
      </c>
      <c r="F19" s="181">
        <v>15</v>
      </c>
      <c r="G19" s="182">
        <f>H19/F19</f>
        <v>348.13333333333333</v>
      </c>
      <c r="H19" s="183">
        <v>5222</v>
      </c>
      <c r="I19" s="184">
        <v>0</v>
      </c>
      <c r="J19" s="185">
        <f>SUM(H19:I19)</f>
        <v>5222</v>
      </c>
      <c r="K19" s="186">
        <f>IF(H19/15&lt;=SMG,0,I19/2)</f>
        <v>0</v>
      </c>
      <c r="L19" s="186">
        <f t="shared" si="17"/>
        <v>5222</v>
      </c>
      <c r="M19" s="186">
        <f>VLOOKUP(L19,Tarifa1,1)</f>
        <v>4744.0600000000004</v>
      </c>
      <c r="N19" s="186">
        <f t="shared" si="18"/>
        <v>477.9399999999996</v>
      </c>
      <c r="O19" s="187">
        <f>VLOOKUP(L19,Tarifa1,3)</f>
        <v>0.16</v>
      </c>
      <c r="P19" s="186">
        <f t="shared" si="19"/>
        <v>76.470399999999941</v>
      </c>
      <c r="Q19" s="188">
        <f>VLOOKUP(L19,Tarifa1,2)</f>
        <v>381</v>
      </c>
      <c r="R19" s="186">
        <f t="shared" si="20"/>
        <v>457.47039999999993</v>
      </c>
      <c r="S19" s="189">
        <f>VLOOKUP(L19,Credito1,2)</f>
        <v>0</v>
      </c>
      <c r="T19" s="186">
        <f t="shared" si="21"/>
        <v>457.47</v>
      </c>
      <c r="U19" s="185">
        <f>-IF(T19&gt;0,0,T19)</f>
        <v>0</v>
      </c>
      <c r="V19" s="185">
        <f>IF(T19&lt;0,0,T19)</f>
        <v>457.47</v>
      </c>
      <c r="W19" s="185">
        <f>SUM(V19:V19)</f>
        <v>457.47</v>
      </c>
      <c r="X19" s="185">
        <f>J19+U19-W19</f>
        <v>4764.53</v>
      </c>
      <c r="Y19" s="94"/>
      <c r="AE19" s="65"/>
    </row>
    <row r="20" spans="1:31" s="52" customFormat="1" ht="84.95" customHeight="1" x14ac:dyDescent="0.25">
      <c r="A20" s="46"/>
      <c r="B20" s="177" t="s">
        <v>195</v>
      </c>
      <c r="C20" s="178" t="s">
        <v>117</v>
      </c>
      <c r="D20" s="201" t="s">
        <v>192</v>
      </c>
      <c r="E20" s="180" t="s">
        <v>193</v>
      </c>
      <c r="F20" s="181">
        <v>15</v>
      </c>
      <c r="G20" s="182"/>
      <c r="H20" s="183">
        <v>3869</v>
      </c>
      <c r="I20" s="184">
        <v>0</v>
      </c>
      <c r="J20" s="185">
        <f>SUM(H20:I20)</f>
        <v>3869</v>
      </c>
      <c r="K20" s="186">
        <f>IF(H20/15&lt;=SMG,0,I20/2)</f>
        <v>0</v>
      </c>
      <c r="L20" s="186">
        <f t="shared" si="17"/>
        <v>3869</v>
      </c>
      <c r="M20" s="186">
        <f>VLOOKUP(L20,Tarifa1,1)</f>
        <v>2699.41</v>
      </c>
      <c r="N20" s="186">
        <f t="shared" si="18"/>
        <v>1169.5900000000001</v>
      </c>
      <c r="O20" s="187">
        <f>VLOOKUP(L20,Tarifa1,3)</f>
        <v>0.10879999999999999</v>
      </c>
      <c r="P20" s="186">
        <f t="shared" si="19"/>
        <v>127.25139200000001</v>
      </c>
      <c r="Q20" s="188">
        <f>VLOOKUP(L20,Tarifa1,2)</f>
        <v>158.55000000000001</v>
      </c>
      <c r="R20" s="186">
        <f t="shared" si="20"/>
        <v>285.80139200000002</v>
      </c>
      <c r="S20" s="189">
        <f>VLOOKUP(L20,Credito1,2)</f>
        <v>0</v>
      </c>
      <c r="T20" s="186">
        <f t="shared" si="21"/>
        <v>285.8</v>
      </c>
      <c r="U20" s="185">
        <f>-IF(T20&gt;0,0,T20)</f>
        <v>0</v>
      </c>
      <c r="V20" s="194">
        <f>IF(T20&lt;0,0,T20)</f>
        <v>285.8</v>
      </c>
      <c r="W20" s="185">
        <f>SUM(V20:V20)</f>
        <v>285.8</v>
      </c>
      <c r="X20" s="185">
        <f>J20+U20-W20</f>
        <v>3583.2</v>
      </c>
      <c r="Y20" s="94"/>
      <c r="AE20" s="65"/>
    </row>
    <row r="21" spans="1:31" s="52" customFormat="1" ht="84.95" customHeight="1" x14ac:dyDescent="0.25">
      <c r="A21" s="46"/>
      <c r="B21" s="177"/>
      <c r="C21" s="178"/>
      <c r="D21" s="201"/>
      <c r="E21" s="180"/>
      <c r="F21" s="181"/>
      <c r="G21" s="182"/>
      <c r="H21" s="183"/>
      <c r="I21" s="184"/>
      <c r="J21" s="185"/>
      <c r="K21" s="186"/>
      <c r="L21" s="186"/>
      <c r="M21" s="186"/>
      <c r="N21" s="186"/>
      <c r="O21" s="187"/>
      <c r="P21" s="186"/>
      <c r="Q21" s="188"/>
      <c r="R21" s="186"/>
      <c r="S21" s="189"/>
      <c r="T21" s="186"/>
      <c r="U21" s="185"/>
      <c r="V21" s="194"/>
      <c r="W21" s="185"/>
      <c r="X21" s="185"/>
      <c r="Y21" s="94"/>
      <c r="AE21" s="65"/>
    </row>
    <row r="22" spans="1:31" s="52" customFormat="1" ht="24" customHeight="1" x14ac:dyDescent="0.25">
      <c r="A22" s="46"/>
      <c r="B22" s="250"/>
      <c r="C22" s="233"/>
      <c r="D22" s="251"/>
      <c r="E22" s="239"/>
      <c r="F22" s="240"/>
      <c r="G22" s="241"/>
      <c r="H22" s="242"/>
      <c r="I22" s="243"/>
      <c r="J22" s="244"/>
      <c r="K22" s="245"/>
      <c r="L22" s="245"/>
      <c r="M22" s="245"/>
      <c r="N22" s="245"/>
      <c r="O22" s="246"/>
      <c r="P22" s="245"/>
      <c r="Q22" s="247"/>
      <c r="R22" s="245"/>
      <c r="S22" s="248"/>
      <c r="T22" s="245"/>
      <c r="U22" s="244"/>
      <c r="V22" s="252"/>
      <c r="W22" s="244"/>
      <c r="X22" s="244"/>
      <c r="Y22" s="95"/>
      <c r="AE22" s="65"/>
    </row>
    <row r="23" spans="1:31" s="52" customFormat="1" ht="24" customHeight="1" x14ac:dyDescent="0.25">
      <c r="A23" s="46"/>
      <c r="B23" s="250"/>
      <c r="C23" s="233"/>
      <c r="D23" s="251"/>
      <c r="E23" s="239"/>
      <c r="F23" s="240"/>
      <c r="G23" s="241"/>
      <c r="H23" s="242"/>
      <c r="I23" s="243"/>
      <c r="J23" s="244"/>
      <c r="K23" s="245"/>
      <c r="L23" s="245"/>
      <c r="M23" s="245"/>
      <c r="N23" s="245"/>
      <c r="O23" s="246"/>
      <c r="P23" s="245"/>
      <c r="Q23" s="247"/>
      <c r="R23" s="245"/>
      <c r="S23" s="248"/>
      <c r="T23" s="245"/>
      <c r="U23" s="244"/>
      <c r="V23" s="252"/>
      <c r="W23" s="244"/>
      <c r="X23" s="244"/>
      <c r="Y23" s="95"/>
      <c r="AE23" s="65"/>
    </row>
    <row r="24" spans="1:31" s="52" customFormat="1" ht="26.25" customHeight="1" x14ac:dyDescent="0.25">
      <c r="A24" s="46"/>
      <c r="B24" s="276" t="s">
        <v>80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E24" s="65"/>
    </row>
    <row r="25" spans="1:31" s="52" customFormat="1" ht="21.75" customHeight="1" x14ac:dyDescent="0.25">
      <c r="A25" s="46"/>
      <c r="B25" s="276" t="s">
        <v>65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E25" s="65"/>
    </row>
    <row r="26" spans="1:31" s="52" customFormat="1" ht="25.5" customHeight="1" x14ac:dyDescent="0.25">
      <c r="A26" s="46"/>
      <c r="B26" s="267" t="s">
        <v>322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E26" s="65"/>
    </row>
    <row r="27" spans="1:31" s="52" customFormat="1" ht="29.25" customHeight="1" x14ac:dyDescent="0.25">
      <c r="A27" s="249"/>
      <c r="B27" s="250"/>
      <c r="C27" s="233"/>
      <c r="D27" s="251"/>
      <c r="E27" s="239"/>
      <c r="F27" s="240"/>
      <c r="G27" s="241"/>
      <c r="H27" s="242"/>
      <c r="I27" s="243"/>
      <c r="J27" s="244"/>
      <c r="K27" s="245"/>
      <c r="L27" s="245"/>
      <c r="M27" s="245"/>
      <c r="N27" s="245"/>
      <c r="O27" s="246"/>
      <c r="P27" s="245"/>
      <c r="Q27" s="247"/>
      <c r="R27" s="245"/>
      <c r="S27" s="248"/>
      <c r="T27" s="245"/>
      <c r="U27" s="244"/>
      <c r="V27" s="252"/>
      <c r="W27" s="244"/>
      <c r="X27" s="244"/>
      <c r="Y27" s="95"/>
      <c r="AE27" s="65"/>
    </row>
    <row r="28" spans="1:31" s="52" customFormat="1" ht="84.95" customHeight="1" x14ac:dyDescent="0.25">
      <c r="A28" s="46"/>
      <c r="B28" s="104" t="s">
        <v>103</v>
      </c>
      <c r="C28" s="104" t="s">
        <v>126</v>
      </c>
      <c r="D28" s="104" t="s">
        <v>131</v>
      </c>
      <c r="E28" s="37" t="s">
        <v>62</v>
      </c>
      <c r="F28" s="37"/>
      <c r="G28" s="37"/>
      <c r="H28" s="101">
        <f>SUM(H29)</f>
        <v>4799</v>
      </c>
      <c r="I28" s="101">
        <f>SUM(I29)</f>
        <v>0</v>
      </c>
      <c r="J28" s="101">
        <f>SUM(J29)</f>
        <v>4799</v>
      </c>
      <c r="K28" s="37"/>
      <c r="L28" s="37"/>
      <c r="M28" s="37"/>
      <c r="N28" s="37"/>
      <c r="O28" s="37"/>
      <c r="P28" s="37"/>
      <c r="Q28" s="102"/>
      <c r="R28" s="37"/>
      <c r="S28" s="37"/>
      <c r="T28" s="37"/>
      <c r="U28" s="101">
        <f>SUM(U29)</f>
        <v>0</v>
      </c>
      <c r="V28" s="101">
        <f>SUM(V29)</f>
        <v>389.79</v>
      </c>
      <c r="W28" s="101">
        <f>SUM(W29)</f>
        <v>389.79</v>
      </c>
      <c r="X28" s="101">
        <f>SUM(X29)</f>
        <v>4409.21</v>
      </c>
      <c r="Y28" s="103"/>
      <c r="AE28" s="65"/>
    </row>
    <row r="29" spans="1:31" s="52" customFormat="1" ht="84.95" customHeight="1" x14ac:dyDescent="0.25">
      <c r="A29" s="46" t="s">
        <v>91</v>
      </c>
      <c r="B29" s="177" t="s">
        <v>165</v>
      </c>
      <c r="C29" s="178" t="s">
        <v>117</v>
      </c>
      <c r="D29" s="180" t="s">
        <v>233</v>
      </c>
      <c r="E29" s="180" t="s">
        <v>102</v>
      </c>
      <c r="F29" s="181">
        <v>15</v>
      </c>
      <c r="G29" s="182">
        <f t="shared" si="10"/>
        <v>319.93333333333334</v>
      </c>
      <c r="H29" s="183">
        <v>4799</v>
      </c>
      <c r="I29" s="184">
        <v>0</v>
      </c>
      <c r="J29" s="185">
        <f>SUM(H29:I29)</f>
        <v>4799</v>
      </c>
      <c r="K29" s="186">
        <f>IF(H29/15&lt;=SMG,0,I29/2)</f>
        <v>0</v>
      </c>
      <c r="L29" s="186">
        <f t="shared" ref="L29" si="24">H29+K29</f>
        <v>4799</v>
      </c>
      <c r="M29" s="186">
        <f>VLOOKUP(L29,Tarifa1,1)</f>
        <v>4744.0600000000004</v>
      </c>
      <c r="N29" s="186">
        <f t="shared" ref="N29" si="25">L29-M29</f>
        <v>54.9399999999996</v>
      </c>
      <c r="O29" s="187">
        <f>VLOOKUP(L29,Tarifa1,3)</f>
        <v>0.16</v>
      </c>
      <c r="P29" s="186">
        <f t="shared" ref="P29" si="26">N29*O29</f>
        <v>8.790399999999936</v>
      </c>
      <c r="Q29" s="188">
        <f>VLOOKUP(L29,Tarifa1,2)</f>
        <v>381</v>
      </c>
      <c r="R29" s="186">
        <f t="shared" ref="R29" si="27">P29+Q29</f>
        <v>389.79039999999992</v>
      </c>
      <c r="S29" s="189">
        <f>VLOOKUP(L29,Credito1,2)</f>
        <v>0</v>
      </c>
      <c r="T29" s="186">
        <f t="shared" ref="T29" si="28">ROUND(R29-S29,2)</f>
        <v>389.79</v>
      </c>
      <c r="U29" s="185">
        <f>-IF(T29&gt;0,0,T29)</f>
        <v>0</v>
      </c>
      <c r="V29" s="185">
        <f>IF(T29&lt;0,0,T29)</f>
        <v>389.79</v>
      </c>
      <c r="W29" s="185">
        <f>SUM(V29:V29)</f>
        <v>389.79</v>
      </c>
      <c r="X29" s="185">
        <f>J29+U29-W29</f>
        <v>4409.21</v>
      </c>
      <c r="Y29" s="94"/>
      <c r="AE29" s="65"/>
    </row>
    <row r="30" spans="1:31" s="52" customFormat="1" ht="84.95" customHeight="1" x14ac:dyDescent="0.25">
      <c r="A30" s="46"/>
      <c r="B30" s="104" t="s">
        <v>103</v>
      </c>
      <c r="C30" s="104" t="s">
        <v>126</v>
      </c>
      <c r="D30" s="104" t="s">
        <v>311</v>
      </c>
      <c r="E30" s="37" t="s">
        <v>62</v>
      </c>
      <c r="F30" s="37"/>
      <c r="G30" s="37"/>
      <c r="H30" s="101">
        <f>SUM(H31)</f>
        <v>4896.5</v>
      </c>
      <c r="I30" s="101">
        <f>SUM(I31)</f>
        <v>0</v>
      </c>
      <c r="J30" s="101">
        <f>SUM(J31)</f>
        <v>4896.5</v>
      </c>
      <c r="K30" s="37"/>
      <c r="L30" s="37"/>
      <c r="M30" s="37"/>
      <c r="N30" s="37"/>
      <c r="O30" s="37"/>
      <c r="P30" s="37"/>
      <c r="Q30" s="102"/>
      <c r="R30" s="37"/>
      <c r="S30" s="37"/>
      <c r="T30" s="37"/>
      <c r="U30" s="101">
        <f>SUM(U31)</f>
        <v>0</v>
      </c>
      <c r="V30" s="101">
        <f>SUM(V31)</f>
        <v>405.39</v>
      </c>
      <c r="W30" s="101">
        <f>SUM(W31)</f>
        <v>405.39</v>
      </c>
      <c r="X30" s="101">
        <f>SUM(X31)</f>
        <v>4491.1099999999997</v>
      </c>
      <c r="Y30" s="103"/>
      <c r="AE30" s="65"/>
    </row>
    <row r="31" spans="1:31" s="52" customFormat="1" ht="84.95" customHeight="1" x14ac:dyDescent="0.25">
      <c r="A31" s="46"/>
      <c r="B31" s="178" t="s">
        <v>110</v>
      </c>
      <c r="C31" s="178" t="s">
        <v>117</v>
      </c>
      <c r="D31" s="180" t="s">
        <v>100</v>
      </c>
      <c r="E31" s="180" t="s">
        <v>315</v>
      </c>
      <c r="F31" s="181">
        <v>15</v>
      </c>
      <c r="G31" s="182">
        <v>305.35000000000002</v>
      </c>
      <c r="H31" s="183">
        <v>4896.5</v>
      </c>
      <c r="I31" s="184">
        <v>0</v>
      </c>
      <c r="J31" s="185">
        <f>SUM(H31:I31)</f>
        <v>4896.5</v>
      </c>
      <c r="K31" s="186">
        <f>IF(H31/15&lt;=SMG,0,I31/2)</f>
        <v>0</v>
      </c>
      <c r="L31" s="186">
        <f t="shared" ref="L31" si="29">H31+K31</f>
        <v>4896.5</v>
      </c>
      <c r="M31" s="186">
        <f>VLOOKUP(L31,Tarifa1,1)</f>
        <v>4744.0600000000004</v>
      </c>
      <c r="N31" s="186">
        <f t="shared" ref="N31" si="30">L31-M31</f>
        <v>152.4399999999996</v>
      </c>
      <c r="O31" s="187">
        <f>VLOOKUP(L31,Tarifa1,3)</f>
        <v>0.16</v>
      </c>
      <c r="P31" s="186">
        <f t="shared" ref="P31" si="31">N31*O31</f>
        <v>24.390399999999936</v>
      </c>
      <c r="Q31" s="188">
        <f>VLOOKUP(L31,Tarifa1,2)</f>
        <v>381</v>
      </c>
      <c r="R31" s="186">
        <f t="shared" ref="R31" si="32">P31+Q31</f>
        <v>405.39039999999994</v>
      </c>
      <c r="S31" s="186">
        <f>VLOOKUP(L31,Credito1,2)</f>
        <v>0</v>
      </c>
      <c r="T31" s="186">
        <f t="shared" ref="T31" si="33">ROUND(R31-S31,2)</f>
        <v>405.39</v>
      </c>
      <c r="U31" s="185">
        <f>-IF(T31&gt;0,0,T31)</f>
        <v>0</v>
      </c>
      <c r="V31" s="185">
        <f>IF(T31&lt;0,0,T31)</f>
        <v>405.39</v>
      </c>
      <c r="W31" s="185">
        <f>SUM(V31:V31)</f>
        <v>405.39</v>
      </c>
      <c r="X31" s="185">
        <f>J31+U31-W31</f>
        <v>4491.1099999999997</v>
      </c>
      <c r="Y31" s="94"/>
      <c r="AE31" s="65"/>
    </row>
    <row r="32" spans="1:31" s="52" customFormat="1" ht="84.95" customHeight="1" x14ac:dyDescent="0.25">
      <c r="A32" s="105"/>
      <c r="B32" s="104" t="s">
        <v>103</v>
      </c>
      <c r="C32" s="104" t="s">
        <v>126</v>
      </c>
      <c r="D32" s="37" t="s">
        <v>151</v>
      </c>
      <c r="E32" s="37" t="s">
        <v>62</v>
      </c>
      <c r="F32" s="37"/>
      <c r="G32" s="37"/>
      <c r="H32" s="101">
        <f>SUM(H33)</f>
        <v>6808.5</v>
      </c>
      <c r="I32" s="101">
        <f>SUM(I33)</f>
        <v>0</v>
      </c>
      <c r="J32" s="101">
        <f>SUM(J33)</f>
        <v>6808.5</v>
      </c>
      <c r="K32" s="37"/>
      <c r="L32" s="37"/>
      <c r="M32" s="37"/>
      <c r="N32" s="37"/>
      <c r="O32" s="37"/>
      <c r="P32" s="37"/>
      <c r="Q32" s="102"/>
      <c r="R32" s="37"/>
      <c r="S32" s="37"/>
      <c r="T32" s="37"/>
      <c r="U32" s="101">
        <f>SUM(U33)</f>
        <v>0</v>
      </c>
      <c r="V32" s="101">
        <f>SUM(V33)</f>
        <v>743.26</v>
      </c>
      <c r="W32" s="101">
        <f>SUM(W33)</f>
        <v>743.26</v>
      </c>
      <c r="X32" s="101">
        <f>SUM(X33)</f>
        <v>6065.24</v>
      </c>
      <c r="Y32" s="103"/>
    </row>
    <row r="33" spans="1:25" s="52" customFormat="1" ht="84.95" customHeight="1" x14ac:dyDescent="0.25">
      <c r="A33" s="105"/>
      <c r="B33" s="177" t="s">
        <v>164</v>
      </c>
      <c r="C33" s="178" t="s">
        <v>117</v>
      </c>
      <c r="D33" s="179" t="s">
        <v>154</v>
      </c>
      <c r="E33" s="180" t="s">
        <v>155</v>
      </c>
      <c r="F33" s="181">
        <v>15</v>
      </c>
      <c r="G33" s="182">
        <f>H33/F33</f>
        <v>453.9</v>
      </c>
      <c r="H33" s="183">
        <v>6808.5</v>
      </c>
      <c r="I33" s="184">
        <v>0</v>
      </c>
      <c r="J33" s="185">
        <f>SUM(H33:I33)</f>
        <v>6808.5</v>
      </c>
      <c r="K33" s="186">
        <f>IF(H33/15&lt;=SMG,0,I33/2)</f>
        <v>0</v>
      </c>
      <c r="L33" s="186">
        <f t="shared" ref="L33" si="34">H33+K33</f>
        <v>6808.5</v>
      </c>
      <c r="M33" s="186">
        <f>VLOOKUP(L33,Tarifa1,1)</f>
        <v>6602.71</v>
      </c>
      <c r="N33" s="186">
        <f t="shared" ref="N33" si="35">L33-M33</f>
        <v>205.78999999999996</v>
      </c>
      <c r="O33" s="187">
        <f>VLOOKUP(L33,Tarifa1,3)</f>
        <v>0.21360000000000001</v>
      </c>
      <c r="P33" s="186">
        <f t="shared" ref="P33" si="36">N33*O33</f>
        <v>43.956743999999993</v>
      </c>
      <c r="Q33" s="188">
        <f>VLOOKUP(L33,Tarifa1,2)</f>
        <v>699.3</v>
      </c>
      <c r="R33" s="186">
        <f t="shared" ref="R33" si="37">P33+Q33</f>
        <v>743.25674399999991</v>
      </c>
      <c r="S33" s="189">
        <f>VLOOKUP(L33,Credito1,2)</f>
        <v>0</v>
      </c>
      <c r="T33" s="186">
        <f t="shared" ref="T33" si="38">ROUND(R33-S33,2)</f>
        <v>743.26</v>
      </c>
      <c r="U33" s="185">
        <f>-IF(T33&gt;0,0,T33)</f>
        <v>0</v>
      </c>
      <c r="V33" s="185">
        <f>IF(T33&lt;0,0,T33)</f>
        <v>743.26</v>
      </c>
      <c r="W33" s="185">
        <f>SUM(V33:V33)</f>
        <v>743.26</v>
      </c>
      <c r="X33" s="185">
        <f>J33+U33-W33</f>
        <v>6065.24</v>
      </c>
      <c r="Y33" s="94"/>
    </row>
    <row r="34" spans="1:25" s="52" customFormat="1" ht="15" x14ac:dyDescent="0.25">
      <c r="A34" s="105"/>
      <c r="B34" s="105"/>
      <c r="C34" s="105"/>
      <c r="D34" s="105"/>
      <c r="E34" s="105"/>
      <c r="F34" s="105"/>
      <c r="G34" s="105"/>
      <c r="H34" s="106"/>
      <c r="I34" s="106"/>
      <c r="J34" s="106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94"/>
    </row>
    <row r="35" spans="1:25" s="52" customFormat="1" ht="39" customHeight="1" x14ac:dyDescent="0.25">
      <c r="A35" s="296" t="s">
        <v>45</v>
      </c>
      <c r="B35" s="296"/>
      <c r="C35" s="296"/>
      <c r="D35" s="296"/>
      <c r="E35" s="296"/>
      <c r="F35" s="296"/>
      <c r="G35" s="296"/>
      <c r="H35" s="225">
        <f>H8+H11+H13+H17+H28+H32+H30</f>
        <v>60566</v>
      </c>
      <c r="I35" s="225">
        <f>I8+I11+I13+I17+I28+I32+I30</f>
        <v>0</v>
      </c>
      <c r="J35" s="225">
        <f>J8+J11+J13+J17+J28+J32+J30</f>
        <v>60566</v>
      </c>
      <c r="K35" s="226">
        <f t="shared" ref="K35:T35" si="39">SUM(K11:K34)</f>
        <v>0</v>
      </c>
      <c r="L35" s="226">
        <f t="shared" si="39"/>
        <v>53757.5</v>
      </c>
      <c r="M35" s="226">
        <f t="shared" si="39"/>
        <v>47653.299999999996</v>
      </c>
      <c r="N35" s="226">
        <f t="shared" si="39"/>
        <v>6104.1999999999989</v>
      </c>
      <c r="O35" s="226">
        <f t="shared" si="39"/>
        <v>1.6263999999999998</v>
      </c>
      <c r="P35" s="226">
        <f t="shared" si="39"/>
        <v>870.07221599999968</v>
      </c>
      <c r="Q35" s="226">
        <f t="shared" si="39"/>
        <v>4220.8500000000004</v>
      </c>
      <c r="R35" s="226">
        <f t="shared" si="39"/>
        <v>5090.9222159999999</v>
      </c>
      <c r="S35" s="226">
        <f t="shared" si="39"/>
        <v>0</v>
      </c>
      <c r="T35" s="226">
        <f t="shared" si="39"/>
        <v>5090.93</v>
      </c>
      <c r="U35" s="225">
        <f>U8+U11+U13+U17+U28+U32+U30</f>
        <v>0</v>
      </c>
      <c r="V35" s="225">
        <f>V8+V11+V13+V17+V28+V32+V30</f>
        <v>5834.1900000000005</v>
      </c>
      <c r="W35" s="225">
        <f>W8+W11+W13+W17+W28+W32+W30</f>
        <v>5834.1900000000005</v>
      </c>
      <c r="X35" s="225">
        <f>X8+X11+X13+X17+X28+X32+X30</f>
        <v>54731.81</v>
      </c>
      <c r="Y35" s="94"/>
    </row>
    <row r="36" spans="1:25" s="52" customFormat="1" ht="12" x14ac:dyDescent="0.2"/>
    <row r="37" spans="1:25" s="52" customFormat="1" ht="12" x14ac:dyDescent="0.2"/>
    <row r="38" spans="1:25" s="52" customFormat="1" ht="12" x14ac:dyDescent="0.2"/>
    <row r="39" spans="1:25" s="52" customFormat="1" ht="12" x14ac:dyDescent="0.2"/>
    <row r="40" spans="1:25" s="52" customFormat="1" ht="12" x14ac:dyDescent="0.2"/>
    <row r="41" spans="1:25" s="52" customFormat="1" ht="12" x14ac:dyDescent="0.2"/>
  </sheetData>
  <mergeCells count="11">
    <mergeCell ref="A35:G35"/>
    <mergeCell ref="A1:Y1"/>
    <mergeCell ref="A2:Y2"/>
    <mergeCell ref="A3:Y3"/>
    <mergeCell ref="H5:J5"/>
    <mergeCell ref="M5:R5"/>
    <mergeCell ref="V5:W5"/>
    <mergeCell ref="C5:C7"/>
    <mergeCell ref="B24:Z24"/>
    <mergeCell ref="B25:Z25"/>
    <mergeCell ref="B26:Z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9" zoomScale="77" zoomScaleNormal="77" workbookViewId="0">
      <selection activeCell="W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8"/>
      <c r="J6" s="279"/>
      <c r="K6" s="24" t="s">
        <v>26</v>
      </c>
      <c r="L6" s="25"/>
      <c r="M6" s="280" t="s">
        <v>9</v>
      </c>
      <c r="N6" s="281"/>
      <c r="O6" s="281"/>
      <c r="P6" s="281"/>
      <c r="Q6" s="281"/>
      <c r="R6" s="282"/>
      <c r="S6" s="24" t="s">
        <v>30</v>
      </c>
      <c r="T6" s="24" t="s">
        <v>10</v>
      </c>
      <c r="U6" s="23" t="s">
        <v>54</v>
      </c>
      <c r="V6" s="283" t="s">
        <v>2</v>
      </c>
      <c r="W6" s="284"/>
      <c r="X6" s="23" t="s">
        <v>0</v>
      </c>
      <c r="Y6" s="34"/>
    </row>
    <row r="7" spans="1:25" ht="33.75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3"/>
      <c r="B9" s="143"/>
      <c r="C9" s="143"/>
      <c r="D9" s="142" t="s">
        <v>114</v>
      </c>
      <c r="E9" s="143" t="s">
        <v>62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5"/>
      <c r="U9" s="143"/>
      <c r="V9" s="143"/>
      <c r="W9" s="143"/>
      <c r="X9" s="143"/>
      <c r="Y9" s="108"/>
    </row>
    <row r="10" spans="1:25" s="4" customFormat="1" ht="95.1" customHeight="1" x14ac:dyDescent="0.25">
      <c r="A10" s="117" t="s">
        <v>85</v>
      </c>
      <c r="B10" s="178" t="s">
        <v>112</v>
      </c>
      <c r="C10" s="178" t="s">
        <v>117</v>
      </c>
      <c r="D10" s="180" t="s">
        <v>101</v>
      </c>
      <c r="E10" s="180" t="s">
        <v>235</v>
      </c>
      <c r="F10" s="181">
        <v>15</v>
      </c>
      <c r="G10" s="182">
        <f>H10/F10</f>
        <v>1077.7333333333333</v>
      </c>
      <c r="H10" s="183">
        <v>16166</v>
      </c>
      <c r="I10" s="184">
        <v>0</v>
      </c>
      <c r="J10" s="185">
        <f>SUM(H10:I10)</f>
        <v>16166</v>
      </c>
      <c r="K10" s="186">
        <f>IF(H10/15&lt;=SMG,0,I10/2)</f>
        <v>0</v>
      </c>
      <c r="L10" s="186">
        <f t="shared" ref="L10" si="0">H10+K10</f>
        <v>16166</v>
      </c>
      <c r="M10" s="186">
        <f>VLOOKUP(L10,Tarifa1,1)</f>
        <v>13316.71</v>
      </c>
      <c r="N10" s="186">
        <f t="shared" ref="N10" si="1">L10-M10</f>
        <v>2849.2900000000009</v>
      </c>
      <c r="O10" s="187">
        <f>VLOOKUP(L10,Tarifa1,3)</f>
        <v>0.23519999999999999</v>
      </c>
      <c r="P10" s="186">
        <f t="shared" ref="P10" si="2">N10*O10</f>
        <v>670.15300800000023</v>
      </c>
      <c r="Q10" s="188">
        <f>VLOOKUP(L10,Tarifa1,2)</f>
        <v>2133.3000000000002</v>
      </c>
      <c r="R10" s="186">
        <f t="shared" ref="R10" si="3">P10+Q10</f>
        <v>2803.4530080000004</v>
      </c>
      <c r="S10" s="189">
        <f>VLOOKUP(L10,Credito1,2)</f>
        <v>0</v>
      </c>
      <c r="T10" s="186">
        <f t="shared" ref="T10" si="4">ROUND(R10-S10,2)</f>
        <v>2803.45</v>
      </c>
      <c r="U10" s="185">
        <f>-IF(T10&gt;0,0,T10)</f>
        <v>0</v>
      </c>
      <c r="V10" s="194">
        <f>IF(T10&lt;0,0,T10)</f>
        <v>2803.45</v>
      </c>
      <c r="W10" s="185">
        <f>SUM(V10:V10)</f>
        <v>2803.45</v>
      </c>
      <c r="X10" s="185">
        <f>J10+U10-W10</f>
        <v>13362.55</v>
      </c>
      <c r="Y10" s="91"/>
    </row>
    <row r="11" spans="1:25" s="4" customFormat="1" ht="95.1" customHeight="1" x14ac:dyDescent="0.25">
      <c r="A11" s="117" t="s">
        <v>87</v>
      </c>
      <c r="B11" s="178" t="s">
        <v>106</v>
      </c>
      <c r="C11" s="178" t="s">
        <v>117</v>
      </c>
      <c r="D11" s="179" t="s">
        <v>75</v>
      </c>
      <c r="E11" s="180" t="s">
        <v>236</v>
      </c>
      <c r="F11" s="181">
        <v>15</v>
      </c>
      <c r="G11" s="182">
        <f>H11/F11</f>
        <v>652</v>
      </c>
      <c r="H11" s="183">
        <v>9780</v>
      </c>
      <c r="I11" s="184">
        <v>0</v>
      </c>
      <c r="J11" s="185">
        <f>H11</f>
        <v>9780</v>
      </c>
      <c r="K11" s="186">
        <f>IF(H11/15&lt;=SMG,0,I11/2)</f>
        <v>0</v>
      </c>
      <c r="L11" s="186">
        <f t="shared" ref="L11:L12" si="5">H11+K11</f>
        <v>9780</v>
      </c>
      <c r="M11" s="186">
        <f>VLOOKUP(L11,Tarifa1,1)</f>
        <v>6602.71</v>
      </c>
      <c r="N11" s="186">
        <f t="shared" ref="N11:N12" si="6">L11-M11</f>
        <v>3177.29</v>
      </c>
      <c r="O11" s="187">
        <f>VLOOKUP(L11,Tarifa1,3)</f>
        <v>0.21360000000000001</v>
      </c>
      <c r="P11" s="186">
        <f t="shared" ref="P11:P12" si="7">N11*O11</f>
        <v>678.66914400000007</v>
      </c>
      <c r="Q11" s="188">
        <f>VLOOKUP(L11,Tarifa1,2)</f>
        <v>699.3</v>
      </c>
      <c r="R11" s="186">
        <f t="shared" ref="R11:R12" si="8">P11+Q11</f>
        <v>1377.9691440000001</v>
      </c>
      <c r="S11" s="189">
        <f>VLOOKUP(L11,Credito1,2)</f>
        <v>0</v>
      </c>
      <c r="T11" s="186">
        <f t="shared" ref="T11:T12" si="9">ROUND(R11-S11,2)</f>
        <v>1377.97</v>
      </c>
      <c r="U11" s="185">
        <f>-IF(T11&gt;0,0,T11)</f>
        <v>0</v>
      </c>
      <c r="V11" s="185">
        <f>IF(T11&lt;0,0,T11)</f>
        <v>1377.97</v>
      </c>
      <c r="W11" s="185">
        <f>SUM(V11:V11)</f>
        <v>1377.97</v>
      </c>
      <c r="X11" s="185">
        <f>J11+U11-W11</f>
        <v>8402.0300000000007</v>
      </c>
      <c r="Y11" s="91"/>
    </row>
    <row r="12" spans="1:25" s="4" customFormat="1" ht="95.1" customHeight="1" x14ac:dyDescent="0.25">
      <c r="A12" s="117" t="s">
        <v>88</v>
      </c>
      <c r="B12" s="178" t="s">
        <v>113</v>
      </c>
      <c r="C12" s="178" t="s">
        <v>117</v>
      </c>
      <c r="D12" s="179" t="s">
        <v>98</v>
      </c>
      <c r="E12" s="180" t="s">
        <v>236</v>
      </c>
      <c r="F12" s="181">
        <v>15</v>
      </c>
      <c r="G12" s="182">
        <f>H12/F12</f>
        <v>399.7</v>
      </c>
      <c r="H12" s="183">
        <v>5995.5</v>
      </c>
      <c r="I12" s="184">
        <v>0</v>
      </c>
      <c r="J12" s="185">
        <f>SUM(H12:I12)</f>
        <v>5995.5</v>
      </c>
      <c r="K12" s="186">
        <f>IF(H12/15&lt;=SMG,0,I12/2)</f>
        <v>0</v>
      </c>
      <c r="L12" s="186">
        <f t="shared" si="5"/>
        <v>5995.5</v>
      </c>
      <c r="M12" s="186">
        <f>VLOOKUP(L12,Tarifa1,1)</f>
        <v>5514.76</v>
      </c>
      <c r="N12" s="186">
        <f t="shared" si="6"/>
        <v>480.73999999999978</v>
      </c>
      <c r="O12" s="187">
        <f>VLOOKUP(L12,Tarifa1,3)</f>
        <v>0.1792</v>
      </c>
      <c r="P12" s="186">
        <f t="shared" si="7"/>
        <v>86.148607999999953</v>
      </c>
      <c r="Q12" s="188">
        <f>VLOOKUP(L12,Tarifa1,2)</f>
        <v>504.3</v>
      </c>
      <c r="R12" s="186">
        <f t="shared" si="8"/>
        <v>590.44860799999992</v>
      </c>
      <c r="S12" s="189">
        <f>VLOOKUP(L12,Credito1,2)</f>
        <v>0</v>
      </c>
      <c r="T12" s="186">
        <f t="shared" si="9"/>
        <v>590.45000000000005</v>
      </c>
      <c r="U12" s="185">
        <f>-IF(T12&gt;0,0,T12)</f>
        <v>0</v>
      </c>
      <c r="V12" s="185">
        <f>IF(T12&lt;0,0,T12)</f>
        <v>590.45000000000005</v>
      </c>
      <c r="W12" s="185">
        <f>SUM(V12:V12)</f>
        <v>590.45000000000005</v>
      </c>
      <c r="X12" s="185">
        <f>J12+U12-W12</f>
        <v>5405.05</v>
      </c>
      <c r="Y12" s="91"/>
    </row>
    <row r="13" spans="1:25" s="4" customFormat="1" ht="36" customHeight="1" x14ac:dyDescent="0.25">
      <c r="A13" s="212"/>
      <c r="B13" s="212"/>
      <c r="C13" s="212"/>
      <c r="D13" s="212"/>
      <c r="E13" s="212"/>
      <c r="F13" s="212"/>
      <c r="G13" s="212"/>
      <c r="H13" s="218"/>
      <c r="I13" s="218"/>
      <c r="J13" s="218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</row>
    <row r="14" spans="1:25" s="4" customFormat="1" ht="60" customHeight="1" thickBot="1" x14ac:dyDescent="0.3">
      <c r="A14" s="263" t="s">
        <v>45</v>
      </c>
      <c r="B14" s="264"/>
      <c r="C14" s="264"/>
      <c r="D14" s="264"/>
      <c r="E14" s="264"/>
      <c r="F14" s="264"/>
      <c r="G14" s="265"/>
      <c r="H14" s="192">
        <f>SUM(H10:H13)</f>
        <v>31941.5</v>
      </c>
      <c r="I14" s="192">
        <f>SUM(I10:I13)</f>
        <v>0</v>
      </c>
      <c r="J14" s="192">
        <f>SUM(J10:J13)</f>
        <v>31941.5</v>
      </c>
      <c r="K14" s="193">
        <f t="shared" ref="K14:T14" si="10">SUM(K10:K13)</f>
        <v>0</v>
      </c>
      <c r="L14" s="193">
        <f t="shared" si="10"/>
        <v>31941.5</v>
      </c>
      <c r="M14" s="193">
        <f t="shared" si="10"/>
        <v>25434.18</v>
      </c>
      <c r="N14" s="193">
        <f t="shared" si="10"/>
        <v>6507.3200000000006</v>
      </c>
      <c r="O14" s="193">
        <f t="shared" si="10"/>
        <v>0.628</v>
      </c>
      <c r="P14" s="193">
        <f t="shared" si="10"/>
        <v>1434.9707600000002</v>
      </c>
      <c r="Q14" s="193">
        <f t="shared" si="10"/>
        <v>3336.9000000000005</v>
      </c>
      <c r="R14" s="193">
        <f t="shared" si="10"/>
        <v>4771.8707600000007</v>
      </c>
      <c r="S14" s="193">
        <f t="shared" si="10"/>
        <v>0</v>
      </c>
      <c r="T14" s="193">
        <f t="shared" si="10"/>
        <v>4771.87</v>
      </c>
      <c r="U14" s="192">
        <f>SUM(U10:U13)</f>
        <v>0</v>
      </c>
      <c r="V14" s="192">
        <f>SUM(V10:V13)</f>
        <v>4771.87</v>
      </c>
      <c r="W14" s="192">
        <f>SUM(W10:W13)</f>
        <v>4771.87</v>
      </c>
      <c r="X14" s="192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3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6" t="s">
        <v>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5" ht="18" x14ac:dyDescent="0.25">
      <c r="A2" s="276" t="s">
        <v>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5" ht="19.5" x14ac:dyDescent="0.25">
      <c r="A3" s="267" t="s">
        <v>322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7" t="s">
        <v>1</v>
      </c>
      <c r="I6" s="279"/>
      <c r="J6" s="24" t="s">
        <v>26</v>
      </c>
      <c r="K6" s="25"/>
      <c r="L6" s="280" t="s">
        <v>9</v>
      </c>
      <c r="M6" s="281"/>
      <c r="N6" s="281"/>
      <c r="O6" s="281"/>
      <c r="P6" s="281"/>
      <c r="Q6" s="282"/>
      <c r="R6" s="24" t="s">
        <v>30</v>
      </c>
      <c r="S6" s="24" t="s">
        <v>10</v>
      </c>
      <c r="T6" s="23" t="s">
        <v>54</v>
      </c>
      <c r="U6" s="283" t="s">
        <v>2</v>
      </c>
      <c r="V6" s="284"/>
      <c r="W6" s="23" t="s">
        <v>0</v>
      </c>
      <c r="X6" s="34"/>
    </row>
    <row r="7" spans="1:25" ht="33.75" customHeight="1" x14ac:dyDescent="0.2">
      <c r="A7" s="26" t="s">
        <v>21</v>
      </c>
      <c r="B7" s="45" t="s">
        <v>103</v>
      </c>
      <c r="C7" s="45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7" t="s">
        <v>85</v>
      </c>
      <c r="B10" s="177" t="s">
        <v>262</v>
      </c>
      <c r="C10" s="178" t="s">
        <v>117</v>
      </c>
      <c r="D10" s="180" t="s">
        <v>245</v>
      </c>
      <c r="E10" s="179" t="s">
        <v>77</v>
      </c>
      <c r="F10" s="181">
        <v>15</v>
      </c>
      <c r="G10" s="227">
        <f>H10/F10</f>
        <v>572.79999999999995</v>
      </c>
      <c r="H10" s="183">
        <v>8592</v>
      </c>
      <c r="I10" s="185">
        <f t="shared" ref="I10:I18" si="0">SUM(H10:H10)</f>
        <v>8592</v>
      </c>
      <c r="J10" s="186">
        <v>0</v>
      </c>
      <c r="K10" s="186">
        <f>I10+J10</f>
        <v>8592</v>
      </c>
      <c r="L10" s="186">
        <f t="shared" ref="L10" si="1">VLOOKUP(K10,Tarifa1,1)</f>
        <v>6602.71</v>
      </c>
      <c r="M10" s="186">
        <f>K10-L10</f>
        <v>1989.29</v>
      </c>
      <c r="N10" s="187">
        <f t="shared" ref="N10" si="2">VLOOKUP(K10,Tarifa1,3)</f>
        <v>0.21360000000000001</v>
      </c>
      <c r="O10" s="186">
        <f>M10*N10</f>
        <v>424.91234400000002</v>
      </c>
      <c r="P10" s="188">
        <f t="shared" ref="P10" si="3">VLOOKUP(K10,Tarifa1,2)</f>
        <v>699.3</v>
      </c>
      <c r="Q10" s="186">
        <f>O10+P10</f>
        <v>1124.212344</v>
      </c>
      <c r="R10" s="186">
        <f t="shared" ref="R10" si="4">VLOOKUP(K10,Credito1,2)</f>
        <v>0</v>
      </c>
      <c r="S10" s="186">
        <f>ROUND(Q10-R10,2)</f>
        <v>1124.21</v>
      </c>
      <c r="T10" s="185">
        <f t="shared" ref="T10:T18" si="5">-IF(S10&gt;0,0,S10)</f>
        <v>0</v>
      </c>
      <c r="U10" s="185">
        <f t="shared" ref="U10:U18" si="6">IF(S10&lt;0,0,S10)</f>
        <v>1124.21</v>
      </c>
      <c r="V10" s="185">
        <f>SUM(U10:U10)</f>
        <v>1124.21</v>
      </c>
      <c r="W10" s="185">
        <f>I10+T10-V10</f>
        <v>7467.79</v>
      </c>
      <c r="X10" s="33"/>
    </row>
    <row r="11" spans="1:25" ht="75" customHeight="1" x14ac:dyDescent="0.25">
      <c r="A11" s="117" t="s">
        <v>86</v>
      </c>
      <c r="B11" s="177" t="s">
        <v>243</v>
      </c>
      <c r="C11" s="178" t="s">
        <v>117</v>
      </c>
      <c r="D11" s="180" t="s">
        <v>246</v>
      </c>
      <c r="E11" s="179" t="s">
        <v>77</v>
      </c>
      <c r="F11" s="181">
        <v>15</v>
      </c>
      <c r="G11" s="227">
        <f t="shared" ref="G11:G18" si="7">H11/F11</f>
        <v>572.79999999999995</v>
      </c>
      <c r="H11" s="183">
        <v>8592</v>
      </c>
      <c r="I11" s="185">
        <f t="shared" si="0"/>
        <v>8592</v>
      </c>
      <c r="J11" s="186">
        <v>0</v>
      </c>
      <c r="K11" s="186">
        <f t="shared" ref="K11:K18" si="8">I11+J11</f>
        <v>8592</v>
      </c>
      <c r="L11" s="186">
        <f t="shared" ref="L11:L18" si="9">VLOOKUP(K11,Tarifa1,1)</f>
        <v>6602.71</v>
      </c>
      <c r="M11" s="186">
        <f t="shared" ref="M11:M18" si="10">K11-L11</f>
        <v>1989.29</v>
      </c>
      <c r="N11" s="187">
        <f t="shared" ref="N11:N18" si="11">VLOOKUP(K11,Tarifa1,3)</f>
        <v>0.21360000000000001</v>
      </c>
      <c r="O11" s="186">
        <f t="shared" ref="O11:O18" si="12">M11*N11</f>
        <v>424.91234400000002</v>
      </c>
      <c r="P11" s="188">
        <f t="shared" ref="P11:P18" si="13">VLOOKUP(K11,Tarifa1,2)</f>
        <v>699.3</v>
      </c>
      <c r="Q11" s="186">
        <f t="shared" ref="Q11:Q18" si="14">O11+P11</f>
        <v>1124.212344</v>
      </c>
      <c r="R11" s="186">
        <f t="shared" ref="R11:R18" si="15">VLOOKUP(K11,Credito1,2)</f>
        <v>0</v>
      </c>
      <c r="S11" s="186">
        <f t="shared" ref="S11:S18" si="16">ROUND(Q11-R11,2)</f>
        <v>1124.21</v>
      </c>
      <c r="T11" s="185">
        <f t="shared" si="5"/>
        <v>0</v>
      </c>
      <c r="U11" s="185">
        <f t="shared" si="6"/>
        <v>1124.21</v>
      </c>
      <c r="V11" s="185">
        <f>SUM(U11:U11)</f>
        <v>1124.21</v>
      </c>
      <c r="W11" s="185">
        <f>I11+T11-V11</f>
        <v>7467.79</v>
      </c>
      <c r="X11" s="33"/>
    </row>
    <row r="12" spans="1:25" ht="75" customHeight="1" x14ac:dyDescent="0.25">
      <c r="A12" s="117" t="s">
        <v>87</v>
      </c>
      <c r="B12" s="177" t="s">
        <v>244</v>
      </c>
      <c r="C12" s="178" t="s">
        <v>117</v>
      </c>
      <c r="D12" s="180" t="s">
        <v>247</v>
      </c>
      <c r="E12" s="179" t="s">
        <v>77</v>
      </c>
      <c r="F12" s="181">
        <v>15</v>
      </c>
      <c r="G12" s="227">
        <f t="shared" si="7"/>
        <v>572.79999999999995</v>
      </c>
      <c r="H12" s="183">
        <v>8592</v>
      </c>
      <c r="I12" s="185">
        <f t="shared" si="0"/>
        <v>8592</v>
      </c>
      <c r="J12" s="186">
        <v>0</v>
      </c>
      <c r="K12" s="186">
        <f t="shared" si="8"/>
        <v>8592</v>
      </c>
      <c r="L12" s="186">
        <f t="shared" si="9"/>
        <v>6602.71</v>
      </c>
      <c r="M12" s="186">
        <f t="shared" si="10"/>
        <v>1989.29</v>
      </c>
      <c r="N12" s="187">
        <f t="shared" si="11"/>
        <v>0.21360000000000001</v>
      </c>
      <c r="O12" s="186">
        <f t="shared" si="12"/>
        <v>424.91234400000002</v>
      </c>
      <c r="P12" s="188">
        <f t="shared" si="13"/>
        <v>699.3</v>
      </c>
      <c r="Q12" s="186">
        <f t="shared" si="14"/>
        <v>1124.212344</v>
      </c>
      <c r="R12" s="186">
        <f t="shared" si="15"/>
        <v>0</v>
      </c>
      <c r="S12" s="186">
        <f t="shared" si="16"/>
        <v>1124.21</v>
      </c>
      <c r="T12" s="185">
        <f t="shared" si="5"/>
        <v>0</v>
      </c>
      <c r="U12" s="185">
        <f t="shared" si="6"/>
        <v>1124.21</v>
      </c>
      <c r="V12" s="185">
        <f>SUM(U12:U12)</f>
        <v>1124.21</v>
      </c>
      <c r="W12" s="185">
        <f>I12+T12-V12</f>
        <v>7467.79</v>
      </c>
      <c r="X12" s="33"/>
    </row>
    <row r="13" spans="1:25" ht="75" customHeight="1" x14ac:dyDescent="0.25">
      <c r="A13" s="117" t="s">
        <v>88</v>
      </c>
      <c r="B13" s="177" t="s">
        <v>263</v>
      </c>
      <c r="C13" s="178" t="s">
        <v>117</v>
      </c>
      <c r="D13" s="179" t="s">
        <v>248</v>
      </c>
      <c r="E13" s="179" t="s">
        <v>77</v>
      </c>
      <c r="F13" s="181">
        <v>10</v>
      </c>
      <c r="G13" s="227">
        <f t="shared" si="7"/>
        <v>859.2</v>
      </c>
      <c r="H13" s="183">
        <v>8592</v>
      </c>
      <c r="I13" s="185">
        <f t="shared" ref="I13" si="17">SUM(H13:H13)</f>
        <v>8592</v>
      </c>
      <c r="J13" s="186">
        <v>0</v>
      </c>
      <c r="K13" s="186">
        <f t="shared" ref="K13" si="18">I13+J13</f>
        <v>8592</v>
      </c>
      <c r="L13" s="186">
        <f t="shared" ref="L13" si="19">VLOOKUP(K13,Tarifa1,1)</f>
        <v>6602.71</v>
      </c>
      <c r="M13" s="186">
        <f t="shared" ref="M13" si="20">K13-L13</f>
        <v>1989.29</v>
      </c>
      <c r="N13" s="187">
        <f t="shared" ref="N13" si="21">VLOOKUP(K13,Tarifa1,3)</f>
        <v>0.21360000000000001</v>
      </c>
      <c r="O13" s="186">
        <f t="shared" ref="O13" si="22">M13*N13</f>
        <v>424.91234400000002</v>
      </c>
      <c r="P13" s="188">
        <f t="shared" ref="P13" si="23">VLOOKUP(K13,Tarifa1,2)</f>
        <v>699.3</v>
      </c>
      <c r="Q13" s="186">
        <f t="shared" ref="Q13" si="24">O13+P13</f>
        <v>1124.212344</v>
      </c>
      <c r="R13" s="186">
        <f t="shared" ref="R13" si="25">VLOOKUP(K13,Credito1,2)</f>
        <v>0</v>
      </c>
      <c r="S13" s="186">
        <f t="shared" ref="S13" si="26">ROUND(Q13-R13,2)</f>
        <v>1124.21</v>
      </c>
      <c r="T13" s="185">
        <f t="shared" si="5"/>
        <v>0</v>
      </c>
      <c r="U13" s="185">
        <f t="shared" si="6"/>
        <v>1124.21</v>
      </c>
      <c r="V13" s="185">
        <f>SUM(U13:U13)</f>
        <v>1124.21</v>
      </c>
      <c r="W13" s="185">
        <f>I13+T13-V13</f>
        <v>7467.79</v>
      </c>
      <c r="X13" s="33"/>
    </row>
    <row r="14" spans="1:25" ht="75" customHeight="1" x14ac:dyDescent="0.25">
      <c r="A14" s="117" t="s">
        <v>89</v>
      </c>
      <c r="B14" s="177" t="s">
        <v>264</v>
      </c>
      <c r="C14" s="178" t="s">
        <v>117</v>
      </c>
      <c r="D14" s="204" t="s">
        <v>249</v>
      </c>
      <c r="E14" s="201" t="s">
        <v>77</v>
      </c>
      <c r="F14" s="202">
        <v>15</v>
      </c>
      <c r="G14" s="228">
        <f t="shared" si="7"/>
        <v>572.79999999999995</v>
      </c>
      <c r="H14" s="183">
        <v>8592</v>
      </c>
      <c r="I14" s="185">
        <f t="shared" ref="I14" si="27">SUM(H14:H14)</f>
        <v>8592</v>
      </c>
      <c r="J14" s="186">
        <v>0</v>
      </c>
      <c r="K14" s="186">
        <f t="shared" si="8"/>
        <v>8592</v>
      </c>
      <c r="L14" s="186">
        <f t="shared" si="9"/>
        <v>6602.71</v>
      </c>
      <c r="M14" s="186">
        <f t="shared" si="10"/>
        <v>1989.29</v>
      </c>
      <c r="N14" s="187">
        <f t="shared" si="11"/>
        <v>0.21360000000000001</v>
      </c>
      <c r="O14" s="186">
        <f t="shared" si="12"/>
        <v>424.91234400000002</v>
      </c>
      <c r="P14" s="188">
        <f t="shared" si="13"/>
        <v>699.3</v>
      </c>
      <c r="Q14" s="186">
        <f t="shared" si="14"/>
        <v>1124.212344</v>
      </c>
      <c r="R14" s="186">
        <f t="shared" si="15"/>
        <v>0</v>
      </c>
      <c r="S14" s="186">
        <f t="shared" si="16"/>
        <v>1124.21</v>
      </c>
      <c r="T14" s="185">
        <f t="shared" ref="T14" si="28">-IF(S14&gt;0,0,S14)</f>
        <v>0</v>
      </c>
      <c r="U14" s="185">
        <f t="shared" ref="U14" si="29">IF(S14&lt;0,0,S14)</f>
        <v>1124.21</v>
      </c>
      <c r="V14" s="185">
        <f>SUM(U14:U14)</f>
        <v>1124.21</v>
      </c>
      <c r="W14" s="185">
        <f>I14+T14-V14</f>
        <v>7467.79</v>
      </c>
      <c r="X14" s="33"/>
    </row>
    <row r="15" spans="1:25" ht="75" customHeight="1" x14ac:dyDescent="0.25">
      <c r="A15" s="117" t="s">
        <v>90</v>
      </c>
      <c r="B15" s="177" t="s">
        <v>265</v>
      </c>
      <c r="C15" s="178" t="s">
        <v>117</v>
      </c>
      <c r="D15" s="180" t="s">
        <v>250</v>
      </c>
      <c r="E15" s="179" t="s">
        <v>77</v>
      </c>
      <c r="F15" s="181">
        <v>15</v>
      </c>
      <c r="G15" s="227">
        <f t="shared" si="7"/>
        <v>572.79999999999995</v>
      </c>
      <c r="H15" s="183">
        <v>8592</v>
      </c>
      <c r="I15" s="185">
        <f t="shared" si="0"/>
        <v>8592</v>
      </c>
      <c r="J15" s="186">
        <v>0</v>
      </c>
      <c r="K15" s="186">
        <f t="shared" si="8"/>
        <v>8592</v>
      </c>
      <c r="L15" s="186">
        <f t="shared" si="9"/>
        <v>6602.71</v>
      </c>
      <c r="M15" s="186">
        <f t="shared" si="10"/>
        <v>1989.29</v>
      </c>
      <c r="N15" s="187">
        <f t="shared" si="11"/>
        <v>0.21360000000000001</v>
      </c>
      <c r="O15" s="186">
        <f t="shared" si="12"/>
        <v>424.91234400000002</v>
      </c>
      <c r="P15" s="188">
        <f t="shared" si="13"/>
        <v>699.3</v>
      </c>
      <c r="Q15" s="186">
        <f t="shared" si="14"/>
        <v>1124.212344</v>
      </c>
      <c r="R15" s="186">
        <f t="shared" si="15"/>
        <v>0</v>
      </c>
      <c r="S15" s="186">
        <f t="shared" si="16"/>
        <v>1124.21</v>
      </c>
      <c r="T15" s="185">
        <f t="shared" si="5"/>
        <v>0</v>
      </c>
      <c r="U15" s="185">
        <f t="shared" si="6"/>
        <v>1124.21</v>
      </c>
      <c r="V15" s="185">
        <f>SUM(U15:U15)</f>
        <v>1124.21</v>
      </c>
      <c r="W15" s="185">
        <f>I15+T15-V15</f>
        <v>7467.79</v>
      </c>
      <c r="X15" s="33"/>
    </row>
    <row r="16" spans="1:25" ht="75" customHeight="1" x14ac:dyDescent="0.25">
      <c r="A16" s="117" t="s">
        <v>91</v>
      </c>
      <c r="B16" s="177" t="s">
        <v>251</v>
      </c>
      <c r="C16" s="178" t="s">
        <v>117</v>
      </c>
      <c r="D16" s="180" t="s">
        <v>252</v>
      </c>
      <c r="E16" s="179" t="s">
        <v>77</v>
      </c>
      <c r="F16" s="181">
        <v>15</v>
      </c>
      <c r="G16" s="227">
        <f t="shared" si="7"/>
        <v>572.79999999999995</v>
      </c>
      <c r="H16" s="183">
        <v>8592</v>
      </c>
      <c r="I16" s="185">
        <f t="shared" si="0"/>
        <v>8592</v>
      </c>
      <c r="J16" s="186">
        <v>0</v>
      </c>
      <c r="K16" s="186">
        <f t="shared" si="8"/>
        <v>8592</v>
      </c>
      <c r="L16" s="186">
        <f t="shared" si="9"/>
        <v>6602.71</v>
      </c>
      <c r="M16" s="186">
        <f t="shared" si="10"/>
        <v>1989.29</v>
      </c>
      <c r="N16" s="187">
        <f t="shared" si="11"/>
        <v>0.21360000000000001</v>
      </c>
      <c r="O16" s="186">
        <f t="shared" si="12"/>
        <v>424.91234400000002</v>
      </c>
      <c r="P16" s="188">
        <f t="shared" si="13"/>
        <v>699.3</v>
      </c>
      <c r="Q16" s="186">
        <f t="shared" si="14"/>
        <v>1124.212344</v>
      </c>
      <c r="R16" s="186">
        <f t="shared" si="15"/>
        <v>0</v>
      </c>
      <c r="S16" s="186">
        <f t="shared" si="16"/>
        <v>1124.21</v>
      </c>
      <c r="T16" s="185">
        <f t="shared" si="5"/>
        <v>0</v>
      </c>
      <c r="U16" s="185">
        <f t="shared" si="6"/>
        <v>1124.21</v>
      </c>
      <c r="V16" s="185">
        <f>SUM(U16:U16)</f>
        <v>1124.21</v>
      </c>
      <c r="W16" s="185">
        <f>I16+T16-V16</f>
        <v>7467.79</v>
      </c>
      <c r="X16" s="33"/>
    </row>
    <row r="17" spans="1:24" ht="75" customHeight="1" x14ac:dyDescent="0.25">
      <c r="A17" s="117" t="s">
        <v>92</v>
      </c>
      <c r="B17" s="177" t="s">
        <v>266</v>
      </c>
      <c r="C17" s="178" t="s">
        <v>117</v>
      </c>
      <c r="D17" s="180" t="s">
        <v>253</v>
      </c>
      <c r="E17" s="179" t="s">
        <v>77</v>
      </c>
      <c r="F17" s="181">
        <v>15</v>
      </c>
      <c r="G17" s="227">
        <f t="shared" si="7"/>
        <v>572.79999999999995</v>
      </c>
      <c r="H17" s="183">
        <v>8592</v>
      </c>
      <c r="I17" s="185">
        <f t="shared" si="0"/>
        <v>8592</v>
      </c>
      <c r="J17" s="186">
        <v>0</v>
      </c>
      <c r="K17" s="186">
        <f t="shared" si="8"/>
        <v>8592</v>
      </c>
      <c r="L17" s="186">
        <f t="shared" si="9"/>
        <v>6602.71</v>
      </c>
      <c r="M17" s="186">
        <f t="shared" si="10"/>
        <v>1989.29</v>
      </c>
      <c r="N17" s="187">
        <f t="shared" si="11"/>
        <v>0.21360000000000001</v>
      </c>
      <c r="O17" s="186">
        <f t="shared" si="12"/>
        <v>424.91234400000002</v>
      </c>
      <c r="P17" s="188">
        <f t="shared" si="13"/>
        <v>699.3</v>
      </c>
      <c r="Q17" s="186">
        <f t="shared" si="14"/>
        <v>1124.212344</v>
      </c>
      <c r="R17" s="186">
        <f t="shared" si="15"/>
        <v>0</v>
      </c>
      <c r="S17" s="186">
        <f t="shared" si="16"/>
        <v>1124.21</v>
      </c>
      <c r="T17" s="185">
        <f t="shared" si="5"/>
        <v>0</v>
      </c>
      <c r="U17" s="185">
        <f t="shared" si="6"/>
        <v>1124.21</v>
      </c>
      <c r="V17" s="185">
        <f>SUM(U17:U17)</f>
        <v>1124.21</v>
      </c>
      <c r="W17" s="185">
        <f>I17+T17-V17</f>
        <v>7467.79</v>
      </c>
      <c r="X17" s="33"/>
    </row>
    <row r="18" spans="1:24" ht="75" customHeight="1" x14ac:dyDescent="0.25">
      <c r="A18" s="117" t="s">
        <v>93</v>
      </c>
      <c r="B18" s="177" t="s">
        <v>267</v>
      </c>
      <c r="C18" s="178" t="s">
        <v>117</v>
      </c>
      <c r="D18" s="179" t="s">
        <v>274</v>
      </c>
      <c r="E18" s="179" t="s">
        <v>77</v>
      </c>
      <c r="F18" s="181">
        <v>15</v>
      </c>
      <c r="G18" s="227">
        <f t="shared" si="7"/>
        <v>572.79999999999995</v>
      </c>
      <c r="H18" s="183">
        <v>8592</v>
      </c>
      <c r="I18" s="185">
        <f t="shared" si="0"/>
        <v>8592</v>
      </c>
      <c r="J18" s="186">
        <v>0</v>
      </c>
      <c r="K18" s="186">
        <f t="shared" si="8"/>
        <v>8592</v>
      </c>
      <c r="L18" s="186">
        <f t="shared" si="9"/>
        <v>6602.71</v>
      </c>
      <c r="M18" s="186">
        <f t="shared" si="10"/>
        <v>1989.29</v>
      </c>
      <c r="N18" s="187">
        <f t="shared" si="11"/>
        <v>0.21360000000000001</v>
      </c>
      <c r="O18" s="186">
        <f t="shared" si="12"/>
        <v>424.91234400000002</v>
      </c>
      <c r="P18" s="188">
        <f t="shared" si="13"/>
        <v>699.3</v>
      </c>
      <c r="Q18" s="186">
        <f t="shared" si="14"/>
        <v>1124.212344</v>
      </c>
      <c r="R18" s="186">
        <f t="shared" si="15"/>
        <v>0</v>
      </c>
      <c r="S18" s="186">
        <f t="shared" si="16"/>
        <v>1124.21</v>
      </c>
      <c r="T18" s="185">
        <f t="shared" si="5"/>
        <v>0</v>
      </c>
      <c r="U18" s="185">
        <f t="shared" si="6"/>
        <v>1124.21</v>
      </c>
      <c r="V18" s="185">
        <f>SUM(U18:U18)</f>
        <v>1124.21</v>
      </c>
      <c r="W18" s="185">
        <f>I18+T18-V18</f>
        <v>7467.79</v>
      </c>
      <c r="X18" s="33"/>
    </row>
    <row r="19" spans="1:24" ht="21.75" customHeight="1" x14ac:dyDescent="0.25">
      <c r="A19" s="212"/>
      <c r="B19" s="212"/>
      <c r="C19" s="212"/>
      <c r="D19" s="212"/>
      <c r="E19" s="212"/>
      <c r="F19" s="212"/>
      <c r="G19" s="212"/>
      <c r="H19" s="218"/>
      <c r="I19" s="218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</row>
    <row r="20" spans="1:24" ht="40.5" customHeight="1" thickBot="1" x14ac:dyDescent="0.3">
      <c r="A20" s="263" t="s">
        <v>45</v>
      </c>
      <c r="B20" s="264"/>
      <c r="C20" s="264"/>
      <c r="D20" s="264"/>
      <c r="E20" s="264"/>
      <c r="F20" s="264"/>
      <c r="G20" s="265"/>
      <c r="H20" s="192">
        <f>SUM(H10:H19)</f>
        <v>77328</v>
      </c>
      <c r="I20" s="192">
        <f>SUM(I10:I19)</f>
        <v>77328</v>
      </c>
      <c r="J20" s="193">
        <f t="shared" ref="J20:S20" si="30">SUM(J10:J19)</f>
        <v>0</v>
      </c>
      <c r="K20" s="193">
        <f t="shared" si="30"/>
        <v>77328</v>
      </c>
      <c r="L20" s="193">
        <f t="shared" si="30"/>
        <v>59424.39</v>
      </c>
      <c r="M20" s="193">
        <f t="shared" si="30"/>
        <v>17903.610000000004</v>
      </c>
      <c r="N20" s="193">
        <f t="shared" si="30"/>
        <v>1.9224000000000001</v>
      </c>
      <c r="O20" s="193">
        <f t="shared" si="30"/>
        <v>3824.2110959999995</v>
      </c>
      <c r="P20" s="193">
        <f t="shared" si="30"/>
        <v>6293.7000000000007</v>
      </c>
      <c r="Q20" s="193">
        <f t="shared" si="30"/>
        <v>10117.911095999998</v>
      </c>
      <c r="R20" s="193">
        <f t="shared" si="30"/>
        <v>0</v>
      </c>
      <c r="S20" s="193">
        <f t="shared" si="30"/>
        <v>10117.89</v>
      </c>
      <c r="T20" s="192">
        <f>SUM(T10:T19)</f>
        <v>0</v>
      </c>
      <c r="U20" s="192">
        <f>SUM(U10:U19)</f>
        <v>10117.89</v>
      </c>
      <c r="V20" s="192">
        <f>SUM(V10:V19)</f>
        <v>10117.89</v>
      </c>
      <c r="W20" s="192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2022-08-15T17:06:05Z</cp:lastPrinted>
  <dcterms:created xsi:type="dcterms:W3CDTF">2000-05-05T04:08:27Z</dcterms:created>
  <dcterms:modified xsi:type="dcterms:W3CDTF">2023-09-14T20:11:27Z</dcterms:modified>
</cp:coreProperties>
</file>