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7BC7C192-ED1F-4A12-8267-2D1B61D9B472}" xr6:coauthVersionLast="47" xr6:coauthVersionMax="47" xr10:uidLastSave="{00000000-0000-0000-0000-000000000000}"/>
  <bookViews>
    <workbookView xWindow="-120" yWindow="-120" windowWidth="20640" windowHeight="11160" tabRatio="772" firstSheet="1" activeTab="8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31" l="1"/>
  <c r="K14" i="131" l="1"/>
  <c r="I21" i="135"/>
  <c r="J21" i="135" s="1"/>
  <c r="H21" i="135"/>
  <c r="P14" i="131" l="1"/>
  <c r="L14" i="131"/>
  <c r="M14" i="131" s="1"/>
  <c r="R14" i="131"/>
  <c r="N14" i="131"/>
  <c r="K21" i="135"/>
  <c r="L21" i="135" s="1"/>
  <c r="Q21" i="135"/>
  <c r="M21" i="135"/>
  <c r="O21" i="135"/>
  <c r="N21" i="135" l="1"/>
  <c r="P21" i="135" s="1"/>
  <c r="R21" i="135" s="1"/>
  <c r="O14" i="131"/>
  <c r="Q14" i="131" s="1"/>
  <c r="S14" i="131" s="1"/>
  <c r="T14" i="131" s="1"/>
  <c r="T21" i="135"/>
  <c r="U21" i="135" s="1"/>
  <c r="S21" i="135"/>
  <c r="G14" i="131"/>
  <c r="U14" i="131" l="1"/>
  <c r="V14" i="131" s="1"/>
  <c r="W14" i="131" s="1"/>
  <c r="V21" i="135"/>
  <c r="K19" i="123"/>
  <c r="L19" i="123" s="1"/>
  <c r="J19" i="123"/>
  <c r="Q19" i="123" l="1"/>
  <c r="M19" i="123"/>
  <c r="N19" i="123" s="1"/>
  <c r="S19" i="123"/>
  <c r="O19" i="123"/>
  <c r="P19" i="123" l="1"/>
  <c r="R19" i="123" s="1"/>
  <c r="T19" i="123" s="1"/>
  <c r="V19" i="123" s="1"/>
  <c r="W19" i="123" s="1"/>
  <c r="U19" i="123" l="1"/>
  <c r="X19" i="123" s="1"/>
  <c r="I20" i="135"/>
  <c r="J20" i="135" s="1"/>
  <c r="H20" i="135"/>
  <c r="Q20" i="135" l="1"/>
  <c r="M20" i="135"/>
  <c r="K20" i="135"/>
  <c r="L20" i="135" s="1"/>
  <c r="O20" i="135"/>
  <c r="K20" i="120"/>
  <c r="L20" i="120" s="1"/>
  <c r="J20" i="120"/>
  <c r="N20" i="135" l="1"/>
  <c r="P20" i="135" s="1"/>
  <c r="R20" i="135" s="1"/>
  <c r="T20" i="135"/>
  <c r="U20" i="135" s="1"/>
  <c r="S20" i="135"/>
  <c r="Q20" i="120"/>
  <c r="S20" i="120"/>
  <c r="O20" i="120"/>
  <c r="M20" i="120"/>
  <c r="N20" i="120" s="1"/>
  <c r="P20" i="120" s="1"/>
  <c r="I19" i="135"/>
  <c r="J19" i="135" s="1"/>
  <c r="H19" i="135"/>
  <c r="R20" i="120" l="1"/>
  <c r="T20" i="120" s="1"/>
  <c r="U20" i="120" s="1"/>
  <c r="V20" i="135"/>
  <c r="O19" i="135"/>
  <c r="K19" i="135"/>
  <c r="L19" i="135" s="1"/>
  <c r="Q19" i="135"/>
  <c r="M19" i="135"/>
  <c r="K17" i="133"/>
  <c r="L17" i="133" s="1"/>
  <c r="J17" i="133"/>
  <c r="V20" i="120" l="1"/>
  <c r="W20" i="120" s="1"/>
  <c r="X20" i="120" s="1"/>
  <c r="N19" i="135"/>
  <c r="P19" i="135" s="1"/>
  <c r="R19" i="135"/>
  <c r="S19" i="135" s="1"/>
  <c r="S17" i="133"/>
  <c r="O17" i="133"/>
  <c r="Q17" i="133"/>
  <c r="M17" i="133"/>
  <c r="N17" i="133" s="1"/>
  <c r="K15" i="121"/>
  <c r="L15" i="121" s="1"/>
  <c r="J15" i="121"/>
  <c r="T19" i="135" l="1"/>
  <c r="U19" i="135" s="1"/>
  <c r="V19" i="135" s="1"/>
  <c r="P17" i="133"/>
  <c r="R17" i="133" s="1"/>
  <c r="T17" i="133" s="1"/>
  <c r="V17" i="133" s="1"/>
  <c r="W17" i="133" s="1"/>
  <c r="S15" i="121"/>
  <c r="O15" i="121"/>
  <c r="Q15" i="121"/>
  <c r="M15" i="121"/>
  <c r="N15" i="121" s="1"/>
  <c r="K18" i="123"/>
  <c r="L18" i="123" s="1"/>
  <c r="J18" i="123"/>
  <c r="U17" i="133" l="1"/>
  <c r="X17" i="133"/>
  <c r="P15" i="121"/>
  <c r="R15" i="121" s="1"/>
  <c r="T15" i="121" s="1"/>
  <c r="S18" i="123"/>
  <c r="O18" i="123"/>
  <c r="Q18" i="123"/>
  <c r="M18" i="123"/>
  <c r="N18" i="123" s="1"/>
  <c r="P18" i="123" l="1"/>
  <c r="R18" i="123" s="1"/>
  <c r="T18" i="123" s="1"/>
  <c r="V18" i="123" s="1"/>
  <c r="W18" i="123" s="1"/>
  <c r="U15" i="121"/>
  <c r="V15" i="121"/>
  <c r="W15" i="121" s="1"/>
  <c r="I32" i="119"/>
  <c r="H32" i="119"/>
  <c r="K27" i="123"/>
  <c r="L27" i="123" s="1"/>
  <c r="J27" i="123"/>
  <c r="K33" i="119"/>
  <c r="L33" i="119" s="1"/>
  <c r="J33" i="119"/>
  <c r="J32" i="119" s="1"/>
  <c r="K16" i="133"/>
  <c r="L16" i="133" s="1"/>
  <c r="J16" i="133"/>
  <c r="G16" i="133"/>
  <c r="U18" i="123" l="1"/>
  <c r="X18" i="123" s="1"/>
  <c r="X15" i="121"/>
  <c r="O27" i="123"/>
  <c r="Q27" i="123"/>
  <c r="M27" i="123"/>
  <c r="N27" i="123" s="1"/>
  <c r="S27" i="123"/>
  <c r="S33" i="119"/>
  <c r="Q33" i="119"/>
  <c r="M33" i="119"/>
  <c r="N33" i="119" s="1"/>
  <c r="O33" i="119"/>
  <c r="S16" i="133"/>
  <c r="O16" i="133"/>
  <c r="Q16" i="133"/>
  <c r="M16" i="133"/>
  <c r="N16" i="133" s="1"/>
  <c r="K14" i="133"/>
  <c r="L14" i="133" s="1"/>
  <c r="J14" i="133"/>
  <c r="P33" i="119" l="1"/>
  <c r="R33" i="119" s="1"/>
  <c r="T33" i="119" s="1"/>
  <c r="V33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3" i="119" l="1"/>
  <c r="U32" i="119" s="1"/>
  <c r="U27" i="123"/>
  <c r="X27" i="123" s="1"/>
  <c r="U16" i="133"/>
  <c r="X16" i="133" s="1"/>
  <c r="W33" i="119"/>
  <c r="W32" i="119" s="1"/>
  <c r="V32" i="119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/>
  <c r="T18" i="120" s="1"/>
  <c r="X33" i="119"/>
  <c r="X32" i="119" s="1"/>
  <c r="U14" i="133"/>
  <c r="X14" i="133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U18" i="120" l="1"/>
  <c r="V18" i="120"/>
  <c r="W18" i="120" s="1"/>
  <c r="X18" i="120" s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I18" i="135" l="1"/>
  <c r="J18" i="135" s="1"/>
  <c r="H18" i="135"/>
  <c r="I17" i="135"/>
  <c r="J17" i="135" s="1"/>
  <c r="H17" i="135"/>
  <c r="Q18" i="135" l="1"/>
  <c r="M18" i="135"/>
  <c r="K18" i="135"/>
  <c r="L18" i="135" s="1"/>
  <c r="N18" i="135" s="1"/>
  <c r="O18" i="135"/>
  <c r="Q17" i="135"/>
  <c r="O17" i="135"/>
  <c r="K17" i="135"/>
  <c r="L17" i="135" s="1"/>
  <c r="M17" i="135"/>
  <c r="J33" i="120"/>
  <c r="K33" i="120"/>
  <c r="L33" i="120" s="1"/>
  <c r="N17" i="135" l="1"/>
  <c r="P17" i="135" s="1"/>
  <c r="R17" i="135" s="1"/>
  <c r="T17" i="135" s="1"/>
  <c r="U17" i="135" s="1"/>
  <c r="P18" i="135"/>
  <c r="R18" i="135" s="1"/>
  <c r="S18" i="135" s="1"/>
  <c r="O33" i="120"/>
  <c r="S33" i="120"/>
  <c r="M33" i="120"/>
  <c r="N33" i="120" s="1"/>
  <c r="Q33" i="120"/>
  <c r="S17" i="135" l="1"/>
  <c r="V17" i="135" s="1"/>
  <c r="T18" i="135"/>
  <c r="U18" i="135" s="1"/>
  <c r="V18" i="135" s="1"/>
  <c r="P33" i="120"/>
  <c r="R33" i="120" s="1"/>
  <c r="T33" i="120" s="1"/>
  <c r="V33" i="120" s="1"/>
  <c r="W33" i="120" s="1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L12" i="134"/>
  <c r="M12" i="134" s="1"/>
  <c r="L10" i="134"/>
  <c r="M10" i="134" s="1"/>
  <c r="K10" i="127"/>
  <c r="L10" i="127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32" i="121"/>
  <c r="H32" i="121"/>
  <c r="S21" i="123" l="1"/>
  <c r="Q21" i="123"/>
  <c r="U33" i="120"/>
  <c r="X33" i="120" s="1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N21" i="123" s="1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P13" i="132" s="1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Q11" i="118"/>
  <c r="S12" i="118"/>
  <c r="O12" i="118"/>
  <c r="N12" i="118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S22" i="123"/>
  <c r="O22" i="123"/>
  <c r="Q22" i="123"/>
  <c r="M22" i="123"/>
  <c r="N22" i="123" s="1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P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P15" i="120" s="1"/>
  <c r="Q15" i="120"/>
  <c r="O15" i="120"/>
  <c r="S15" i="120"/>
  <c r="O14" i="120"/>
  <c r="S14" i="120"/>
  <c r="M14" i="120"/>
  <c r="N14" i="120" s="1"/>
  <c r="Q14" i="120"/>
  <c r="M13" i="120"/>
  <c r="N13" i="120" s="1"/>
  <c r="P13" i="120" s="1"/>
  <c r="Q13" i="120"/>
  <c r="O13" i="120"/>
  <c r="S13" i="120"/>
  <c r="O16" i="120"/>
  <c r="S16" i="120"/>
  <c r="M16" i="120"/>
  <c r="Q16" i="120"/>
  <c r="N16" i="120"/>
  <c r="S11" i="120"/>
  <c r="O11" i="120"/>
  <c r="N11" i="120"/>
  <c r="S12" i="120"/>
  <c r="Q11" i="120"/>
  <c r="S10" i="120"/>
  <c r="T12" i="134"/>
  <c r="P12" i="134"/>
  <c r="R12" i="134"/>
  <c r="N12" i="134"/>
  <c r="O12" i="134" s="1"/>
  <c r="Q12" i="134" s="1"/>
  <c r="R10" i="134"/>
  <c r="N10" i="134"/>
  <c r="O10" i="134" s="1"/>
  <c r="T10" i="134"/>
  <c r="P10" i="134"/>
  <c r="Q10" i="127"/>
  <c r="M10" i="127"/>
  <c r="N10" i="127" s="1"/>
  <c r="S10" i="127"/>
  <c r="O10" i="127"/>
  <c r="M31" i="119"/>
  <c r="N31" i="119" s="1"/>
  <c r="S31" i="119"/>
  <c r="O31" i="119"/>
  <c r="Q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22" i="123" l="1"/>
  <c r="P29" i="123"/>
  <c r="P33" i="123"/>
  <c r="P11" i="118"/>
  <c r="P10" i="124"/>
  <c r="R10" i="124" s="1"/>
  <c r="T10" i="124" s="1"/>
  <c r="P31" i="123"/>
  <c r="R31" i="123" s="1"/>
  <c r="P12" i="118"/>
  <c r="R12" i="118" s="1"/>
  <c r="T12" i="118" s="1"/>
  <c r="P11" i="123"/>
  <c r="R11" i="123" s="1"/>
  <c r="T11" i="123" s="1"/>
  <c r="P12" i="132"/>
  <c r="R12" i="132" s="1"/>
  <c r="T12" i="132" s="1"/>
  <c r="P10" i="127"/>
  <c r="R10" i="127" s="1"/>
  <c r="T10" i="127" s="1"/>
  <c r="Q10" i="134"/>
  <c r="S10" i="134" s="1"/>
  <c r="U10" i="134" s="1"/>
  <c r="P21" i="120"/>
  <c r="R21" i="120" s="1"/>
  <c r="T21" i="120" s="1"/>
  <c r="P36" i="120"/>
  <c r="R36" i="120" s="1"/>
  <c r="T36" i="120" s="1"/>
  <c r="P15" i="123"/>
  <c r="R15" i="123" s="1"/>
  <c r="T15" i="123" s="1"/>
  <c r="P10" i="118"/>
  <c r="R10" i="118" s="1"/>
  <c r="T10" i="118" s="1"/>
  <c r="R13" i="132"/>
  <c r="P31" i="119"/>
  <c r="R31" i="119" s="1"/>
  <c r="T31" i="119" s="1"/>
  <c r="P14" i="135"/>
  <c r="R14" i="135" s="1"/>
  <c r="P36" i="121"/>
  <c r="R36" i="121" s="1"/>
  <c r="T36" i="121" s="1"/>
  <c r="M32" i="121"/>
  <c r="R11" i="132"/>
  <c r="N9" i="135"/>
  <c r="P9" i="135" s="1"/>
  <c r="R9" i="135" s="1"/>
  <c r="N13" i="135"/>
  <c r="P13" i="135" s="1"/>
  <c r="R13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1" i="132"/>
  <c r="R13" i="120"/>
  <c r="T13" i="120" s="1"/>
  <c r="T31" i="123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N15" i="135"/>
  <c r="P15" i="135" s="1"/>
  <c r="R15" i="135" s="1"/>
  <c r="N11" i="135"/>
  <c r="P11" i="135" s="1"/>
  <c r="R11" i="135" s="1"/>
  <c r="T13" i="132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S12" i="134"/>
  <c r="U12" i="134" s="1"/>
  <c r="P12" i="119"/>
  <c r="R12" i="119" s="1"/>
  <c r="T12" i="119" s="1"/>
  <c r="P33" i="121" l="1"/>
  <c r="R33" i="121" s="1"/>
  <c r="T33" i="121" s="1"/>
  <c r="N32" i="121"/>
  <c r="J34" i="121" l="1"/>
  <c r="F22" i="135" l="1"/>
  <c r="G22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8" i="131"/>
  <c r="M18" i="131" s="1"/>
  <c r="N18" i="131"/>
  <c r="R18" i="131"/>
  <c r="P18" i="131"/>
  <c r="N12" i="131"/>
  <c r="P12" i="131"/>
  <c r="L12" i="131"/>
  <c r="M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3" i="123"/>
  <c r="I37" i="120"/>
  <c r="G17" i="120"/>
  <c r="J11" i="132"/>
  <c r="O15" i="131" l="1"/>
  <c r="Q15" i="131" s="1"/>
  <c r="S15" i="131" s="1"/>
  <c r="O12" i="131"/>
  <c r="Q12" i="131" s="1"/>
  <c r="S12" i="131" s="1"/>
  <c r="O10" i="131"/>
  <c r="Q10" i="131" s="1"/>
  <c r="S10" i="131" s="1"/>
  <c r="O16" i="131"/>
  <c r="Q16" i="131" s="1"/>
  <c r="S16" i="131" s="1"/>
  <c r="O17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J17" i="120"/>
  <c r="J34" i="120"/>
  <c r="J10" i="132"/>
  <c r="J12" i="132"/>
  <c r="I9" i="121" l="1"/>
  <c r="I29" i="119"/>
  <c r="H29" i="119"/>
  <c r="I20" i="123" l="1"/>
  <c r="J28" i="121"/>
  <c r="J13" i="120"/>
  <c r="K10" i="134" l="1"/>
  <c r="V33" i="123" l="1"/>
  <c r="W33" i="123" s="1"/>
  <c r="U33" i="123"/>
  <c r="J33" i="123"/>
  <c r="X33" i="123" l="1"/>
  <c r="J36" i="120" l="1"/>
  <c r="J10" i="121" l="1"/>
  <c r="K9" i="134" l="1"/>
  <c r="J9" i="134"/>
  <c r="I9" i="134"/>
  <c r="K12" i="134"/>
  <c r="K11" i="134" s="1"/>
  <c r="H12" i="134"/>
  <c r="J11" i="134"/>
  <c r="I11" i="134"/>
  <c r="H10" i="134"/>
  <c r="R14" i="134"/>
  <c r="N14" i="134"/>
  <c r="L14" i="134"/>
  <c r="I14" i="134" l="1"/>
  <c r="J14" i="134"/>
  <c r="K14" i="134"/>
  <c r="W12" i="134"/>
  <c r="V12" i="134"/>
  <c r="V11" i="134" s="1"/>
  <c r="M14" i="134"/>
  <c r="W11" i="134" l="1"/>
  <c r="X12" i="134"/>
  <c r="Y12" i="134" s="1"/>
  <c r="P14" i="134"/>
  <c r="O14" i="134"/>
  <c r="X11" i="134" l="1"/>
  <c r="Y11" i="134"/>
  <c r="I29" i="121"/>
  <c r="Q14" i="134" l="1"/>
  <c r="S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1" i="119" l="1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5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5" i="119" l="1"/>
  <c r="L35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T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5" i="119"/>
  <c r="S35" i="123"/>
  <c r="Q38" i="121"/>
  <c r="M37" i="120"/>
  <c r="M35" i="123"/>
  <c r="S14" i="118"/>
  <c r="O35" i="119"/>
  <c r="Q14" i="118"/>
  <c r="V12" i="120"/>
  <c r="W12" i="120" s="1"/>
  <c r="M12" i="127"/>
  <c r="M12" i="124"/>
  <c r="Q35" i="123"/>
  <c r="S38" i="121"/>
  <c r="N10" i="119"/>
  <c r="M35" i="119"/>
  <c r="Q35" i="119"/>
  <c r="O14" i="118"/>
  <c r="M14" i="118"/>
  <c r="M38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W10" i="134"/>
  <c r="V10" i="134"/>
  <c r="U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2" i="135"/>
  <c r="V14" i="135"/>
  <c r="V13" i="135"/>
  <c r="X11" i="132"/>
  <c r="X10" i="132"/>
  <c r="X12" i="132"/>
  <c r="X31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5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X10" i="134"/>
  <c r="X9" i="134" s="1"/>
  <c r="X14" i="134" s="1"/>
  <c r="W9" i="134"/>
  <c r="W14" i="134" s="1"/>
  <c r="V9" i="134"/>
  <c r="V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5" i="119"/>
  <c r="Y10" i="134" l="1"/>
  <c r="Y9" i="134" s="1"/>
  <c r="Y14" i="134" s="1"/>
  <c r="T9" i="135"/>
  <c r="S9" i="135"/>
  <c r="R22" i="135"/>
  <c r="T32" i="121"/>
  <c r="V33" i="121"/>
  <c r="U33" i="121"/>
  <c r="X11" i="120"/>
  <c r="T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5" i="119"/>
  <c r="T10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<sst xmlns="http://schemas.openxmlformats.org/spreadsheetml/2006/main" count="1321" uniqueCount="386">
  <si>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</si>
  <si>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</si>
  <si>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</si>
  <si>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</si>
  <si>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</si>
  <si>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</si>
  <si>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</si>
  <si>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</si>
  <si>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</si>
  <si>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</si>
  <si>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</si>
  <si>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</si>
  <si>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</si>
  <si>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</si>
  <si>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</si>
  <si>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</si>
  <si>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</si>
  <si>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</si>
  <si>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</si>
  <si>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</si>
  <si>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</si>
  <si>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</si>
  <si>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</si>
  <si>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</si>
  <si>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</si>
  <si>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</si>
  <si>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</si>
  <si>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</si>
  <si>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</si>
  <si>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</si>
  <si>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</si>
  <si>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</si>
  <si>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</si>
  <si>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</si>
  <si>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</si>
  <si>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</si>
  <si>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</si>
  <si>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</si>
  <si>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</si>
  <si>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</si>
  <si>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</si>
  <si>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</si>
  <si>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</si>
  <si>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</si>
  <si>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</si>
  <si>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</si>
  <si>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</si>
  <si>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</si>
  <si>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</si>
  <si>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</si>
  <si>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</si>
  <si>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</si>
  <si>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</si>
  <si>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</si>
  <si>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</si>
  <si>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</si>
  <si>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</si>
  <si>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</si>
  <si>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</si>
  <si>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</si>
  <si>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</si>
  <si>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</si>
  <si>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</si>
  <si>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</si>
  <si>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</si>
  <si>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</si>
  <si>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</si>
  <si>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</si>
  <si>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</si>
  <si>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</si>
  <si>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</si>
  <si>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</si>
  <si>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</si>
  <si>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</si>
  <si>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</si>
  <si>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</si>
  <si>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</si>
  <si>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</si>
  <si>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</si>
  <si>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</si>
  <si>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</si>
  <si>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</si>
  <si>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</si>
  <si>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</si>
  <si>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</si>
  <si>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</si>
  <si>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</si>
  <si>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</si>
  <si>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</si>
  <si>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</si>
  <si>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</si>
  <si>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</si>
  <si>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</si>
  <si>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</si>
  <si>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</si>
  <si>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</si>
  <si>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</si>
  <si>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</si>
  <si>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</si>
  <si>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</si>
  <si>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</si>
  <si>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</si>
  <si>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</si>
  <si>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</si>
  <si>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</si>
  <si>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</si>
  <si>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</si>
  <si>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</si>
  <si>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</si>
  <si>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</si>
  <si>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</si>
  <si>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</si>
  <si>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</si>
  <si>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</si>
  <si>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</si>
  <si>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</si>
  <si>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</si>
  <si>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</si>
  <si>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</si>
  <si>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</si>
  <si>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</si>
  <si>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</si>
  <si>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</si>
  <si>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</si>
  <si>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</si>
  <si>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</si>
  <si>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</si>
  <si>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</si>
  <si>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</si>
  <si>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</si>
  <si>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</si>
  <si>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</si>
  <si>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</si>
  <si>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</si>
  <si>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</si>
  <si>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</si>
  <si>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</si>
  <si>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</si>
  <si>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</si>
  <si>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</si>
  <si>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</si>
  <si>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</si>
  <si>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</si>
  <si>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</si>
  <si>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</si>
  <si>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</si>
  <si>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</si>
  <si>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</si>
  <si>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</si>
  <si>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</si>
  <si>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</si>
  <si>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</si>
  <si>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</si>
  <si>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</si>
  <si>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</si>
  <si>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</si>
  <si>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</si>
  <si>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</si>
  <si>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</si>
  <si>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</si>
  <si>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</si>
  <si>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</si>
  <si>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</si>
  <si>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</si>
  <si>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</si>
  <si>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</si>
  <si>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</si>
  <si>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</si>
  <si>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</si>
  <si>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</si>
  <si>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</si>
  <si>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</si>
  <si>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</si>
  <si>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</si>
  <si>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</si>
  <si>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</si>
  <si>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</si>
  <si>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</si>
  <si>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</si>
  <si>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</si>
  <si>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</si>
  <si>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</si>
  <si>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</si>
  <si>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</si>
  <si>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</si>
  <si>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</si>
  <si>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</si>
  <si>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</si>
  <si>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</si>
  <si>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</si>
  <si>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</si>
  <si>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</si>
  <si>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</si>
  <si>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</si>
  <si>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</si>
  <si>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</si>
  <si>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</si>
  <si>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</si>
  <si>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</si>
  <si>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</si>
  <si>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</si>
  <si>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</si>
  <si>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</si>
  <si>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</si>
  <si>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</si>
  <si>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</si>
  <si>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</si>
  <si>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</si>
  <si>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</si>
  <si>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</si>
  <si>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</si>
  <si>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</si>
  <si>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</si>
  <si>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</si>
  <si>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</si>
  <si>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</si>
  <si>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</si>
  <si>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</si>
  <si>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</si>
  <si>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</si>
  <si>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</si>
  <si>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</si>
  <si>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</si>
  <si>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</si>
  <si>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</si>
  <si>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</si>
  <si>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</si>
  <si>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</si>
  <si>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</si>
  <si>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</si>
  <si>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</si>
  <si>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</si>
  <si>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</si>
  <si>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</si>
  <si>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</si>
  <si>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</si>
  <si>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</si>
  <si>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</si>
  <si>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</si>
  <si>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</si>
  <si>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</si>
  <si>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</si>
  <si>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</si>
  <si>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</si>
  <si>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</si>
  <si>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</si>
  <si>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</si>
  <si>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</si>
  <si>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</si>
  <si>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</si>
  <si>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</si>
  <si>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</si>
  <si>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</si>
  <si>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</si>
  <si>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GUAF780107TW9</t>
  </si>
  <si>
    <t>AILC9808299Q6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</si>
  <si>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</si>
  <si>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</si>
  <si>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</si>
  <si>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</si>
  <si>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</si>
  <si>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</si>
  <si>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</si>
  <si>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</si>
  <si>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</si>
  <si>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</si>
  <si>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</si>
  <si>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</si>
  <si>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</si>
  <si>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</si>
  <si>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</si>
  <si>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</si>
  <si>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</si>
  <si>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</si>
  <si>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</si>
  <si>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</si>
  <si>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</si>
  <si>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</si>
  <si>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</si>
  <si>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</si>
  <si>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</si>
  <si>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</si>
  <si>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</si>
  <si>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</si>
  <si>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</si>
  <si>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</si>
  <si>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</si>
  <si>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</si>
  <si>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</si>
  <si>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</si>
  <si>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</si>
  <si>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</si>
  <si>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</si>
  <si>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</si>
  <si>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</si>
  <si>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</si>
  <si>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</si>
  <si>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</si>
  <si>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</si>
  <si>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</si>
  <si>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</si>
  <si>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</si>
  <si>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</si>
  <si>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</si>
  <si>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</si>
  <si>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</si>
  <si>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</si>
  <si>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</si>
  <si>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</si>
  <si>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</si>
  <si>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</si>
  <si>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</si>
  <si>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</si>
  <si>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</si>
  <si>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</si>
  <si>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</si>
  <si>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</si>
  <si>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</si>
  <si>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</si>
  <si>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</si>
  <si>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</si>
  <si>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</si>
  <si>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</si>
  <si>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</si>
  <si>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</si>
  <si>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</si>
  <si>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</si>
  <si>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</si>
  <si>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</si>
  <si>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</si>
  <si>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</si>
  <si>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</si>
  <si>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</si>
  <si>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</si>
  <si>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</si>
  <si>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</si>
  <si>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</si>
  <si>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</si>
  <si>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</si>
  <si>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</si>
  <si>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</si>
  <si>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</si>
  <si>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</si>
  <si>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</si>
  <si>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</si>
  <si>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</si>
  <si>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</si>
  <si>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</si>
  <si>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</si>
  <si>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</si>
  <si>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</si>
  <si>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</si>
  <si>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</si>
  <si>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</si>
  <si>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</si>
  <si>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</si>
  <si>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</si>
  <si>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</si>
  <si>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</si>
  <si>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</si>
  <si>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</si>
  <si>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</si>
  <si>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</si>
  <si>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</si>
  <si>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</si>
  <si>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</si>
  <si>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</si>
  <si>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</si>
  <si>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</si>
  <si>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</si>
  <si>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</si>
  <si>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</si>
  <si>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</si>
  <si>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</si>
  <si>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</si>
  <si>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</si>
  <si>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</si>
  <si>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</si>
  <si>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</si>
  <si>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</si>
  <si>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</si>
  <si>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</si>
  <si>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251</t>
  </si>
  <si>
    <t>252</t>
  </si>
  <si>
    <t>VERONICA RAMIREZ ESPARZA</t>
  </si>
  <si>
    <t>SUELDO  DEL 01 AL 15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</si>
</sst>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362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9" t="s">
        <v>11</v>
      </c>
      <c r="C7" s="299"/>
      <c r="D7" s="299"/>
      <c r="E7" s="7"/>
      <c r="F7" s="292" t="s">
        <v>50</v>
      </c>
      <c r="G7" s="293"/>
    </row>
    <row r="8" spans="1:7" ht="14.25" customHeight="1" x14ac:dyDescent="0.2">
      <c r="B8" s="296" t="s">
        <v>10</v>
      </c>
      <c r="C8" s="296"/>
      <c r="D8" s="296"/>
      <c r="E8" s="7"/>
      <c r="F8" s="297" t="s">
        <v>51</v>
      </c>
      <c r="G8" s="298"/>
    </row>
    <row r="9" spans="1:7" ht="8.25" customHeight="1" x14ac:dyDescent="0.2">
      <c r="B9" s="300"/>
      <c r="C9" s="300"/>
      <c r="D9" s="300"/>
      <c r="E9" s="7"/>
      <c r="F9" s="294"/>
      <c r="G9" s="29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363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2" t="s">
        <v>55</v>
      </c>
      <c r="G44" s="293"/>
    </row>
    <row r="45" spans="2:7" x14ac:dyDescent="0.2">
      <c r="E45" s="7"/>
      <c r="F45" s="297" t="s">
        <v>56</v>
      </c>
      <c r="G45" s="298"/>
    </row>
    <row r="46" spans="2:7" ht="5.25" customHeight="1" x14ac:dyDescent="0.2">
      <c r="E46" s="7"/>
      <c r="F46" s="294"/>
      <c r="G46" s="295"/>
    </row>
    <row r="47" spans="2:7" x14ac:dyDescent="0.2">
      <c r="B47" s="299" t="s">
        <v>11</v>
      </c>
      <c r="C47" s="299"/>
      <c r="D47" s="299"/>
      <c r="E47" s="7"/>
      <c r="F47" s="9" t="s">
        <v>17</v>
      </c>
      <c r="G47" s="9" t="s">
        <v>18</v>
      </c>
    </row>
    <row r="48" spans="2:7" x14ac:dyDescent="0.2">
      <c r="B48" s="296" t="s">
        <v>10</v>
      </c>
      <c r="C48" s="296"/>
      <c r="D48" s="296"/>
      <c r="E48" s="7"/>
      <c r="F48" s="9"/>
      <c r="G48" s="9" t="s">
        <v>19</v>
      </c>
    </row>
    <row r="49" spans="2:7" x14ac:dyDescent="0.2">
      <c r="B49" s="300"/>
      <c r="C49" s="300"/>
      <c r="D49" s="30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99</v>
      </c>
      <c r="B10" s="138" t="s">
        <v>276</v>
      </c>
      <c r="C10" s="62" t="s">
        <v>143</v>
      </c>
      <c r="D10" s="166" t="s">
        <v>224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288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289</v>
      </c>
      <c r="W23" s="188"/>
      <c r="X23" s="188"/>
      <c r="Y23" s="188"/>
    </row>
    <row r="24" spans="4:37" ht="15" x14ac:dyDescent="0.25">
      <c r="D24" s="193" t="s">
        <v>230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246</v>
      </c>
      <c r="W24" s="188"/>
      <c r="X24" s="188"/>
      <c r="Y24" s="188"/>
    </row>
    <row r="25" spans="4:37" ht="15" x14ac:dyDescent="0.25">
      <c r="D25" s="193" t="s">
        <v>290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97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100</v>
      </c>
      <c r="B10" s="62" t="s">
        <v>147</v>
      </c>
      <c r="C10" s="62" t="s">
        <v>143</v>
      </c>
      <c r="D10" s="176" t="s">
        <v>148</v>
      </c>
      <c r="E10" s="166" t="s">
        <v>146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101</v>
      </c>
      <c r="B11" s="62" t="s">
        <v>149</v>
      </c>
      <c r="C11" s="62" t="s">
        <v>143</v>
      </c>
      <c r="D11" s="176" t="s">
        <v>150</v>
      </c>
      <c r="E11" s="166" t="s">
        <v>146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3" si="0">IF(H11/15&lt;=123.22,I11,I11/2)</f>
        <v>0</v>
      </c>
      <c r="L11" s="172">
        <f t="shared" ref="L11:L13" si="1">H11+K11</f>
        <v>3618.48</v>
      </c>
      <c r="M11" s="172">
        <f>VLOOKUP(L11,Tarifa1,1)</f>
        <v>2422.81</v>
      </c>
      <c r="N11" s="172">
        <f t="shared" ref="N11:N13" si="2">L11-M11</f>
        <v>1195.67</v>
      </c>
      <c r="O11" s="173">
        <f>VLOOKUP(L11,Tarifa1,3)</f>
        <v>0.10879999999999999</v>
      </c>
      <c r="P11" s="172">
        <f t="shared" ref="P11:P13" si="3">N11*O11</f>
        <v>130.08889600000001</v>
      </c>
      <c r="Q11" s="174">
        <f>VLOOKUP(L11,Tarifa1,2)</f>
        <v>142.19999999999999</v>
      </c>
      <c r="R11" s="172">
        <f t="shared" ref="R11:R13" si="4">P11+Q11</f>
        <v>272.28889600000002</v>
      </c>
      <c r="S11" s="172">
        <f>VLOOKUP(L11,Credito1,2)</f>
        <v>107.4</v>
      </c>
      <c r="T11" s="172">
        <f t="shared" ref="T11:T13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280</v>
      </c>
      <c r="C12" s="62" t="s">
        <v>143</v>
      </c>
      <c r="D12" s="211" t="s">
        <v>226</v>
      </c>
      <c r="E12" s="166" t="s">
        <v>146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143</v>
      </c>
      <c r="D13" s="213" t="s">
        <v>287</v>
      </c>
      <c r="E13" s="166" t="s">
        <v>146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1" t="s">
        <v>45</v>
      </c>
      <c r="B15" s="302"/>
      <c r="C15" s="302"/>
      <c r="D15" s="302"/>
      <c r="E15" s="302"/>
      <c r="F15" s="302"/>
      <c r="G15" s="303"/>
      <c r="H15" s="39">
        <f>SUM(H10:H14)</f>
        <v>14473.92</v>
      </c>
      <c r="I15" s="39">
        <f>SUM(I10:I14)</f>
        <v>0</v>
      </c>
      <c r="J15" s="39">
        <f>SUM(J10:J14)</f>
        <v>14473.92</v>
      </c>
      <c r="K15" s="40">
        <f t="shared" ref="K15:T15" si="6">SUM(K10:K14)</f>
        <v>0</v>
      </c>
      <c r="L15" s="40">
        <f t="shared" si="6"/>
        <v>14473.92</v>
      </c>
      <c r="M15" s="40">
        <f t="shared" si="6"/>
        <v>9691.24</v>
      </c>
      <c r="N15" s="40">
        <f t="shared" si="6"/>
        <v>4782.68</v>
      </c>
      <c r="O15" s="40">
        <f t="shared" si="6"/>
        <v>0.43519999999999998</v>
      </c>
      <c r="P15" s="40">
        <f t="shared" si="6"/>
        <v>520.35558400000002</v>
      </c>
      <c r="Q15" s="40">
        <f t="shared" si="6"/>
        <v>568.79999999999995</v>
      </c>
      <c r="R15" s="40">
        <f t="shared" si="6"/>
        <v>1089.1555840000001</v>
      </c>
      <c r="S15" s="40">
        <f t="shared" si="6"/>
        <v>429.6</v>
      </c>
      <c r="T15" s="40">
        <f t="shared" si="6"/>
        <v>659.55558400000007</v>
      </c>
      <c r="U15" s="39">
        <f>SUM(U10:U14)</f>
        <v>0</v>
      </c>
      <c r="V15" s="39">
        <f>SUM(V10:V14)</f>
        <v>659.55558400000007</v>
      </c>
      <c r="W15" s="39">
        <f>SUM(W10:W14)</f>
        <v>659.55558400000007</v>
      </c>
      <c r="X15" s="39">
        <f>SUM(X10:X14)</f>
        <v>13814.364416</v>
      </c>
    </row>
    <row r="16" spans="1:25" ht="13.5" thickTop="1" x14ac:dyDescent="0.2"/>
    <row r="24" spans="4:25" x14ac:dyDescent="0.2">
      <c r="D24" s="4" t="s">
        <v>248</v>
      </c>
      <c r="V24" s="4" t="s">
        <v>238</v>
      </c>
    </row>
    <row r="25" spans="4:25" x14ac:dyDescent="0.2">
      <c r="D25" s="78" t="s">
        <v>230</v>
      </c>
      <c r="H25" s="4"/>
      <c r="V25" s="78" t="s">
        <v>250</v>
      </c>
    </row>
    <row r="26" spans="4:25" x14ac:dyDescent="0.2">
      <c r="D26" s="51" t="s">
        <v>249</v>
      </c>
      <c r="E26" s="51"/>
      <c r="F26" s="51"/>
      <c r="G26" s="51"/>
      <c r="H26" s="51"/>
      <c r="I26" s="51"/>
      <c r="V26" s="51" t="s">
        <v>247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9" zoomScale="80" zoomScaleNormal="80" workbookViewId="0">
      <selection activeCell="U9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4" t="s">
        <v>91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4"/>
    </row>
    <row r="3" spans="1:25" ht="15" x14ac:dyDescent="0.2">
      <c r="A3" s="50" t="s">
        <v>346</v>
      </c>
      <c r="B3" s="305" t="s">
        <v>385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5" t="s">
        <v>1</v>
      </c>
      <c r="G5" s="316"/>
      <c r="H5" s="317"/>
      <c r="I5" s="24" t="s">
        <v>26</v>
      </c>
      <c r="J5" s="25"/>
      <c r="K5" s="318" t="s">
        <v>9</v>
      </c>
      <c r="L5" s="319"/>
      <c r="M5" s="319"/>
      <c r="N5" s="319"/>
      <c r="O5" s="319"/>
      <c r="P5" s="320"/>
      <c r="Q5" s="24" t="s">
        <v>30</v>
      </c>
      <c r="R5" s="24" t="s">
        <v>10</v>
      </c>
      <c r="S5" s="23" t="s">
        <v>54</v>
      </c>
      <c r="T5" s="321" t="s">
        <v>2</v>
      </c>
      <c r="U5" s="322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121</v>
      </c>
      <c r="C6" s="61" t="s">
        <v>144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167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99</v>
      </c>
      <c r="B9" s="237" t="s">
        <v>186</v>
      </c>
      <c r="C9" s="237" t="s">
        <v>143</v>
      </c>
      <c r="D9" s="238" t="s">
        <v>72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16" si="1">VLOOKUP(J9,Tarifa1,1)</f>
        <v>5925.91</v>
      </c>
      <c r="L9" s="243">
        <f>J9-K9</f>
        <v>3420.9699999999993</v>
      </c>
      <c r="M9" s="244">
        <f t="shared" ref="M9:M16" si="2">VLOOKUP(J9,Tarifa1,3)</f>
        <v>0.21360000000000001</v>
      </c>
      <c r="N9" s="243">
        <f>L9*M9</f>
        <v>730.71919199999991</v>
      </c>
      <c r="O9" s="245">
        <f t="shared" ref="O9:O16" si="3">VLOOKUP(J9,Tarifa1,2)</f>
        <v>627.6</v>
      </c>
      <c r="P9" s="243">
        <f>N9+O9</f>
        <v>1358.3191919999999</v>
      </c>
      <c r="Q9" s="243">
        <f t="shared" ref="Q9:Q16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322</v>
      </c>
      <c r="C10" s="237" t="s">
        <v>143</v>
      </c>
      <c r="D10" s="238" t="s">
        <v>93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345</v>
      </c>
      <c r="C11" s="237" t="s">
        <v>143</v>
      </c>
      <c r="D11" s="238" t="s">
        <v>93</v>
      </c>
      <c r="E11" s="239">
        <v>15</v>
      </c>
      <c r="F11" s="240">
        <v>7636.04</v>
      </c>
      <c r="G11" s="241">
        <v>0</v>
      </c>
      <c r="H11" s="242">
        <f t="shared" si="0"/>
        <v>7636.04</v>
      </c>
      <c r="I11" s="243">
        <f t="shared" si="7"/>
        <v>0</v>
      </c>
      <c r="J11" s="243">
        <f t="shared" si="8"/>
        <v>7636.04</v>
      </c>
      <c r="K11" s="243">
        <f t="shared" si="1"/>
        <v>5925.91</v>
      </c>
      <c r="L11" s="243">
        <f t="shared" si="9"/>
        <v>1710.13</v>
      </c>
      <c r="M11" s="244">
        <f t="shared" si="2"/>
        <v>0.21360000000000001</v>
      </c>
      <c r="N11" s="243">
        <f t="shared" si="10"/>
        <v>365.28376800000007</v>
      </c>
      <c r="O11" s="245">
        <f t="shared" si="3"/>
        <v>627.6</v>
      </c>
      <c r="P11" s="243">
        <f t="shared" si="11"/>
        <v>992.88376800000015</v>
      </c>
      <c r="Q11" s="243">
        <f t="shared" si="4"/>
        <v>0</v>
      </c>
      <c r="R11" s="243">
        <f t="shared" si="12"/>
        <v>992.88376800000015</v>
      </c>
      <c r="S11" s="242">
        <f t="shared" si="5"/>
        <v>0</v>
      </c>
      <c r="T11" s="242">
        <f t="shared" si="6"/>
        <v>992.88376800000015</v>
      </c>
      <c r="U11" s="242">
        <f>SUM(T11:T11)</f>
        <v>992.88376800000015</v>
      </c>
      <c r="V11" s="242">
        <f>H11+S11-U11</f>
        <v>6643.1562319999994</v>
      </c>
      <c r="W11" s="121"/>
      <c r="X11" s="4"/>
    </row>
    <row r="12" spans="1:25" s="188" customFormat="1" ht="65.099999999999994" customHeight="1" x14ac:dyDescent="0.2">
      <c r="A12" s="266"/>
      <c r="B12" s="237" t="s">
        <v>128</v>
      </c>
      <c r="C12" s="237" t="s">
        <v>143</v>
      </c>
      <c r="D12" s="238" t="s">
        <v>94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310</v>
      </c>
      <c r="C13" s="237" t="s">
        <v>143</v>
      </c>
      <c r="D13" s="238" t="s">
        <v>94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321</v>
      </c>
      <c r="C14" s="237" t="s">
        <v>143</v>
      </c>
      <c r="D14" s="238" t="s">
        <v>94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335</v>
      </c>
      <c r="C15" s="237" t="s">
        <v>143</v>
      </c>
      <c r="D15" s="238" t="s">
        <v>94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16" si="15">IF(F15/15&lt;=123.22,G15,G15/2)</f>
        <v>0</v>
      </c>
      <c r="J15" s="243">
        <f t="shared" ref="J15:J16" si="16">F15+I15</f>
        <v>6922.63</v>
      </c>
      <c r="K15" s="243">
        <f t="shared" si="1"/>
        <v>5925.91</v>
      </c>
      <c r="L15" s="243">
        <f t="shared" ref="L15:L16" si="17">J15-K15</f>
        <v>996.72000000000025</v>
      </c>
      <c r="M15" s="244">
        <f t="shared" si="2"/>
        <v>0.21360000000000001</v>
      </c>
      <c r="N15" s="243">
        <f t="shared" ref="N15:N16" si="18">L15*M15</f>
        <v>212.89939200000006</v>
      </c>
      <c r="O15" s="245">
        <f t="shared" si="3"/>
        <v>627.6</v>
      </c>
      <c r="P15" s="243">
        <f t="shared" ref="P15:P16" si="19">N15+O15</f>
        <v>840.49939200000006</v>
      </c>
      <c r="Q15" s="243">
        <f t="shared" si="4"/>
        <v>0</v>
      </c>
      <c r="R15" s="243">
        <f t="shared" ref="R15:R16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356</v>
      </c>
      <c r="C16" s="237" t="s">
        <v>143</v>
      </c>
      <c r="D16" s="238" t="s">
        <v>94</v>
      </c>
      <c r="E16" s="267">
        <v>15</v>
      </c>
      <c r="F16" s="240">
        <v>6922.63</v>
      </c>
      <c r="G16" s="241">
        <v>0</v>
      </c>
      <c r="H16" s="242">
        <f t="shared" ref="H16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" si="22">-IF(R16&gt;0,0,R16)</f>
        <v>0</v>
      </c>
      <c r="T16" s="242">
        <f t="shared" ref="T16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360</v>
      </c>
      <c r="C17" s="237" t="s">
        <v>143</v>
      </c>
      <c r="D17" s="238" t="s">
        <v>94</v>
      </c>
      <c r="E17" s="239">
        <v>15</v>
      </c>
      <c r="F17" s="240">
        <v>6922.63</v>
      </c>
      <c r="G17" s="241">
        <v>0</v>
      </c>
      <c r="H17" s="242">
        <f t="shared" ref="H17:H18" si="24">SUM(F17:G17)</f>
        <v>6922.63</v>
      </c>
      <c r="I17" s="243">
        <f t="shared" ref="I17:I20" si="25">IF(F17/15&lt;=123.22,G17,G17/2)</f>
        <v>0</v>
      </c>
      <c r="J17" s="243">
        <f t="shared" ref="J17:J20" si="26">F17+I17</f>
        <v>6922.63</v>
      </c>
      <c r="K17" s="243">
        <f t="shared" ref="K17:K20" si="27">VLOOKUP(J17,Tarifa1,1)</f>
        <v>5925.91</v>
      </c>
      <c r="L17" s="243">
        <f t="shared" ref="L17:L20" si="28">J17-K17</f>
        <v>996.72000000000025</v>
      </c>
      <c r="M17" s="244">
        <f t="shared" ref="M17:M20" si="29">VLOOKUP(J17,Tarifa1,3)</f>
        <v>0.21360000000000001</v>
      </c>
      <c r="N17" s="243">
        <f t="shared" ref="N17:N20" si="30">L17*M17</f>
        <v>212.89939200000006</v>
      </c>
      <c r="O17" s="245">
        <f t="shared" ref="O17:O20" si="31">VLOOKUP(J17,Tarifa1,2)</f>
        <v>627.6</v>
      </c>
      <c r="P17" s="243">
        <f t="shared" ref="P17:P20" si="32">N17+O17</f>
        <v>840.49939200000006</v>
      </c>
      <c r="Q17" s="243">
        <f t="shared" ref="Q17:Q20" si="33">VLOOKUP(J17,Credito1,2)</f>
        <v>0</v>
      </c>
      <c r="R17" s="243">
        <f t="shared" ref="R17:R20" si="34">P17-Q17</f>
        <v>840.49939200000006</v>
      </c>
      <c r="S17" s="242">
        <f t="shared" ref="S17:S20" si="35">-IF(R17&gt;0,0,R17)</f>
        <v>0</v>
      </c>
      <c r="T17" s="242">
        <f t="shared" ref="T17:T20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366</v>
      </c>
      <c r="C18" s="237" t="s">
        <v>143</v>
      </c>
      <c r="D18" s="238" t="s">
        <v>94</v>
      </c>
      <c r="E18" s="239">
        <v>15</v>
      </c>
      <c r="F18" s="240">
        <v>6922.63</v>
      </c>
      <c r="G18" s="241">
        <v>0</v>
      </c>
      <c r="H18" s="242">
        <f t="shared" si="24"/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367</v>
      </c>
      <c r="C19" s="237" t="s">
        <v>143</v>
      </c>
      <c r="D19" s="238" t="s">
        <v>94</v>
      </c>
      <c r="E19" s="239">
        <v>15</v>
      </c>
      <c r="F19" s="240">
        <v>6922.63</v>
      </c>
      <c r="G19" s="241">
        <v>0</v>
      </c>
      <c r="H19" s="242">
        <f t="shared" ref="H19" si="37">SUM(F19:G19)</f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381</v>
      </c>
      <c r="C20" s="237" t="s">
        <v>143</v>
      </c>
      <c r="D20" s="238" t="s">
        <v>94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382</v>
      </c>
      <c r="C21" s="237" t="s">
        <v>228</v>
      </c>
      <c r="D21" s="238" t="s">
        <v>94</v>
      </c>
      <c r="E21" s="239">
        <v>15</v>
      </c>
      <c r="F21" s="240">
        <v>6922.63</v>
      </c>
      <c r="G21" s="241">
        <v>0</v>
      </c>
      <c r="H21" s="242">
        <f t="shared" ref="H21" si="39">SUM(F21:G21)</f>
        <v>6922.63</v>
      </c>
      <c r="I21" s="243">
        <f t="shared" ref="I21" si="40">IF(F21/15&lt;=123.22,G21,G21/2)</f>
        <v>0</v>
      </c>
      <c r="J21" s="243">
        <f t="shared" ref="J21" si="41">F21+I21</f>
        <v>6922.63</v>
      </c>
      <c r="K21" s="243">
        <f t="shared" ref="K21" si="42">VLOOKUP(J21,Tarifa1,1)</f>
        <v>5925.91</v>
      </c>
      <c r="L21" s="243">
        <f t="shared" ref="L21" si="43">J21-K21</f>
        <v>996.72000000000025</v>
      </c>
      <c r="M21" s="244">
        <f t="shared" ref="M21" si="44">VLOOKUP(J21,Tarifa1,3)</f>
        <v>0.21360000000000001</v>
      </c>
      <c r="N21" s="243">
        <f t="shared" ref="N21" si="45">L21*M21</f>
        <v>212.89939200000006</v>
      </c>
      <c r="O21" s="245">
        <f t="shared" ref="O21" si="46">VLOOKUP(J21,Tarifa1,2)</f>
        <v>627.6</v>
      </c>
      <c r="P21" s="243">
        <f t="shared" ref="P21" si="47">N21+O21</f>
        <v>840.49939200000006</v>
      </c>
      <c r="Q21" s="243">
        <f t="shared" ref="Q21" si="48">VLOOKUP(J21,Credito1,2)</f>
        <v>0</v>
      </c>
      <c r="R21" s="243">
        <f t="shared" ref="R21" si="49">P21-Q21</f>
        <v>840.49939200000006</v>
      </c>
      <c r="S21" s="242">
        <f t="shared" ref="S21" si="50">-IF(R21&gt;0,0,R21)</f>
        <v>0</v>
      </c>
      <c r="T21" s="242">
        <f t="shared" ref="T21" si="51">IF(R21&lt;0,0,R21)</f>
        <v>840.49939200000006</v>
      </c>
      <c r="U21" s="242">
        <f>SUM(T21:T21)</f>
        <v>840.49939200000006</v>
      </c>
      <c r="V21" s="242">
        <f>H21+S21-U21</f>
        <v>6082.1306080000004</v>
      </c>
      <c r="W21" s="122"/>
      <c r="X21" s="4"/>
    </row>
    <row r="22" spans="1:36" ht="38.1" customHeight="1" thickBot="1" x14ac:dyDescent="0.3">
      <c r="A22" s="330" t="s">
        <v>45</v>
      </c>
      <c r="B22" s="331"/>
      <c r="C22" s="331"/>
      <c r="D22" s="331"/>
      <c r="E22" s="331"/>
      <c r="F22" s="246">
        <f>SUM(F9:F21)</f>
        <v>93845.260000000009</v>
      </c>
      <c r="G22" s="246">
        <f>SUM(G9:G21)</f>
        <v>0</v>
      </c>
      <c r="H22" s="246">
        <f>SUM(H9:H21)</f>
        <v>93845.260000000009</v>
      </c>
      <c r="I22" s="247">
        <f t="shared" ref="I22:R22" si="52">SUM(I9:I15)</f>
        <v>0</v>
      </c>
      <c r="J22" s="247">
        <f t="shared" si="52"/>
        <v>52309.479999999996</v>
      </c>
      <c r="K22" s="247">
        <f t="shared" si="52"/>
        <v>41481.369999999995</v>
      </c>
      <c r="L22" s="247">
        <f t="shared" si="52"/>
        <v>10828.11</v>
      </c>
      <c r="M22" s="247">
        <f t="shared" si="52"/>
        <v>1.4952000000000001</v>
      </c>
      <c r="N22" s="247">
        <f t="shared" si="52"/>
        <v>2312.8842960000006</v>
      </c>
      <c r="O22" s="247">
        <f t="shared" si="52"/>
        <v>4393.2</v>
      </c>
      <c r="P22" s="247">
        <f t="shared" si="52"/>
        <v>6706.0842959999991</v>
      </c>
      <c r="Q22" s="247">
        <f t="shared" si="52"/>
        <v>0</v>
      </c>
      <c r="R22" s="247">
        <f t="shared" si="52"/>
        <v>6706.0842959999991</v>
      </c>
      <c r="S22" s="246">
        <f>SUM(S9:S21)</f>
        <v>0</v>
      </c>
      <c r="T22" s="246">
        <f>SUM(T9:T21)</f>
        <v>11749.080647999997</v>
      </c>
      <c r="U22" s="246">
        <f>SUM(U9:U21)</f>
        <v>11749.080647999997</v>
      </c>
      <c r="V22" s="246">
        <f>SUM(V9:V21)</f>
        <v>82096.179352000006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5" t="s">
        <v>91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1:25" ht="18" x14ac:dyDescent="0.25">
      <c r="A2" s="335" t="s">
        <v>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6" t="s">
        <v>1</v>
      </c>
      <c r="I6" s="337"/>
      <c r="J6" s="338"/>
      <c r="K6" s="94" t="s">
        <v>26</v>
      </c>
      <c r="L6" s="95"/>
      <c r="M6" s="339" t="s">
        <v>9</v>
      </c>
      <c r="N6" s="340"/>
      <c r="O6" s="340"/>
      <c r="P6" s="340"/>
      <c r="Q6" s="340"/>
      <c r="R6" s="341"/>
      <c r="S6" s="94" t="s">
        <v>30</v>
      </c>
      <c r="T6" s="94" t="s">
        <v>10</v>
      </c>
      <c r="U6" s="93" t="s">
        <v>54</v>
      </c>
      <c r="V6" s="342" t="s">
        <v>2</v>
      </c>
      <c r="W6" s="343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144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167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184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99</v>
      </c>
      <c r="B10" s="62" t="s">
        <v>187</v>
      </c>
      <c r="C10" s="62" t="s">
        <v>143</v>
      </c>
      <c r="D10" s="177" t="s">
        <v>177</v>
      </c>
      <c r="E10" s="177" t="s">
        <v>180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281</v>
      </c>
      <c r="C11" s="62" t="s">
        <v>143</v>
      </c>
      <c r="D11" s="177" t="s">
        <v>252</v>
      </c>
      <c r="E11" s="177" t="s">
        <v>180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102</v>
      </c>
      <c r="B12" s="62" t="s">
        <v>188</v>
      </c>
      <c r="C12" s="62" t="s">
        <v>143</v>
      </c>
      <c r="D12" s="187" t="s">
        <v>277</v>
      </c>
      <c r="E12" s="166" t="s">
        <v>181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338</v>
      </c>
      <c r="C13" s="62" t="s">
        <v>143</v>
      </c>
      <c r="D13" s="187" t="s">
        <v>339</v>
      </c>
      <c r="E13" s="166" t="s">
        <v>181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375</v>
      </c>
      <c r="C14" s="62" t="s">
        <v>143</v>
      </c>
      <c r="D14" s="187" t="s">
        <v>377</v>
      </c>
      <c r="E14" s="166" t="s">
        <v>181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107</v>
      </c>
      <c r="B15" s="62" t="s">
        <v>189</v>
      </c>
      <c r="C15" s="62" t="s">
        <v>228</v>
      </c>
      <c r="D15" s="187" t="s">
        <v>179</v>
      </c>
      <c r="E15" s="177" t="s">
        <v>182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4"/>
      <c r="B16" s="62" t="s">
        <v>190</v>
      </c>
      <c r="C16" s="62" t="s">
        <v>143</v>
      </c>
      <c r="D16" s="187" t="s">
        <v>178</v>
      </c>
      <c r="E16" s="177" t="s">
        <v>182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4"/>
      <c r="B17" s="62" t="s">
        <v>379</v>
      </c>
      <c r="C17" s="62" t="s">
        <v>143</v>
      </c>
      <c r="D17" s="187" t="s">
        <v>380</v>
      </c>
      <c r="E17" s="177" t="s">
        <v>378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2" t="s">
        <v>45</v>
      </c>
      <c r="B18" s="333"/>
      <c r="C18" s="333"/>
      <c r="D18" s="333"/>
      <c r="E18" s="333"/>
      <c r="F18" s="333"/>
      <c r="G18" s="334"/>
      <c r="H18" s="112">
        <f t="shared" ref="H18:V18" si="28">SUM(H10:H17)</f>
        <v>43583.650000000009</v>
      </c>
      <c r="I18" s="112">
        <f t="shared" si="28"/>
        <v>0</v>
      </c>
      <c r="J18" s="112">
        <f t="shared" si="28"/>
        <v>43583.650000000009</v>
      </c>
      <c r="K18" s="113">
        <f t="shared" si="28"/>
        <v>0</v>
      </c>
      <c r="L18" s="113">
        <f t="shared" si="28"/>
        <v>43583.650000000009</v>
      </c>
      <c r="M18" s="113">
        <f t="shared" si="28"/>
        <v>31442.180000000008</v>
      </c>
      <c r="N18" s="113">
        <f t="shared" si="28"/>
        <v>12141.470000000003</v>
      </c>
      <c r="O18" s="113">
        <f t="shared" si="28"/>
        <v>1.2208000000000001</v>
      </c>
      <c r="P18" s="113">
        <f t="shared" si="28"/>
        <v>2041.7563520000003</v>
      </c>
      <c r="Q18" s="113">
        <f t="shared" si="28"/>
        <v>2729.0999999999995</v>
      </c>
      <c r="R18" s="113">
        <f t="shared" si="28"/>
        <v>4770.8563520000007</v>
      </c>
      <c r="S18" s="113">
        <f t="shared" si="28"/>
        <v>270.45</v>
      </c>
      <c r="T18" s="113">
        <f t="shared" si="28"/>
        <v>4500.406352</v>
      </c>
      <c r="U18" s="112">
        <f t="shared" si="28"/>
        <v>0</v>
      </c>
      <c r="V18" s="112">
        <f t="shared" si="28"/>
        <v>4500.406352</v>
      </c>
      <c r="W18" s="112">
        <f>SUM(W10:W17)</f>
        <v>4500.406352</v>
      </c>
      <c r="X18" s="112">
        <f>SUM(X10:X17)</f>
        <v>39083.243648000003</v>
      </c>
    </row>
    <row r="19" spans="1:37" ht="13.5" thickTop="1" x14ac:dyDescent="0.2"/>
    <row r="28" spans="1:37" x14ac:dyDescent="0.2">
      <c r="D28" s="4" t="s">
        <v>245</v>
      </c>
      <c r="V28" s="4" t="s">
        <v>239</v>
      </c>
    </row>
    <row r="29" spans="1:37" x14ac:dyDescent="0.2">
      <c r="D29" s="78" t="s">
        <v>230</v>
      </c>
      <c r="H29" s="114"/>
      <c r="V29" s="78" t="s">
        <v>251</v>
      </c>
    </row>
    <row r="30" spans="1:37" x14ac:dyDescent="0.2">
      <c r="D30" s="51" t="s">
        <v>240</v>
      </c>
      <c r="E30" s="115"/>
      <c r="F30" s="115"/>
      <c r="G30" s="115"/>
      <c r="H30" s="115"/>
      <c r="I30" s="115"/>
      <c r="V30" s="51" t="s">
        <v>247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4" t="s">
        <v>91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160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161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160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99</v>
      </c>
      <c r="B10" s="139" t="s">
        <v>256</v>
      </c>
      <c r="C10" s="116" t="s">
        <v>143</v>
      </c>
      <c r="D10" s="121" t="s">
        <v>191</v>
      </c>
      <c r="E10" s="121" t="s">
        <v>192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100</v>
      </c>
      <c r="B11" s="139" t="s">
        <v>257</v>
      </c>
      <c r="C11" s="116" t="s">
        <v>143</v>
      </c>
      <c r="D11" s="121" t="s">
        <v>193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143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121</v>
      </c>
      <c r="C13" s="140" t="s">
        <v>160</v>
      </c>
      <c r="D13" s="141" t="s">
        <v>151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101</v>
      </c>
      <c r="B14" s="139" t="s">
        <v>258</v>
      </c>
      <c r="C14" s="116" t="s">
        <v>143</v>
      </c>
      <c r="D14" s="136" t="s">
        <v>194</v>
      </c>
      <c r="E14" s="123" t="s">
        <v>115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121</v>
      </c>
      <c r="C15" s="140" t="s">
        <v>160</v>
      </c>
      <c r="D15" s="141" t="s">
        <v>152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103</v>
      </c>
      <c r="B16" s="116" t="s">
        <v>131</v>
      </c>
      <c r="C16" s="116" t="s">
        <v>143</v>
      </c>
      <c r="D16" s="121" t="s">
        <v>118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121</v>
      </c>
      <c r="C17" s="140" t="s">
        <v>160</v>
      </c>
      <c r="D17" s="141" t="s">
        <v>153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104</v>
      </c>
      <c r="B18" s="139" t="s">
        <v>259</v>
      </c>
      <c r="C18" s="116" t="s">
        <v>143</v>
      </c>
      <c r="D18" s="121" t="s">
        <v>195</v>
      </c>
      <c r="E18" s="121" t="s">
        <v>98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291</v>
      </c>
      <c r="C19" s="147" t="s">
        <v>143</v>
      </c>
      <c r="D19" s="148" t="s">
        <v>278</v>
      </c>
      <c r="E19" s="149" t="s">
        <v>279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121</v>
      </c>
      <c r="C20" s="140" t="s">
        <v>160</v>
      </c>
      <c r="D20" s="141" t="s">
        <v>154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105</v>
      </c>
      <c r="B21" s="116" t="s">
        <v>132</v>
      </c>
      <c r="C21" s="116" t="s">
        <v>143</v>
      </c>
      <c r="D21" s="121" t="s">
        <v>70</v>
      </c>
      <c r="E21" s="121" t="s">
        <v>90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106</v>
      </c>
    </row>
    <row r="24" spans="1:31" s="90" customFormat="1" ht="28.5" customHeight="1" x14ac:dyDescent="0.25">
      <c r="A24" s="154"/>
      <c r="B24" s="304" t="s">
        <v>91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0" customFormat="1" ht="21.75" customHeight="1" x14ac:dyDescent="0.25">
      <c r="A25" s="154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0" customFormat="1" ht="23.25" customHeight="1" x14ac:dyDescent="0.2">
      <c r="A26" s="154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121</v>
      </c>
      <c r="C29" s="140" t="s">
        <v>160</v>
      </c>
      <c r="D29" s="141" t="s">
        <v>155</v>
      </c>
      <c r="E29" s="142" t="s">
        <v>62</v>
      </c>
      <c r="F29" s="142"/>
      <c r="G29" s="142"/>
      <c r="H29" s="143">
        <f>SUM(H30:H31)</f>
        <v>5364.46</v>
      </c>
      <c r="I29" s="143">
        <f>SUM(I30:I31)</f>
        <v>0</v>
      </c>
      <c r="J29" s="143">
        <f>SUM(J30:J31)</f>
        <v>5364.46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SUM(U30:U31)</f>
        <v>0</v>
      </c>
      <c r="V29" s="143">
        <f>SUM(V30:V31)</f>
        <v>50.149791999999991</v>
      </c>
      <c r="W29" s="143">
        <f>SUM(W30:W31)</f>
        <v>50.149791999999991</v>
      </c>
      <c r="X29" s="143">
        <f>SUM(X30:X31)</f>
        <v>5314.3102079999999</v>
      </c>
      <c r="Y29" s="87"/>
      <c r="Z29" s="120"/>
    </row>
    <row r="30" spans="1:31" s="90" customFormat="1" ht="54.75" customHeight="1" x14ac:dyDescent="0.2">
      <c r="A30" s="154"/>
      <c r="B30" s="116" t="s">
        <v>134</v>
      </c>
      <c r="C30" s="116" t="s">
        <v>143</v>
      </c>
      <c r="D30" s="124" t="s">
        <v>108</v>
      </c>
      <c r="E30" s="124" t="s">
        <v>213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/>
      <c r="B31" s="116" t="s">
        <v>323</v>
      </c>
      <c r="C31" s="116" t="s">
        <v>143</v>
      </c>
      <c r="D31" s="121" t="s">
        <v>344</v>
      </c>
      <c r="E31" s="124" t="s">
        <v>213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4"/>
    </row>
    <row r="32" spans="1:31" s="69" customFormat="1" ht="54.95" customHeight="1" x14ac:dyDescent="0.2">
      <c r="A32" s="116"/>
      <c r="B32" s="140" t="s">
        <v>121</v>
      </c>
      <c r="C32" s="140" t="s">
        <v>160</v>
      </c>
      <c r="D32" s="141" t="s">
        <v>156</v>
      </c>
      <c r="E32" s="142" t="s">
        <v>62</v>
      </c>
      <c r="F32" s="142"/>
      <c r="G32" s="142"/>
      <c r="H32" s="143">
        <f>SUM(H33:H33)</f>
        <v>2311.48</v>
      </c>
      <c r="I32" s="143">
        <f>SUM(I33:I33)</f>
        <v>0</v>
      </c>
      <c r="J32" s="143">
        <f>SUM(J33:J33)</f>
        <v>2311.48</v>
      </c>
      <c r="K32" s="142"/>
      <c r="L32" s="142"/>
      <c r="M32" s="142"/>
      <c r="N32" s="142"/>
      <c r="O32" s="142"/>
      <c r="P32" s="142"/>
      <c r="Q32" s="145"/>
      <c r="R32" s="142"/>
      <c r="S32" s="142"/>
      <c r="T32" s="144"/>
      <c r="U32" s="143">
        <f>SUM(U33:U33)</f>
        <v>39.534719999999993</v>
      </c>
      <c r="V32" s="143">
        <f>SUM(V33:V33)</f>
        <v>0</v>
      </c>
      <c r="W32" s="143">
        <f>SUM(W33:W33)</f>
        <v>0</v>
      </c>
      <c r="X32" s="143">
        <f>SUM(X33:X33)</f>
        <v>2351.0147200000001</v>
      </c>
      <c r="Y32" s="290"/>
    </row>
    <row r="33" spans="1:37" s="69" customFormat="1" ht="54.95" customHeight="1" x14ac:dyDescent="0.2">
      <c r="A33" s="116"/>
      <c r="B33" s="116" t="s">
        <v>133</v>
      </c>
      <c r="C33" s="116" t="s">
        <v>143</v>
      </c>
      <c r="D33" s="121" t="s">
        <v>71</v>
      </c>
      <c r="E33" s="123" t="s">
        <v>88</v>
      </c>
      <c r="F33" s="133">
        <v>15</v>
      </c>
      <c r="G33" s="134">
        <v>73.040000000000006</v>
      </c>
      <c r="H33" s="119">
        <v>2311.48</v>
      </c>
      <c r="I33" s="126">
        <v>0</v>
      </c>
      <c r="J33" s="127">
        <f>SUM(H33:I33)</f>
        <v>2311.48</v>
      </c>
      <c r="K33" s="128">
        <f t="shared" ref="K33" si="42">IF(H33/15&lt;=123.22,I33,I33/2)</f>
        <v>0</v>
      </c>
      <c r="L33" s="128">
        <f t="shared" ref="L33" si="43">H33+K33</f>
        <v>2311.48</v>
      </c>
      <c r="M33" s="128">
        <f>VLOOKUP(L33,Tarifa1,1)</f>
        <v>285.45999999999998</v>
      </c>
      <c r="N33" s="128">
        <f t="shared" ref="N33" si="44">L33-M33</f>
        <v>2026.02</v>
      </c>
      <c r="O33" s="129">
        <f>VLOOKUP(L33,Tarifa1,3)</f>
        <v>6.4000000000000001E-2</v>
      </c>
      <c r="P33" s="128">
        <f t="shared" ref="P33" si="45">N33*O33</f>
        <v>129.66528</v>
      </c>
      <c r="Q33" s="130">
        <f>VLOOKUP(L33,Tarifa1,2)</f>
        <v>5.55</v>
      </c>
      <c r="R33" s="128">
        <f t="shared" ref="R33" si="46">P33+Q33</f>
        <v>135.21528000000001</v>
      </c>
      <c r="S33" s="128">
        <f>VLOOKUP(L33,Credito1,2)</f>
        <v>174.75</v>
      </c>
      <c r="T33" s="128">
        <f t="shared" ref="T33" si="47">R33-S33</f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89"/>
    </row>
    <row r="34" spans="1:37" s="69" customFormat="1" ht="21.75" customHeight="1" x14ac:dyDescent="0.2">
      <c r="A34" s="154"/>
      <c r="B34" s="155"/>
      <c r="C34" s="155"/>
      <c r="D34" s="156"/>
      <c r="E34" s="156"/>
      <c r="F34" s="157"/>
      <c r="G34" s="158"/>
      <c r="H34" s="159"/>
      <c r="I34" s="160"/>
      <c r="J34" s="161"/>
      <c r="K34" s="162"/>
      <c r="L34" s="162"/>
      <c r="M34" s="162"/>
      <c r="N34" s="162"/>
      <c r="O34" s="163"/>
      <c r="P34" s="162"/>
      <c r="Q34" s="162"/>
      <c r="R34" s="162"/>
      <c r="S34" s="162"/>
      <c r="T34" s="162"/>
      <c r="U34" s="161"/>
      <c r="V34" s="161"/>
      <c r="W34" s="161"/>
      <c r="X34" s="161"/>
      <c r="Y34" s="76"/>
    </row>
    <row r="35" spans="1:37" s="69" customFormat="1" ht="54.75" customHeight="1" thickBot="1" x14ac:dyDescent="0.25">
      <c r="A35" s="301" t="s">
        <v>45</v>
      </c>
      <c r="B35" s="302"/>
      <c r="C35" s="302"/>
      <c r="D35" s="302"/>
      <c r="E35" s="302"/>
      <c r="F35" s="302"/>
      <c r="G35" s="303"/>
      <c r="H35" s="164">
        <f>SUM(H9+H13+H15+H17+H20+H29+H32)</f>
        <v>77029.48000000001</v>
      </c>
      <c r="I35" s="164">
        <f>SUM(I9+I13+I15+I17+I20+I29+I32)</f>
        <v>0</v>
      </c>
      <c r="J35" s="164">
        <f>SUM(J9+J13+J15+J17+J20+J29+J32)</f>
        <v>77029.48000000001</v>
      </c>
      <c r="K35" s="165">
        <f t="shared" ref="K35:T35" si="48">SUM(K10:K33)</f>
        <v>0</v>
      </c>
      <c r="L35" s="165">
        <f t="shared" si="48"/>
        <v>77029.48</v>
      </c>
      <c r="M35" s="165">
        <f t="shared" si="48"/>
        <v>60849.259999999987</v>
      </c>
      <c r="N35" s="165">
        <f t="shared" si="48"/>
        <v>16180.220000000001</v>
      </c>
      <c r="O35" s="165">
        <f t="shared" si="48"/>
        <v>1.7664000000000002</v>
      </c>
      <c r="P35" s="165">
        <f t="shared" si="48"/>
        <v>3425.3325280000013</v>
      </c>
      <c r="Q35" s="165">
        <f t="shared" si="48"/>
        <v>7897.9500000000007</v>
      </c>
      <c r="R35" s="165">
        <f t="shared" si="48"/>
        <v>11323.282528000003</v>
      </c>
      <c r="S35" s="165">
        <f t="shared" si="48"/>
        <v>625.79999999999995</v>
      </c>
      <c r="T35" s="165">
        <f t="shared" si="48"/>
        <v>10697.482528000002</v>
      </c>
      <c r="U35" s="164">
        <f>SUM(U9+U13+U15+U17+U20+U29+U32)</f>
        <v>46.231344000000007</v>
      </c>
      <c r="V35" s="164">
        <f>SUM(V9+V13+V15+V17+V20+V29+V32)</f>
        <v>10743.706431999999</v>
      </c>
      <c r="W35" s="164">
        <f>SUM(W9+W13+W15+W17+W20+W29+W32)</f>
        <v>10743.706431999999</v>
      </c>
      <c r="X35" s="164">
        <f>SUM(X9+X13+X15+X17+X20+X29+X32)</f>
        <v>66332.004912000004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231</v>
      </c>
      <c r="V45" s="69" t="s">
        <v>109</v>
      </c>
    </row>
    <row r="46" spans="1:37" s="69" customFormat="1" ht="12" x14ac:dyDescent="0.2">
      <c r="D46" s="78" t="s">
        <v>230</v>
      </c>
      <c r="V46" s="78" t="s">
        <v>232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143</v>
      </c>
      <c r="D10" s="166" t="s">
        <v>227</v>
      </c>
      <c r="E10" s="166" t="s">
        <v>87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233</v>
      </c>
      <c r="V22" t="s">
        <v>109</v>
      </c>
    </row>
    <row r="23" spans="4:37" x14ac:dyDescent="0.2">
      <c r="D23" s="78" t="s">
        <v>230</v>
      </c>
      <c r="H23" s="4"/>
      <c r="V23" s="78" t="s">
        <v>235</v>
      </c>
    </row>
    <row r="24" spans="4:37" x14ac:dyDescent="0.2">
      <c r="D24" s="51" t="s">
        <v>234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L26"/>
  <sheetViews>
    <sheetView topLeftCell="B1" zoomScale="75" zoomScaleNormal="7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19.140625" customWidth="1"/>
    <col min="6" max="6" width="22.5703125" customWidth="1"/>
    <col min="7" max="7" width="6.5703125" hidden="1" customWidth="1"/>
    <col min="8" max="8" width="8.42578125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0.85546875" customWidth="1"/>
    <col min="24" max="24" width="9.7109375" customWidth="1"/>
    <col min="25" max="25" width="12.7109375" customWidth="1"/>
    <col min="26" max="26" width="49.5703125" customWidth="1"/>
  </cols>
  <sheetData>
    <row r="1" spans="1:26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15" t="s">
        <v>1</v>
      </c>
      <c r="J6" s="316"/>
      <c r="K6" s="317"/>
      <c r="L6" s="24" t="s">
        <v>26</v>
      </c>
      <c r="M6" s="25"/>
      <c r="N6" s="318" t="s">
        <v>9</v>
      </c>
      <c r="O6" s="319"/>
      <c r="P6" s="319"/>
      <c r="Q6" s="319"/>
      <c r="R6" s="319"/>
      <c r="S6" s="320"/>
      <c r="T6" s="24" t="s">
        <v>30</v>
      </c>
      <c r="U6" s="24" t="s">
        <v>10</v>
      </c>
      <c r="V6" s="23" t="s">
        <v>54</v>
      </c>
      <c r="W6" s="321" t="s">
        <v>2</v>
      </c>
      <c r="X6" s="322"/>
      <c r="Y6" s="23" t="s">
        <v>0</v>
      </c>
      <c r="Z6" s="42"/>
    </row>
    <row r="7" spans="1:26" ht="22.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47</v>
      </c>
      <c r="J8" s="26" t="s">
        <v>60</v>
      </c>
      <c r="K8" s="26" t="s">
        <v>29</v>
      </c>
      <c r="L8" s="28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6" t="s">
        <v>53</v>
      </c>
      <c r="W8" s="26"/>
      <c r="X8" s="26" t="s">
        <v>44</v>
      </c>
      <c r="Y8" s="26" t="s">
        <v>5</v>
      </c>
      <c r="Z8" s="43"/>
    </row>
    <row r="9" spans="1:26" ht="47.25" customHeight="1" x14ac:dyDescent="0.25">
      <c r="A9" s="47"/>
      <c r="B9" s="47"/>
      <c r="C9" s="47"/>
      <c r="D9" s="131" t="s">
        <v>320</v>
      </c>
      <c r="E9" s="46" t="s">
        <v>122</v>
      </c>
      <c r="F9" s="46" t="s">
        <v>62</v>
      </c>
      <c r="G9" s="47"/>
      <c r="H9" s="47"/>
      <c r="I9" s="227">
        <f>I10</f>
        <v>11606.91</v>
      </c>
      <c r="J9" s="227">
        <f>J10</f>
        <v>0</v>
      </c>
      <c r="K9" s="227">
        <f>K10</f>
        <v>11606.91</v>
      </c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27">
        <f>V10</f>
        <v>0</v>
      </c>
      <c r="W9" s="227">
        <f>W10</f>
        <v>1841.0616</v>
      </c>
      <c r="X9" s="227">
        <f>X10</f>
        <v>1841.0616</v>
      </c>
      <c r="Y9" s="227">
        <f>Y10</f>
        <v>9765.8483999999989</v>
      </c>
      <c r="Z9" s="49"/>
    </row>
    <row r="10" spans="1:26" s="188" customFormat="1" ht="75" customHeight="1" x14ac:dyDescent="0.2">
      <c r="A10" s="179">
        <v>1</v>
      </c>
      <c r="B10" s="180">
        <v>161</v>
      </c>
      <c r="C10" s="138" t="s">
        <v>143</v>
      </c>
      <c r="D10" s="166" t="s">
        <v>207</v>
      </c>
      <c r="E10" s="166" t="s">
        <v>254</v>
      </c>
      <c r="F10" s="177" t="s">
        <v>282</v>
      </c>
      <c r="G10" s="181">
        <v>15</v>
      </c>
      <c r="H10" s="182">
        <f>I10/G10</f>
        <v>773.79399999999998</v>
      </c>
      <c r="I10" s="183">
        <v>11606.91</v>
      </c>
      <c r="J10" s="184">
        <v>0</v>
      </c>
      <c r="K10" s="185">
        <f>SUM(I10:J10)</f>
        <v>11606.91</v>
      </c>
      <c r="L10" s="128">
        <f>IF(I10/15&lt;=123.22,J10,J10/2)</f>
        <v>0</v>
      </c>
      <c r="M10" s="128">
        <f>I10+L10</f>
        <v>11606.91</v>
      </c>
      <c r="N10" s="128">
        <f>VLOOKUP(M10,Tarifa1,1)</f>
        <v>5925.91</v>
      </c>
      <c r="O10" s="128">
        <f>M10-N10</f>
        <v>5681</v>
      </c>
      <c r="P10" s="129">
        <f>VLOOKUP(M10,Tarifa1,3)</f>
        <v>0.21360000000000001</v>
      </c>
      <c r="Q10" s="128">
        <f>O10*P10</f>
        <v>1213.4616000000001</v>
      </c>
      <c r="R10" s="130">
        <f>VLOOKUP(M10,Tarifa1,2)</f>
        <v>627.6</v>
      </c>
      <c r="S10" s="128">
        <f>Q10+R10</f>
        <v>1841.0616</v>
      </c>
      <c r="T10" s="128">
        <f>VLOOKUP(M10,Credito1,2)</f>
        <v>0</v>
      </c>
      <c r="U10" s="128">
        <f>S10-T10</f>
        <v>1841.0616</v>
      </c>
      <c r="V10" s="185">
        <f>-IF(U10&gt;0,0,U10)</f>
        <v>0</v>
      </c>
      <c r="W10" s="186">
        <f>IF(U10&lt;0,0,U10)</f>
        <v>1841.0616</v>
      </c>
      <c r="X10" s="185">
        <f>SUM(W10:W10)</f>
        <v>1841.0616</v>
      </c>
      <c r="Y10" s="185">
        <f>K10+V10-X10</f>
        <v>9765.8483999999989</v>
      </c>
      <c r="Z10" s="187"/>
    </row>
    <row r="11" spans="1:26" s="188" customFormat="1" ht="75" customHeight="1" x14ac:dyDescent="0.25">
      <c r="A11" s="202"/>
      <c r="B11" s="203" t="s">
        <v>121</v>
      </c>
      <c r="C11" s="203" t="s">
        <v>160</v>
      </c>
      <c r="D11" s="45" t="s">
        <v>163</v>
      </c>
      <c r="E11" s="45" t="s">
        <v>122</v>
      </c>
      <c r="F11" s="45" t="s">
        <v>62</v>
      </c>
      <c r="G11" s="45"/>
      <c r="H11" s="45"/>
      <c r="I11" s="199">
        <f>SUM(I12)</f>
        <v>6482.16</v>
      </c>
      <c r="J11" s="199">
        <f>SUM(J12)</f>
        <v>0</v>
      </c>
      <c r="K11" s="199">
        <f>SUM(K12)</f>
        <v>6482.16</v>
      </c>
      <c r="L11" s="45"/>
      <c r="M11" s="45"/>
      <c r="N11" s="45"/>
      <c r="O11" s="45"/>
      <c r="P11" s="45"/>
      <c r="Q11" s="45"/>
      <c r="R11" s="200"/>
      <c r="S11" s="45"/>
      <c r="T11" s="45"/>
      <c r="U11" s="45"/>
      <c r="V11" s="199">
        <f>SUM(V12)</f>
        <v>0</v>
      </c>
      <c r="W11" s="199">
        <f>SUM(W12)</f>
        <v>746.41500000000008</v>
      </c>
      <c r="X11" s="199">
        <f>SUM(X12)</f>
        <v>746.41500000000008</v>
      </c>
      <c r="Y11" s="199">
        <f>SUM(Y12)</f>
        <v>5735.7449999999999</v>
      </c>
      <c r="Z11" s="49"/>
    </row>
    <row r="12" spans="1:26" ht="75" customHeight="1" x14ac:dyDescent="0.2">
      <c r="A12" s="33"/>
      <c r="B12" s="138" t="s">
        <v>265</v>
      </c>
      <c r="C12" s="62" t="s">
        <v>143</v>
      </c>
      <c r="D12" s="166" t="s">
        <v>229</v>
      </c>
      <c r="E12" s="166" t="s">
        <v>255</v>
      </c>
      <c r="F12" s="166" t="s">
        <v>117</v>
      </c>
      <c r="G12" s="167">
        <v>15</v>
      </c>
      <c r="H12" s="168">
        <f t="shared" ref="H12" si="0">I12/G12</f>
        <v>432.14400000000001</v>
      </c>
      <c r="I12" s="169">
        <v>6482.16</v>
      </c>
      <c r="J12" s="170">
        <v>0</v>
      </c>
      <c r="K12" s="171">
        <f>SUM(I12:J12)</f>
        <v>6482.16</v>
      </c>
      <c r="L12" s="128">
        <f>IF(I12/15&lt;=123.22,J12,J12/2)</f>
        <v>0</v>
      </c>
      <c r="M12" s="128">
        <f>I12+L12</f>
        <v>6482.16</v>
      </c>
      <c r="N12" s="128">
        <f>VLOOKUP(M12,Tarifa1,1)</f>
        <v>5925.91</v>
      </c>
      <c r="O12" s="128">
        <f>M12-N12</f>
        <v>556.25</v>
      </c>
      <c r="P12" s="129">
        <f>VLOOKUP(M12,Tarifa1,3)</f>
        <v>0.21360000000000001</v>
      </c>
      <c r="Q12" s="128">
        <f>O12*P12</f>
        <v>118.81500000000001</v>
      </c>
      <c r="R12" s="130">
        <f>VLOOKUP(M12,Tarifa1,2)</f>
        <v>627.6</v>
      </c>
      <c r="S12" s="128">
        <f>Q12+R12</f>
        <v>746.41500000000008</v>
      </c>
      <c r="T12" s="128">
        <f>VLOOKUP(M12,Credito1,2)</f>
        <v>0</v>
      </c>
      <c r="U12" s="128">
        <f>S12-T12</f>
        <v>746.41500000000008</v>
      </c>
      <c r="V12" s="171">
        <f>-IF(U12&gt;0,0,U12)</f>
        <v>0</v>
      </c>
      <c r="W12" s="171">
        <f>IF(U12&lt;0,0,U12)</f>
        <v>746.41500000000008</v>
      </c>
      <c r="X12" s="171">
        <f>SUM(W12:W12)</f>
        <v>746.41500000000008</v>
      </c>
      <c r="Y12" s="127">
        <f>K12+V12-X12</f>
        <v>5735.7449999999999</v>
      </c>
      <c r="Z12" s="41"/>
    </row>
    <row r="13" spans="1:26" ht="30" customHeight="1" x14ac:dyDescent="0.2">
      <c r="A13" s="33"/>
      <c r="B13" s="216"/>
      <c r="C13" s="217"/>
      <c r="D13" s="218"/>
      <c r="E13" s="218"/>
      <c r="F13" s="218"/>
      <c r="G13" s="219"/>
      <c r="H13" s="220"/>
      <c r="I13" s="221"/>
      <c r="J13" s="222"/>
      <c r="K13" s="223"/>
      <c r="L13" s="224"/>
      <c r="M13" s="224"/>
      <c r="N13" s="224"/>
      <c r="O13" s="224"/>
      <c r="P13" s="225"/>
      <c r="Q13" s="224"/>
      <c r="R13" s="226"/>
      <c r="S13" s="224"/>
      <c r="T13" s="224"/>
      <c r="U13" s="224"/>
      <c r="V13" s="223"/>
      <c r="W13" s="223"/>
      <c r="X13" s="223"/>
      <c r="Y13" s="223"/>
    </row>
    <row r="14" spans="1:26" ht="40.5" customHeight="1" thickBot="1" x14ac:dyDescent="0.3">
      <c r="A14" s="301" t="s">
        <v>45</v>
      </c>
      <c r="B14" s="302"/>
      <c r="C14" s="302"/>
      <c r="D14" s="302"/>
      <c r="E14" s="302"/>
      <c r="F14" s="302"/>
      <c r="G14" s="302"/>
      <c r="H14" s="303"/>
      <c r="I14" s="39">
        <f>I9+I11</f>
        <v>18089.07</v>
      </c>
      <c r="J14" s="39">
        <f>J9+J11</f>
        <v>0</v>
      </c>
      <c r="K14" s="39">
        <f>K9+K11</f>
        <v>18089.07</v>
      </c>
      <c r="L14" s="40">
        <f t="shared" ref="L14:U14" si="1">SUM(L10:L12)</f>
        <v>0</v>
      </c>
      <c r="M14" s="40">
        <f t="shared" si="1"/>
        <v>18089.07</v>
      </c>
      <c r="N14" s="40">
        <f t="shared" si="1"/>
        <v>11851.82</v>
      </c>
      <c r="O14" s="40">
        <f t="shared" si="1"/>
        <v>6237.25</v>
      </c>
      <c r="P14" s="40">
        <f t="shared" si="1"/>
        <v>0.42720000000000002</v>
      </c>
      <c r="Q14" s="40">
        <f t="shared" si="1"/>
        <v>1332.2766000000001</v>
      </c>
      <c r="R14" s="40">
        <f t="shared" si="1"/>
        <v>1255.2</v>
      </c>
      <c r="S14" s="40">
        <f t="shared" si="1"/>
        <v>2587.4766</v>
      </c>
      <c r="T14" s="40">
        <f t="shared" si="1"/>
        <v>0</v>
      </c>
      <c r="U14" s="40">
        <f t="shared" si="1"/>
        <v>2587.4766</v>
      </c>
      <c r="V14" s="39">
        <f>V9+V11</f>
        <v>0</v>
      </c>
      <c r="W14" s="39">
        <f>W9+W11</f>
        <v>2587.4766</v>
      </c>
      <c r="X14" s="39">
        <f>X9+X11</f>
        <v>2587.4766</v>
      </c>
      <c r="Y14" s="39">
        <f>Y9+Y11</f>
        <v>15501.593399999998</v>
      </c>
    </row>
    <row r="15" spans="1:26" ht="13.5" thickTop="1" x14ac:dyDescent="0.2"/>
    <row r="24" spans="4:38" x14ac:dyDescent="0.2">
      <c r="D24" s="4" t="s">
        <v>233</v>
      </c>
      <c r="W24" t="s">
        <v>109</v>
      </c>
    </row>
    <row r="25" spans="4:38" x14ac:dyDescent="0.2">
      <c r="D25" s="78" t="s">
        <v>230</v>
      </c>
      <c r="E25" s="4"/>
      <c r="I25" s="4"/>
      <c r="W25" s="78" t="s">
        <v>235</v>
      </c>
    </row>
    <row r="26" spans="4:38" x14ac:dyDescent="0.2">
      <c r="D26" s="51" t="s">
        <v>234</v>
      </c>
      <c r="E26" s="51"/>
      <c r="F26" s="51"/>
      <c r="G26" s="51"/>
      <c r="H26" s="51"/>
      <c r="I26" s="51"/>
      <c r="J26" s="51"/>
      <c r="W26" s="51" t="s">
        <v>97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K26" s="51"/>
      <c r="AL26" s="51"/>
    </row>
  </sheetData>
  <mergeCells count="7">
    <mergeCell ref="A14:H14"/>
    <mergeCell ref="A1:Z1"/>
    <mergeCell ref="A2:Z2"/>
    <mergeCell ref="A3:Z3"/>
    <mergeCell ref="I6:K6"/>
    <mergeCell ref="N6:S6"/>
    <mergeCell ref="W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6" t="s">
        <v>144</v>
      </c>
      <c r="D5" s="65"/>
      <c r="E5" s="65"/>
      <c r="F5" s="66" t="s">
        <v>23</v>
      </c>
      <c r="G5" s="66" t="s">
        <v>6</v>
      </c>
      <c r="H5" s="307" t="s">
        <v>1</v>
      </c>
      <c r="I5" s="308"/>
      <c r="J5" s="309"/>
      <c r="K5" s="67" t="s">
        <v>26</v>
      </c>
      <c r="L5" s="68"/>
      <c r="M5" s="310" t="s">
        <v>9</v>
      </c>
      <c r="N5" s="311"/>
      <c r="O5" s="311"/>
      <c r="P5" s="311"/>
      <c r="Q5" s="311"/>
      <c r="R5" s="312"/>
      <c r="S5" s="67" t="s">
        <v>30</v>
      </c>
      <c r="T5" s="67" t="s">
        <v>10</v>
      </c>
      <c r="U5" s="66" t="s">
        <v>54</v>
      </c>
      <c r="V5" s="313" t="s">
        <v>2</v>
      </c>
      <c r="W5" s="31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2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161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101</v>
      </c>
      <c r="B9" s="249" t="s">
        <v>312</v>
      </c>
      <c r="C9" s="250" t="s">
        <v>228</v>
      </c>
      <c r="D9" s="251" t="s">
        <v>309</v>
      </c>
      <c r="E9" s="252" t="s">
        <v>372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260</v>
      </c>
      <c r="C10" s="250" t="s">
        <v>143</v>
      </c>
      <c r="D10" s="251" t="s">
        <v>196</v>
      </c>
      <c r="E10" s="252" t="s">
        <v>197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102</v>
      </c>
      <c r="B11" s="249" t="s">
        <v>261</v>
      </c>
      <c r="C11" s="250" t="s">
        <v>143</v>
      </c>
      <c r="D11" s="251" t="s">
        <v>198</v>
      </c>
      <c r="E11" s="252" t="s">
        <v>201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103</v>
      </c>
      <c r="B12" s="250" t="s">
        <v>138</v>
      </c>
      <c r="C12" s="250" t="s">
        <v>143</v>
      </c>
      <c r="D12" s="251" t="s">
        <v>73</v>
      </c>
      <c r="E12" s="252" t="s">
        <v>200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329</v>
      </c>
      <c r="C13" s="250" t="s">
        <v>143</v>
      </c>
      <c r="D13" s="262" t="s">
        <v>326</v>
      </c>
      <c r="E13" s="252" t="s">
        <v>74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354</v>
      </c>
      <c r="C14" s="250" t="s">
        <v>228</v>
      </c>
      <c r="D14" s="262" t="s">
        <v>353</v>
      </c>
      <c r="E14" s="252" t="s">
        <v>74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364</v>
      </c>
      <c r="C15" s="250" t="s">
        <v>143</v>
      </c>
      <c r="D15" s="252" t="s">
        <v>352</v>
      </c>
      <c r="E15" s="252" t="s">
        <v>74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139</v>
      </c>
      <c r="C16" s="250" t="s">
        <v>143</v>
      </c>
      <c r="D16" s="251" t="s">
        <v>75</v>
      </c>
      <c r="E16" s="252" t="s">
        <v>199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336</v>
      </c>
      <c r="C17" s="250" t="s">
        <v>143</v>
      </c>
      <c r="D17" s="251" t="s">
        <v>337</v>
      </c>
      <c r="E17" s="252" t="s">
        <v>199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375</v>
      </c>
      <c r="C18" s="250" t="s">
        <v>143</v>
      </c>
      <c r="D18" s="251" t="s">
        <v>376</v>
      </c>
      <c r="E18" s="252" t="s">
        <v>199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185</v>
      </c>
      <c r="C19" s="250" t="s">
        <v>143</v>
      </c>
      <c r="D19" s="262" t="s">
        <v>183</v>
      </c>
      <c r="E19" s="252" t="s">
        <v>293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311</v>
      </c>
      <c r="C20" s="250" t="s">
        <v>143</v>
      </c>
      <c r="D20" s="262" t="s">
        <v>300</v>
      </c>
      <c r="E20" s="252" t="s">
        <v>293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360</v>
      </c>
      <c r="C21" s="250" t="s">
        <v>143</v>
      </c>
      <c r="D21" s="262" t="s">
        <v>361</v>
      </c>
      <c r="E21" s="252" t="s">
        <v>293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04" t="s">
        <v>92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1"/>
    </row>
    <row r="25" spans="1:31" s="188" customFormat="1" ht="23.25" customHeight="1" x14ac:dyDescent="0.25">
      <c r="A25" s="268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E25" s="191"/>
    </row>
    <row r="26" spans="1:31" s="188" customFormat="1" ht="23.25" customHeight="1" x14ac:dyDescent="0.25">
      <c r="A26" s="268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07" t="s">
        <v>1</v>
      </c>
      <c r="I29" s="308"/>
      <c r="J29" s="309"/>
      <c r="K29" s="67" t="s">
        <v>26</v>
      </c>
      <c r="L29" s="68"/>
      <c r="M29" s="310" t="s">
        <v>9</v>
      </c>
      <c r="N29" s="311"/>
      <c r="O29" s="311"/>
      <c r="P29" s="311"/>
      <c r="Q29" s="311"/>
      <c r="R29" s="312"/>
      <c r="S29" s="67" t="s">
        <v>30</v>
      </c>
      <c r="T29" s="67" t="s">
        <v>10</v>
      </c>
      <c r="U29" s="66" t="s">
        <v>54</v>
      </c>
      <c r="V29" s="313" t="s">
        <v>2</v>
      </c>
      <c r="W29" s="314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121</v>
      </c>
      <c r="C30" s="64" t="s">
        <v>144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161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324</v>
      </c>
      <c r="C33" s="250" t="s">
        <v>143</v>
      </c>
      <c r="D33" s="262" t="s">
        <v>325</v>
      </c>
      <c r="E33" s="252" t="s">
        <v>293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330</v>
      </c>
      <c r="C34" s="250" t="s">
        <v>143</v>
      </c>
      <c r="D34" s="262" t="s">
        <v>327</v>
      </c>
      <c r="E34" s="252" t="s">
        <v>328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313</v>
      </c>
      <c r="C35" s="250" t="s">
        <v>143</v>
      </c>
      <c r="D35" s="262" t="s">
        <v>294</v>
      </c>
      <c r="E35" s="252" t="s">
        <v>295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314</v>
      </c>
      <c r="C36" s="250" t="s">
        <v>143</v>
      </c>
      <c r="D36" s="262" t="s">
        <v>296</v>
      </c>
      <c r="E36" s="252" t="s">
        <v>297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3" t="s">
        <v>45</v>
      </c>
      <c r="B37" s="324"/>
      <c r="C37" s="324"/>
      <c r="D37" s="324"/>
      <c r="E37" s="324"/>
      <c r="F37" s="324"/>
      <c r="G37" s="325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109</v>
      </c>
      <c r="W43" s="188"/>
      <c r="X43" s="188"/>
    </row>
    <row r="44" spans="1:31" s="69" customFormat="1" ht="15" x14ac:dyDescent="0.25">
      <c r="B44" s="188"/>
      <c r="C44" s="188"/>
      <c r="D44" s="193" t="s">
        <v>230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232</v>
      </c>
      <c r="W44" s="188"/>
      <c r="X44" s="188"/>
    </row>
    <row r="45" spans="1:31" s="69" customFormat="1" ht="15" x14ac:dyDescent="0.25">
      <c r="B45" s="188"/>
      <c r="C45" s="188"/>
      <c r="D45" s="193" t="s">
        <v>96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97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121</v>
      </c>
      <c r="C7" s="64" t="s">
        <v>160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161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77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411.51</v>
      </c>
      <c r="J9" s="195">
        <f>SUM(J10:J28)</f>
        <v>42376.909999999996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1419.5550559999999</v>
      </c>
      <c r="W9" s="195">
        <f>SUM(W10:W28)</f>
        <v>1419.5550559999999</v>
      </c>
      <c r="X9" s="195">
        <f>SUM(X10:X28)</f>
        <v>41068.173888000005</v>
      </c>
      <c r="Y9" s="197"/>
    </row>
    <row r="10" spans="1:25" s="4" customFormat="1" ht="67.5" customHeight="1" x14ac:dyDescent="0.2">
      <c r="A10" s="59"/>
      <c r="B10" s="116" t="s">
        <v>315</v>
      </c>
      <c r="C10" s="116" t="s">
        <v>143</v>
      </c>
      <c r="D10" s="121" t="s">
        <v>308</v>
      </c>
      <c r="E10" s="121" t="s">
        <v>307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143</v>
      </c>
      <c r="D11" s="121" t="s">
        <v>78</v>
      </c>
      <c r="E11" s="121" t="s">
        <v>79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370</v>
      </c>
      <c r="C12" s="116" t="s">
        <v>143</v>
      </c>
      <c r="D12" s="121" t="s">
        <v>371</v>
      </c>
      <c r="E12" s="121" t="s">
        <v>307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373</v>
      </c>
      <c r="C13" s="116" t="s">
        <v>143</v>
      </c>
      <c r="D13" s="121" t="s">
        <v>374</v>
      </c>
      <c r="E13" s="121" t="s">
        <v>79</v>
      </c>
      <c r="F13" s="133"/>
      <c r="G13" s="134"/>
      <c r="H13" s="119">
        <v>2689.18</v>
      </c>
      <c r="I13" s="126">
        <v>200</v>
      </c>
      <c r="J13" s="127">
        <f>SUM(H13:I13)</f>
        <v>2889.18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2999.9989439999999</v>
      </c>
      <c r="Y13" s="122"/>
    </row>
    <row r="14" spans="1:25" s="4" customFormat="1" ht="67.5" customHeight="1" x14ac:dyDescent="0.2">
      <c r="A14" s="59"/>
      <c r="B14" s="116" t="s">
        <v>169</v>
      </c>
      <c r="C14" s="116" t="s">
        <v>143</v>
      </c>
      <c r="D14" s="124" t="s">
        <v>168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316</v>
      </c>
      <c r="C15" s="116" t="s">
        <v>143</v>
      </c>
      <c r="D15" s="124" t="s">
        <v>305</v>
      </c>
      <c r="E15" s="121" t="s">
        <v>306</v>
      </c>
      <c r="F15" s="133"/>
      <c r="G15" s="134"/>
      <c r="H15" s="119">
        <v>3089.65</v>
      </c>
      <c r="I15" s="126">
        <v>0</v>
      </c>
      <c r="J15" s="127">
        <f t="shared" ref="J15" si="26">SUM(H15:I15)</f>
        <v>3089.65</v>
      </c>
      <c r="K15" s="172">
        <f t="shared" ref="K15" si="27">IF(H15/15&lt;=123.22,I15,I15/2)</f>
        <v>0</v>
      </c>
      <c r="L15" s="172">
        <f t="shared" ref="L15" si="28">H15+K15</f>
        <v>3089.65</v>
      </c>
      <c r="M15" s="172">
        <f t="shared" ref="M15" si="29">VLOOKUP(L15,Tarifa1,1)</f>
        <v>2422.81</v>
      </c>
      <c r="N15" s="172">
        <f t="shared" ref="N15" si="30">L15-M15</f>
        <v>666.84000000000015</v>
      </c>
      <c r="O15" s="173">
        <f t="shared" ref="O15" si="31">VLOOKUP(L15,Tarifa1,3)</f>
        <v>0.10879999999999999</v>
      </c>
      <c r="P15" s="172">
        <f t="shared" ref="P15" si="32">N15*O15</f>
        <v>72.552192000000005</v>
      </c>
      <c r="Q15" s="174">
        <f t="shared" ref="Q15" si="33">VLOOKUP(L15,Tarifa1,2)</f>
        <v>142.19999999999999</v>
      </c>
      <c r="R15" s="172">
        <f t="shared" ref="R15" si="34">P15+Q15</f>
        <v>214.75219199999998</v>
      </c>
      <c r="S15" s="172">
        <f t="shared" ref="S15" si="35">VLOOKUP(L15,Credito1,2)</f>
        <v>125.1</v>
      </c>
      <c r="T15" s="172">
        <f t="shared" ref="T15" si="36">R15-S15</f>
        <v>89.652191999999985</v>
      </c>
      <c r="U15" s="127">
        <f t="shared" ref="U15" si="37">-IF(T15&gt;0,0,T15)</f>
        <v>0</v>
      </c>
      <c r="V15" s="127">
        <f t="shared" ref="V15" si="38">IF(T15&lt;0,0,T15)</f>
        <v>89.652191999999985</v>
      </c>
      <c r="W15" s="127">
        <f>SUM(V15:V15)</f>
        <v>89.652191999999985</v>
      </c>
      <c r="X15" s="127">
        <f>J15+U15-W15</f>
        <v>2999.9978080000001</v>
      </c>
      <c r="Y15" s="122"/>
    </row>
    <row r="16" spans="1:25" s="4" customFormat="1" ht="67.5" customHeight="1" x14ac:dyDescent="0.2">
      <c r="A16" s="59"/>
      <c r="B16" s="116" t="s">
        <v>341</v>
      </c>
      <c r="C16" s="116" t="s">
        <v>143</v>
      </c>
      <c r="D16" s="124" t="s">
        <v>342</v>
      </c>
      <c r="E16" s="123" t="s">
        <v>343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175</v>
      </c>
      <c r="C17" s="116" t="s">
        <v>143</v>
      </c>
      <c r="D17" s="121" t="s">
        <v>173</v>
      </c>
      <c r="E17" s="121" t="s">
        <v>174</v>
      </c>
      <c r="F17" s="133">
        <v>6</v>
      </c>
      <c r="G17" s="134"/>
      <c r="H17" s="53">
        <v>3163.94</v>
      </c>
      <c r="I17" s="54">
        <v>211.51</v>
      </c>
      <c r="J17" s="55">
        <f t="shared" ref="J17:J18" si="52">SUM(H17:I17)</f>
        <v>3375.45</v>
      </c>
      <c r="K17" s="172">
        <f t="shared" si="8"/>
        <v>105.755</v>
      </c>
      <c r="L17" s="172">
        <f t="shared" si="9"/>
        <v>3269.6950000000002</v>
      </c>
      <c r="M17" s="172">
        <f t="shared" si="1"/>
        <v>2422.81</v>
      </c>
      <c r="N17" s="172">
        <f t="shared" si="10"/>
        <v>846.88500000000022</v>
      </c>
      <c r="O17" s="173">
        <f t="shared" si="2"/>
        <v>0.10879999999999999</v>
      </c>
      <c r="P17" s="172">
        <f t="shared" si="11"/>
        <v>92.141088000000025</v>
      </c>
      <c r="Q17" s="174">
        <f t="shared" si="3"/>
        <v>142.19999999999999</v>
      </c>
      <c r="R17" s="172">
        <f t="shared" si="12"/>
        <v>234.34108800000001</v>
      </c>
      <c r="S17" s="172">
        <f t="shared" si="4"/>
        <v>125.1</v>
      </c>
      <c r="T17" s="172">
        <f t="shared" si="13"/>
        <v>109.24108800000002</v>
      </c>
      <c r="U17" s="52">
        <f t="shared" ref="U17:U19" si="53">-IF(T17&gt;0,0,T17)</f>
        <v>0</v>
      </c>
      <c r="V17" s="52">
        <f t="shared" ref="V17:V19" si="54">IF(T17&lt;0,0,T17)</f>
        <v>109.24108800000002</v>
      </c>
      <c r="W17" s="55">
        <f>SUM(V17:V17)</f>
        <v>109.24108800000002</v>
      </c>
      <c r="X17" s="55">
        <f>J17+U17-W17</f>
        <v>3266.2089119999996</v>
      </c>
      <c r="Y17" s="122"/>
    </row>
    <row r="18" spans="1:31" s="4" customFormat="1" ht="67.5" customHeight="1" x14ac:dyDescent="0.2">
      <c r="A18" s="59"/>
      <c r="B18" s="139" t="s">
        <v>262</v>
      </c>
      <c r="C18" s="116" t="s">
        <v>143</v>
      </c>
      <c r="D18" s="121" t="s">
        <v>202</v>
      </c>
      <c r="E18" s="121" t="s">
        <v>82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317</v>
      </c>
      <c r="C19" s="116" t="s">
        <v>143</v>
      </c>
      <c r="D19" s="121" t="s">
        <v>303</v>
      </c>
      <c r="E19" s="121" t="s">
        <v>304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04" t="s">
        <v>92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31" s="4" customFormat="1" ht="23.25" customHeight="1" x14ac:dyDescent="0.25">
      <c r="A23" s="230"/>
      <c r="B23" s="304" t="s">
        <v>66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31" s="4" customFormat="1" ht="23.25" customHeight="1" x14ac:dyDescent="0.2">
      <c r="A24" s="230"/>
      <c r="B24" s="305" t="s">
        <v>385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365</v>
      </c>
      <c r="C26" s="116" t="s">
        <v>143</v>
      </c>
      <c r="D26" s="123" t="s">
        <v>95</v>
      </c>
      <c r="E26" s="123" t="s">
        <v>332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0"/>
      <c r="B27" s="139" t="s">
        <v>368</v>
      </c>
      <c r="C27" s="116" t="s">
        <v>143</v>
      </c>
      <c r="D27" s="123" t="s">
        <v>369</v>
      </c>
      <c r="E27" s="121" t="s">
        <v>203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0"/>
      <c r="B28" s="139" t="s">
        <v>330</v>
      </c>
      <c r="C28" s="116" t="s">
        <v>143</v>
      </c>
      <c r="D28" s="121" t="s">
        <v>331</v>
      </c>
      <c r="E28" s="121" t="s">
        <v>203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121</v>
      </c>
      <c r="C29" s="198" t="s">
        <v>160</v>
      </c>
      <c r="D29" s="194" t="s">
        <v>157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100</v>
      </c>
      <c r="B30" s="139" t="s">
        <v>263</v>
      </c>
      <c r="C30" s="116" t="s">
        <v>143</v>
      </c>
      <c r="D30" s="121" t="s">
        <v>206</v>
      </c>
      <c r="E30" s="123" t="s">
        <v>204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318</v>
      </c>
      <c r="C31" s="116" t="s">
        <v>143</v>
      </c>
      <c r="D31" s="121" t="s">
        <v>301</v>
      </c>
      <c r="E31" s="123" t="s">
        <v>302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121</v>
      </c>
      <c r="C32" s="198" t="s">
        <v>160</v>
      </c>
      <c r="D32" s="194" t="s">
        <v>159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127</v>
      </c>
      <c r="C33" s="116" t="s">
        <v>143</v>
      </c>
      <c r="D33" s="121" t="s">
        <v>81</v>
      </c>
      <c r="E33" s="123" t="s">
        <v>162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358</v>
      </c>
      <c r="C34" s="116" t="s">
        <v>143</v>
      </c>
      <c r="D34" s="121" t="s">
        <v>357</v>
      </c>
      <c r="E34" s="123" t="s">
        <v>359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101</v>
      </c>
      <c r="B35" s="198" t="s">
        <v>121</v>
      </c>
      <c r="C35" s="198" t="s">
        <v>160</v>
      </c>
      <c r="D35" s="194" t="s">
        <v>158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102</v>
      </c>
      <c r="B36" s="116" t="s">
        <v>126</v>
      </c>
      <c r="C36" s="116" t="s">
        <v>143</v>
      </c>
      <c r="D36" s="121" t="s">
        <v>80</v>
      </c>
      <c r="E36" s="123" t="s">
        <v>205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1" t="s">
        <v>45</v>
      </c>
      <c r="B38" s="302"/>
      <c r="C38" s="302"/>
      <c r="D38" s="302"/>
      <c r="E38" s="302"/>
      <c r="F38" s="302"/>
      <c r="G38" s="303"/>
      <c r="H38" s="164">
        <f>SUM(H9+H29+H32+H35)</f>
        <v>58917.579999999994</v>
      </c>
      <c r="I38" s="164">
        <f>SUM(I9+I29+I32+I35)</f>
        <v>411.51</v>
      </c>
      <c r="J38" s="164">
        <f>SUM(J9+J29+J32+J35)</f>
        <v>59329.09</v>
      </c>
      <c r="K38" s="165">
        <f t="shared" ref="K38:T38" si="85">SUM(K10:K37)</f>
        <v>105.755</v>
      </c>
      <c r="L38" s="165">
        <f t="shared" si="85"/>
        <v>64208.635000000009</v>
      </c>
      <c r="M38" s="165">
        <f t="shared" si="85"/>
        <v>47851.7</v>
      </c>
      <c r="N38" s="165">
        <f t="shared" si="85"/>
        <v>16356.935000000001</v>
      </c>
      <c r="O38" s="165">
        <f t="shared" si="85"/>
        <v>2.1888000000000001</v>
      </c>
      <c r="P38" s="165">
        <f t="shared" si="85"/>
        <v>1627.3316799999998</v>
      </c>
      <c r="Q38" s="165">
        <f t="shared" si="85"/>
        <v>2833.35</v>
      </c>
      <c r="R38" s="165">
        <f t="shared" si="85"/>
        <v>4460.6816800000006</v>
      </c>
      <c r="S38" s="165">
        <f t="shared" si="85"/>
        <v>2347.4999999999995</v>
      </c>
      <c r="T38" s="165">
        <f t="shared" si="85"/>
        <v>2113.1816799999992</v>
      </c>
      <c r="U38" s="164">
        <f>SUM(U9+U29+U32+U35)</f>
        <v>150.35366400000001</v>
      </c>
      <c r="V38" s="164">
        <f>SUM(V9+V29+V32+V35)</f>
        <v>2257.1501759999996</v>
      </c>
      <c r="W38" s="164">
        <f>SUM(W9+W29+W32+W35)</f>
        <v>2257.1501759999996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237</v>
      </c>
      <c r="V41" s="4" t="s">
        <v>238</v>
      </c>
    </row>
    <row r="42" spans="1:37" s="4" customFormat="1" x14ac:dyDescent="0.2">
      <c r="D42" s="51" t="s">
        <v>230</v>
      </c>
      <c r="V42" s="51" t="s">
        <v>232</v>
      </c>
    </row>
    <row r="43" spans="1:37" s="4" customFormat="1" x14ac:dyDescent="0.2">
      <c r="D43" s="51" t="s">
        <v>96</v>
      </c>
      <c r="E43" s="51"/>
      <c r="F43" s="51"/>
      <c r="G43" s="51"/>
      <c r="H43" s="51"/>
      <c r="I43" s="51"/>
      <c r="V43" s="51" t="s">
        <v>97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6" t="s">
        <v>160</v>
      </c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2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161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121</v>
      </c>
      <c r="C9" s="203" t="s">
        <v>160</v>
      </c>
      <c r="D9" s="45" t="s">
        <v>212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100</v>
      </c>
      <c r="B10" s="138" t="s">
        <v>264</v>
      </c>
      <c r="C10" s="62" t="s">
        <v>143</v>
      </c>
      <c r="D10" s="177" t="s">
        <v>253</v>
      </c>
      <c r="E10" s="177" t="s">
        <v>292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101</v>
      </c>
      <c r="B11" s="62" t="s">
        <v>140</v>
      </c>
      <c r="C11" s="62" t="s">
        <v>143</v>
      </c>
      <c r="D11" s="166" t="s">
        <v>110</v>
      </c>
      <c r="E11" s="177" t="s">
        <v>208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121</v>
      </c>
      <c r="C12" s="203" t="s">
        <v>160</v>
      </c>
      <c r="D12" s="45" t="s">
        <v>285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283</v>
      </c>
      <c r="C13" s="62" t="s">
        <v>143</v>
      </c>
      <c r="D13" s="176" t="s">
        <v>284</v>
      </c>
      <c r="E13" s="177" t="s">
        <v>286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121</v>
      </c>
      <c r="C14" s="203" t="s">
        <v>160</v>
      </c>
      <c r="D14" s="45" t="s">
        <v>349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350</v>
      </c>
      <c r="C15" s="62" t="s">
        <v>143</v>
      </c>
      <c r="D15" s="176" t="s">
        <v>347</v>
      </c>
      <c r="E15" s="177" t="s">
        <v>348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121</v>
      </c>
      <c r="C16" s="203" t="s">
        <v>160</v>
      </c>
      <c r="D16" s="45" t="s">
        <v>164</v>
      </c>
      <c r="E16" s="45" t="s">
        <v>62</v>
      </c>
      <c r="F16" s="45"/>
      <c r="G16" s="45"/>
      <c r="H16" s="199">
        <f>SUM(H17:H19)</f>
        <v>13195.359999999999</v>
      </c>
      <c r="I16" s="199">
        <f>SUM(I17:I19)</f>
        <v>297.58999999999997</v>
      </c>
      <c r="J16" s="199">
        <f>SUM(J17:J19)</f>
        <v>13492.949999999999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1087.9065519999999</v>
      </c>
      <c r="W16" s="199">
        <f>SUM(W17:W19)</f>
        <v>1087.9065519999999</v>
      </c>
      <c r="X16" s="199">
        <f>SUM(X17:X19)</f>
        <v>12405.043447999999</v>
      </c>
      <c r="Y16" s="201"/>
      <c r="AE16" s="77"/>
    </row>
    <row r="17" spans="1:31" s="69" customFormat="1" ht="69.95" customHeight="1" x14ac:dyDescent="0.2">
      <c r="A17" s="62" t="s">
        <v>103</v>
      </c>
      <c r="B17" s="212">
        <v>185</v>
      </c>
      <c r="C17" s="62" t="s">
        <v>143</v>
      </c>
      <c r="D17" s="213" t="s">
        <v>225</v>
      </c>
      <c r="E17" s="177" t="s">
        <v>112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319</v>
      </c>
      <c r="C18" s="62" t="s">
        <v>143</v>
      </c>
      <c r="D18" s="176" t="s">
        <v>298</v>
      </c>
      <c r="E18" s="177" t="s">
        <v>299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355</v>
      </c>
      <c r="C19" s="62" t="s">
        <v>228</v>
      </c>
      <c r="D19" s="176" t="s">
        <v>351</v>
      </c>
      <c r="E19" s="177" t="s">
        <v>299</v>
      </c>
      <c r="F19" s="167"/>
      <c r="G19" s="168"/>
      <c r="H19" s="119">
        <v>3618.48</v>
      </c>
      <c r="I19" s="126">
        <v>297.58999999999997</v>
      </c>
      <c r="J19" s="127">
        <f>SUM(H19:I19)</f>
        <v>3916.07</v>
      </c>
      <c r="K19" s="128">
        <f t="shared" ref="K19" si="10">IF(H19/15&lt;=123.22,I19,I19/2)</f>
        <v>148.79499999999999</v>
      </c>
      <c r="L19" s="128">
        <f t="shared" ref="L19" si="11">H19+K19</f>
        <v>3767.2750000000001</v>
      </c>
      <c r="M19" s="128">
        <f>VLOOKUP(L19,Tarifa1,1)</f>
        <v>2422.81</v>
      </c>
      <c r="N19" s="128">
        <f t="shared" ref="N19" si="12">L19-M19</f>
        <v>1344.4650000000001</v>
      </c>
      <c r="O19" s="129">
        <f>VLOOKUP(L19,Tarifa1,3)</f>
        <v>0.10879999999999999</v>
      </c>
      <c r="P19" s="128">
        <f t="shared" ref="P19" si="13">N19*O19</f>
        <v>146.27779200000001</v>
      </c>
      <c r="Q19" s="130">
        <f>VLOOKUP(L19,Tarifa1,2)</f>
        <v>142.19999999999999</v>
      </c>
      <c r="R19" s="128">
        <f t="shared" ref="R19" si="14">P19+Q19</f>
        <v>288.47779200000002</v>
      </c>
      <c r="S19" s="128">
        <f>VLOOKUP(L19,Credito1,2)</f>
        <v>0</v>
      </c>
      <c r="T19" s="128">
        <f t="shared" ref="T19" si="15">R19-S19</f>
        <v>288.47779200000002</v>
      </c>
      <c r="U19" s="127">
        <f>-IF(T19&gt;0,0,T19)</f>
        <v>0</v>
      </c>
      <c r="V19" s="135">
        <f>IF(T19&lt;0,0,T19)</f>
        <v>288.47779200000002</v>
      </c>
      <c r="W19" s="127">
        <f>SUM(V19:V19)</f>
        <v>288.47779200000002</v>
      </c>
      <c r="X19" s="127">
        <f>J19+U19-W19</f>
        <v>3627.592208</v>
      </c>
      <c r="Y19" s="187"/>
      <c r="AE19" s="88"/>
    </row>
    <row r="20" spans="1:31" s="69" customFormat="1" ht="50.25" customHeight="1" x14ac:dyDescent="0.25">
      <c r="A20" s="62"/>
      <c r="B20" s="203" t="s">
        <v>121</v>
      </c>
      <c r="C20" s="203" t="s">
        <v>160</v>
      </c>
      <c r="D20" s="45" t="s">
        <v>165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219.96</v>
      </c>
      <c r="J20" s="199">
        <f>SUM(J21:J27)</f>
        <v>15116.48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1369.0220160000003</v>
      </c>
      <c r="W20" s="199">
        <f>SUM(W21:W27)</f>
        <v>1369.0220160000003</v>
      </c>
      <c r="X20" s="199">
        <f>SUM(X21:X27)</f>
        <v>13747.457984000001</v>
      </c>
      <c r="Y20" s="201"/>
      <c r="AE20" s="88"/>
    </row>
    <row r="21" spans="1:31" s="69" customFormat="1" ht="69.95" customHeight="1" x14ac:dyDescent="0.2">
      <c r="A21" s="62" t="s">
        <v>104</v>
      </c>
      <c r="B21" s="62" t="s">
        <v>141</v>
      </c>
      <c r="C21" s="62" t="s">
        <v>143</v>
      </c>
      <c r="D21" s="176" t="s">
        <v>111</v>
      </c>
      <c r="E21" s="177" t="s">
        <v>113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6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7">-IF(T21&gt;0,0,T21)</f>
        <v>0</v>
      </c>
      <c r="V21" s="111">
        <f t="shared" ref="V21" si="18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266</v>
      </c>
      <c r="C22" s="62" t="s">
        <v>143</v>
      </c>
      <c r="D22" s="178" t="s">
        <v>210</v>
      </c>
      <c r="E22" s="177" t="s">
        <v>209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04" t="s">
        <v>92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88"/>
    </row>
    <row r="24" spans="1:31" s="69" customFormat="1" ht="25.5" customHeight="1" x14ac:dyDescent="0.25">
      <c r="A24" s="231"/>
      <c r="B24" s="304" t="s">
        <v>66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88"/>
    </row>
    <row r="25" spans="1:31" s="69" customFormat="1" ht="23.25" customHeight="1" x14ac:dyDescent="0.2">
      <c r="A25" s="231"/>
      <c r="B25" s="305" t="s">
        <v>385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340</v>
      </c>
      <c r="C27" s="62" t="s">
        <v>143</v>
      </c>
      <c r="D27" s="178" t="s">
        <v>333</v>
      </c>
      <c r="E27" s="177" t="s">
        <v>334</v>
      </c>
      <c r="F27" s="167"/>
      <c r="G27" s="168"/>
      <c r="H27" s="169">
        <v>3234.1</v>
      </c>
      <c r="I27" s="170">
        <v>219.96</v>
      </c>
      <c r="J27" s="171">
        <f t="shared" ref="J27" si="19">SUM(H27:I27)</f>
        <v>3454.06</v>
      </c>
      <c r="K27" s="172">
        <f t="shared" ref="K27" si="20">IF(H27/15&lt;=123.22,I27,I27/2)</f>
        <v>109.98</v>
      </c>
      <c r="L27" s="172">
        <f t="shared" ref="L27" si="21">H27+K27</f>
        <v>3344.08</v>
      </c>
      <c r="M27" s="172">
        <f t="shared" ref="M27" si="22">VLOOKUP(L27,Tarifa1,1)</f>
        <v>2422.81</v>
      </c>
      <c r="N27" s="172">
        <f t="shared" ref="N27" si="23">L27-M27</f>
        <v>921.27</v>
      </c>
      <c r="O27" s="173">
        <f t="shared" ref="O27" si="24">VLOOKUP(L27,Tarifa1,3)</f>
        <v>0.10879999999999999</v>
      </c>
      <c r="P27" s="172">
        <f t="shared" ref="P27" si="25">N27*O27</f>
        <v>100.23417599999999</v>
      </c>
      <c r="Q27" s="174">
        <f t="shared" ref="Q27" si="26">VLOOKUP(L27,Tarifa1,2)</f>
        <v>142.19999999999999</v>
      </c>
      <c r="R27" s="172">
        <f t="shared" ref="R27" si="27">P27+Q27</f>
        <v>242.43417599999998</v>
      </c>
      <c r="S27" s="172">
        <f t="shared" ref="S27" si="28">VLOOKUP(L27,Credito1,2)</f>
        <v>125.1</v>
      </c>
      <c r="T27" s="172">
        <f t="shared" ref="T27" si="29">R27-S27</f>
        <v>117.33417599999999</v>
      </c>
      <c r="U27" s="171">
        <f t="shared" ref="U27" si="30">-IF(T27&gt;0,0,T27)</f>
        <v>0</v>
      </c>
      <c r="V27" s="171">
        <f t="shared" ref="V27" si="31">IF(T27&lt;0,0,T27)</f>
        <v>117.33417599999999</v>
      </c>
      <c r="W27" s="171">
        <f>SUM(V27:V27)</f>
        <v>117.33417599999999</v>
      </c>
      <c r="X27" s="171">
        <f>J27+U27-W27</f>
        <v>3336.7258240000001</v>
      </c>
      <c r="Y27" s="187"/>
      <c r="AE27" s="88"/>
    </row>
    <row r="28" spans="1:31" s="69" customFormat="1" ht="52.5" customHeight="1" x14ac:dyDescent="0.25">
      <c r="A28" s="62"/>
      <c r="B28" s="203" t="s">
        <v>121</v>
      </c>
      <c r="C28" s="203" t="s">
        <v>160</v>
      </c>
      <c r="D28" s="45" t="s">
        <v>166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105</v>
      </c>
      <c r="B29" s="62" t="s">
        <v>142</v>
      </c>
      <c r="C29" s="62" t="s">
        <v>143</v>
      </c>
      <c r="D29" s="178" t="s">
        <v>116</v>
      </c>
      <c r="E29" s="177" t="s">
        <v>120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121</v>
      </c>
      <c r="C30" s="203" t="s">
        <v>160</v>
      </c>
      <c r="D30" s="45" t="s">
        <v>170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176</v>
      </c>
      <c r="C31" s="62" t="s">
        <v>143</v>
      </c>
      <c r="D31" s="166" t="s">
        <v>171</v>
      </c>
      <c r="E31" s="177" t="s">
        <v>172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121</v>
      </c>
      <c r="C32" s="203" t="s">
        <v>160</v>
      </c>
      <c r="D32" s="45" t="s">
        <v>211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267</v>
      </c>
      <c r="C33" s="62" t="s">
        <v>143</v>
      </c>
      <c r="D33" s="166" t="s">
        <v>214</v>
      </c>
      <c r="E33" s="177" t="s">
        <v>215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32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29" t="s">
        <v>45</v>
      </c>
      <c r="B35" s="329"/>
      <c r="C35" s="329"/>
      <c r="D35" s="329"/>
      <c r="E35" s="329"/>
      <c r="F35" s="329"/>
      <c r="G35" s="329"/>
      <c r="H35" s="207">
        <f>H9+H12+H16+H20+H28+H30+H32+H14</f>
        <v>67116.27</v>
      </c>
      <c r="I35" s="207">
        <f>I9+I12+I16+I20+I28+I30+I32+I14</f>
        <v>517.54999999999995</v>
      </c>
      <c r="J35" s="207">
        <f>J9+J12+J16+J20+J28+J30+J32+J14</f>
        <v>67633.819999999992</v>
      </c>
      <c r="K35" s="208">
        <f t="shared" ref="K35:T35" si="33">SUM(K10:K34)</f>
        <v>258.77499999999998</v>
      </c>
      <c r="L35" s="208">
        <f t="shared" si="33"/>
        <v>67375.045000000013</v>
      </c>
      <c r="M35" s="208">
        <f t="shared" si="33"/>
        <v>58879.180000000008</v>
      </c>
      <c r="N35" s="208">
        <f t="shared" si="33"/>
        <v>8495.864999999998</v>
      </c>
      <c r="O35" s="208">
        <f t="shared" si="33"/>
        <v>2.2136</v>
      </c>
      <c r="P35" s="208">
        <f t="shared" si="33"/>
        <v>1347.7013360000001</v>
      </c>
      <c r="Q35" s="208">
        <f t="shared" si="33"/>
        <v>5384.55</v>
      </c>
      <c r="R35" s="208">
        <f t="shared" si="33"/>
        <v>6732.2513360000003</v>
      </c>
      <c r="S35" s="208">
        <f t="shared" si="33"/>
        <v>232.5</v>
      </c>
      <c r="T35" s="208">
        <f t="shared" si="33"/>
        <v>6499.7513360000012</v>
      </c>
      <c r="U35" s="207">
        <f>U9+U12+U16+U20+U28+U30+U32+U14</f>
        <v>0</v>
      </c>
      <c r="V35" s="207">
        <f>V9+V12+V16+V20+V28+V30+V32+V14</f>
        <v>6499.7513360000003</v>
      </c>
      <c r="W35" s="207">
        <f>W9+W12+W16+W20+W28+W30+W32+W14</f>
        <v>6499.7513360000003</v>
      </c>
      <c r="X35" s="207">
        <f>X9+X12+X16+X20+X28+X30+X32+X14</f>
        <v>61134.068664000006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239</v>
      </c>
      <c r="W45" s="4"/>
      <c r="X45" s="4"/>
    </row>
    <row r="46" spans="1:37" s="69" customFormat="1" x14ac:dyDescent="0.2">
      <c r="D46" s="51" t="s">
        <v>230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232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137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99</v>
      </c>
      <c r="B10" s="116" t="s">
        <v>135</v>
      </c>
      <c r="C10" s="116" t="s">
        <v>143</v>
      </c>
      <c r="D10" s="121" t="s">
        <v>119</v>
      </c>
      <c r="E10" s="121" t="s">
        <v>83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101</v>
      </c>
      <c r="B11" s="116" t="s">
        <v>125</v>
      </c>
      <c r="C11" s="116" t="s">
        <v>143</v>
      </c>
      <c r="D11" s="121" t="s">
        <v>84</v>
      </c>
      <c r="E11" s="121" t="s">
        <v>89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102</v>
      </c>
      <c r="B12" s="116" t="s">
        <v>136</v>
      </c>
      <c r="C12" s="116" t="s">
        <v>143</v>
      </c>
      <c r="D12" s="121" t="s">
        <v>114</v>
      </c>
      <c r="E12" s="121" t="s">
        <v>89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1" t="s">
        <v>45</v>
      </c>
      <c r="B14" s="302"/>
      <c r="C14" s="302"/>
      <c r="D14" s="302"/>
      <c r="E14" s="302"/>
      <c r="F14" s="302"/>
      <c r="G14" s="30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241</v>
      </c>
      <c r="V21" t="s">
        <v>109</v>
      </c>
    </row>
    <row r="22" spans="4:37" x14ac:dyDescent="0.2">
      <c r="D22" s="78" t="s">
        <v>230</v>
      </c>
      <c r="H22" s="4"/>
      <c r="V22" s="78" t="s">
        <v>242</v>
      </c>
    </row>
    <row r="23" spans="4:37" x14ac:dyDescent="0.2">
      <c r="D23" s="51" t="s">
        <v>240</v>
      </c>
      <c r="E23" s="51"/>
      <c r="F23" s="51"/>
      <c r="G23" s="51"/>
      <c r="H23" s="51"/>
      <c r="I23" s="51"/>
      <c r="V23" s="51" t="s">
        <v>243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abSelected="1" topLeftCell="B1" workbookViewId="0">
      <selection activeCell="W10" sqref="W10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7"/>
      <c r="J6" s="24" t="s">
        <v>26</v>
      </c>
      <c r="K6" s="25"/>
      <c r="L6" s="318" t="s">
        <v>9</v>
      </c>
      <c r="M6" s="319"/>
      <c r="N6" s="319"/>
      <c r="O6" s="319"/>
      <c r="P6" s="319"/>
      <c r="Q6" s="320"/>
      <c r="R6" s="24" t="s">
        <v>30</v>
      </c>
      <c r="S6" s="24" t="s">
        <v>10</v>
      </c>
      <c r="T6" s="23" t="s">
        <v>54</v>
      </c>
      <c r="U6" s="321" t="s">
        <v>2</v>
      </c>
      <c r="V6" s="32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99</v>
      </c>
      <c r="B10" s="139" t="s">
        <v>268</v>
      </c>
      <c r="C10" s="116" t="s">
        <v>143</v>
      </c>
      <c r="D10" s="121" t="s">
        <v>221</v>
      </c>
      <c r="E10" s="121" t="s">
        <v>86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100</v>
      </c>
      <c r="B11" s="139" t="s">
        <v>269</v>
      </c>
      <c r="C11" s="116" t="s">
        <v>143</v>
      </c>
      <c r="D11" s="121" t="s">
        <v>216</v>
      </c>
      <c r="E11" s="121" t="s">
        <v>86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101</v>
      </c>
      <c r="B12" s="139" t="s">
        <v>270</v>
      </c>
      <c r="C12" s="116" t="s">
        <v>143</v>
      </c>
      <c r="D12" s="121" t="s">
        <v>220</v>
      </c>
      <c r="E12" s="121" t="s">
        <v>86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102</v>
      </c>
      <c r="B13" s="139" t="s">
        <v>271</v>
      </c>
      <c r="C13" s="116" t="s">
        <v>143</v>
      </c>
      <c r="D13" s="121" t="s">
        <v>217</v>
      </c>
      <c r="E13" s="121" t="s">
        <v>86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103</v>
      </c>
      <c r="B14" s="139" t="s">
        <v>383</v>
      </c>
      <c r="C14" s="139" t="s">
        <v>143</v>
      </c>
      <c r="D14" s="124" t="s">
        <v>384</v>
      </c>
      <c r="E14" s="124" t="s">
        <v>86</v>
      </c>
      <c r="F14" s="151">
        <v>15</v>
      </c>
      <c r="G14" s="291">
        <f t="shared" si="7"/>
        <v>535.76200000000006</v>
      </c>
      <c r="H14" s="119">
        <v>8036.43</v>
      </c>
      <c r="I14" s="127">
        <f t="shared" ref="I14" si="13">SUM(H14:H14)</f>
        <v>8036.43</v>
      </c>
      <c r="J14" s="172">
        <v>0</v>
      </c>
      <c r="K14" s="172">
        <f t="shared" ref="K14" si="14">I14+J14</f>
        <v>8036.43</v>
      </c>
      <c r="L14" s="172">
        <f t="shared" ref="L14" si="15">VLOOKUP(K14,Tarifa1,1)</f>
        <v>5925.91</v>
      </c>
      <c r="M14" s="172">
        <f t="shared" ref="M14" si="16">K14-L14</f>
        <v>2110.5200000000004</v>
      </c>
      <c r="N14" s="173">
        <f t="shared" ref="N14" si="17">VLOOKUP(K14,Tarifa1,3)</f>
        <v>0.21360000000000001</v>
      </c>
      <c r="O14" s="172">
        <f t="shared" ref="O14" si="18">M14*N14</f>
        <v>450.80707200000012</v>
      </c>
      <c r="P14" s="174">
        <f t="shared" ref="P14" si="19">VLOOKUP(K14,Tarifa1,2)</f>
        <v>627.6</v>
      </c>
      <c r="Q14" s="172">
        <f t="shared" ref="Q14" si="20">O14+P14</f>
        <v>1078.4070720000002</v>
      </c>
      <c r="R14" s="172">
        <f t="shared" ref="R14" si="21">VLOOKUP(K14,Credito1,2)</f>
        <v>0</v>
      </c>
      <c r="S14" s="172">
        <f t="shared" ref="S14" si="22">Q14-R14</f>
        <v>1078.4070720000002</v>
      </c>
      <c r="T14" s="127">
        <f t="shared" ref="T14" si="23">-IF(S14&gt;0,0,S14)</f>
        <v>0</v>
      </c>
      <c r="U14" s="127">
        <f t="shared" ref="U14" si="24">IF(S14&lt;0,0,S14)</f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104</v>
      </c>
      <c r="B15" s="139" t="s">
        <v>272</v>
      </c>
      <c r="C15" s="116" t="s">
        <v>143</v>
      </c>
      <c r="D15" s="121" t="s">
        <v>218</v>
      </c>
      <c r="E15" s="121" t="s">
        <v>86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105</v>
      </c>
      <c r="B16" s="139" t="s">
        <v>273</v>
      </c>
      <c r="C16" s="116" t="s">
        <v>143</v>
      </c>
      <c r="D16" s="121" t="s">
        <v>219</v>
      </c>
      <c r="E16" s="121" t="s">
        <v>86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106</v>
      </c>
      <c r="B17" s="139" t="s">
        <v>274</v>
      </c>
      <c r="C17" s="116" t="s">
        <v>143</v>
      </c>
      <c r="D17" s="121" t="s">
        <v>222</v>
      </c>
      <c r="E17" s="121" t="s">
        <v>86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107</v>
      </c>
      <c r="B18" s="139" t="s">
        <v>275</v>
      </c>
      <c r="C18" s="116" t="s">
        <v>143</v>
      </c>
      <c r="D18" s="121" t="s">
        <v>223</v>
      </c>
      <c r="E18" s="121" t="s">
        <v>86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1" t="s">
        <v>45</v>
      </c>
      <c r="B20" s="302"/>
      <c r="C20" s="302"/>
      <c r="D20" s="302"/>
      <c r="E20" s="302"/>
      <c r="F20" s="302"/>
      <c r="G20" s="303"/>
      <c r="H20" s="39">
        <f>SUM(H10:H19)</f>
        <v>72327.87</v>
      </c>
      <c r="I20" s="39">
        <f>SUM(I10:I19)</f>
        <v>72327.87</v>
      </c>
      <c r="J20" s="40">
        <f t="shared" ref="J20:S20" si="25">SUM(J10:J19)</f>
        <v>0</v>
      </c>
      <c r="K20" s="40">
        <f t="shared" si="25"/>
        <v>72327.87</v>
      </c>
      <c r="L20" s="40">
        <f t="shared" si="25"/>
        <v>53333.19</v>
      </c>
      <c r="M20" s="40">
        <f t="shared" si="25"/>
        <v>18994.680000000004</v>
      </c>
      <c r="N20" s="40">
        <f t="shared" si="25"/>
        <v>1.9224000000000001</v>
      </c>
      <c r="O20" s="40">
        <f t="shared" si="25"/>
        <v>4057.263648000001</v>
      </c>
      <c r="P20" s="40">
        <f t="shared" si="25"/>
        <v>5648.4000000000005</v>
      </c>
      <c r="Q20" s="40">
        <f t="shared" si="25"/>
        <v>9705.6636480000016</v>
      </c>
      <c r="R20" s="40">
        <f t="shared" si="25"/>
        <v>0</v>
      </c>
      <c r="S20" s="40">
        <f t="shared" si="25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6" spans="1:37" x14ac:dyDescent="0.2">
      <c r="D26" s="78" t="s">
        <v>230</v>
      </c>
      <c r="H26" s="4"/>
    </row>
    <row r="27" spans="1:37" x14ac:dyDescent="0.2">
      <c r="D27" s="51" t="s">
        <v>244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2020-12-15T18:45:24Z</cp:lastPrinted>
  <dcterms:created xsi:type="dcterms:W3CDTF">2000-05-05T04:08:27Z</dcterms:created>
  <dcterms:modified xsi:type="dcterms:W3CDTF">2023-09-13T18:57:27Z</dcterms:modified>
</cp:coreProperties>
</file>