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7088A6A4-3FE3-4359-BA4C-FB3CDA92EEBA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SINDICO!$1:$26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32" l="1"/>
  <c r="L11" i="132" s="1"/>
  <c r="J11" i="132"/>
  <c r="K16" i="121"/>
  <c r="L16" i="121" s="1"/>
  <c r="J16" i="121"/>
  <c r="K17" i="121"/>
  <c r="L17" i="121" s="1"/>
  <c r="J17" i="121"/>
  <c r="Q11" i="132" l="1"/>
  <c r="M11" i="132"/>
  <c r="N11" i="132" s="1"/>
  <c r="S11" i="132"/>
  <c r="O11" i="132"/>
  <c r="Q16" i="121"/>
  <c r="M16" i="121"/>
  <c r="N16" i="121" s="1"/>
  <c r="S16" i="121"/>
  <c r="O16" i="121"/>
  <c r="Q17" i="121"/>
  <c r="M17" i="121"/>
  <c r="N17" i="121" s="1"/>
  <c r="S17" i="121"/>
  <c r="O17" i="121"/>
  <c r="P17" i="121" l="1"/>
  <c r="R17" i="121" s="1"/>
  <c r="T17" i="121" s="1"/>
  <c r="V17" i="121" s="1"/>
  <c r="W17" i="121" s="1"/>
  <c r="P11" i="132"/>
  <c r="R11" i="132" s="1"/>
  <c r="T11" i="132" s="1"/>
  <c r="V11" i="132" s="1"/>
  <c r="W11" i="132" s="1"/>
  <c r="P16" i="121"/>
  <c r="R16" i="121" s="1"/>
  <c r="T16" i="121" s="1"/>
  <c r="V16" i="121" s="1"/>
  <c r="W16" i="121" s="1"/>
  <c r="K11" i="133"/>
  <c r="L11" i="133" s="1"/>
  <c r="S11" i="133" s="1"/>
  <c r="J11" i="133"/>
  <c r="G11" i="133"/>
  <c r="U17" i="121" l="1"/>
  <c r="X17" i="121"/>
  <c r="U11" i="132"/>
  <c r="X11" i="132" s="1"/>
  <c r="U16" i="121"/>
  <c r="X16" i="121" s="1"/>
  <c r="M11" i="133"/>
  <c r="N11" i="133" s="1"/>
  <c r="Q11" i="133"/>
  <c r="O11" i="133"/>
  <c r="K10" i="134"/>
  <c r="L10" i="134" s="1"/>
  <c r="J10" i="134"/>
  <c r="K12" i="134"/>
  <c r="L12" i="134" s="1"/>
  <c r="J12" i="134"/>
  <c r="G10" i="134"/>
  <c r="I9" i="134"/>
  <c r="H9" i="134"/>
  <c r="K10" i="120"/>
  <c r="L10" i="120" s="1"/>
  <c r="J10" i="120"/>
  <c r="I16" i="119"/>
  <c r="H16" i="119"/>
  <c r="P11" i="133" l="1"/>
  <c r="R11" i="133"/>
  <c r="T11" i="133" s="1"/>
  <c r="V11" i="133" s="1"/>
  <c r="W11" i="133" s="1"/>
  <c r="Q10" i="134"/>
  <c r="M10" i="134"/>
  <c r="N10" i="134" s="1"/>
  <c r="S10" i="134"/>
  <c r="O10" i="134"/>
  <c r="S12" i="134"/>
  <c r="O12" i="134"/>
  <c r="Q12" i="134"/>
  <c r="M12" i="134"/>
  <c r="N12" i="134" s="1"/>
  <c r="J9" i="134"/>
  <c r="S10" i="120"/>
  <c r="O10" i="120"/>
  <c r="Q10" i="120"/>
  <c r="M10" i="120"/>
  <c r="N10" i="120" s="1"/>
  <c r="P12" i="134" l="1"/>
  <c r="R12" i="134" s="1"/>
  <c r="T12" i="134" s="1"/>
  <c r="U11" i="133"/>
  <c r="X11" i="133" s="1"/>
  <c r="P10" i="134"/>
  <c r="R10" i="134" s="1"/>
  <c r="T10" i="134" s="1"/>
  <c r="V10" i="134" s="1"/>
  <c r="W10" i="134" s="1"/>
  <c r="P10" i="120"/>
  <c r="R10" i="120" s="1"/>
  <c r="T10" i="120" s="1"/>
  <c r="V10" i="120" s="1"/>
  <c r="W10" i="120" s="1"/>
  <c r="V12" i="134" l="1"/>
  <c r="W12" i="134" s="1"/>
  <c r="U12" i="134"/>
  <c r="U10" i="134"/>
  <c r="U9" i="134" s="1"/>
  <c r="X10" i="134"/>
  <c r="W9" i="134"/>
  <c r="V9" i="134"/>
  <c r="U10" i="120"/>
  <c r="X10" i="120" s="1"/>
  <c r="X12" i="134" l="1"/>
  <c r="X9" i="134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/>
  <c r="K13" i="120" l="1"/>
  <c r="L13" i="120" s="1"/>
  <c r="J13" i="120"/>
  <c r="K12" i="120"/>
  <c r="L12" i="120" s="1"/>
  <c r="J12" i="120"/>
  <c r="K20" i="121"/>
  <c r="L20" i="121" s="1"/>
  <c r="J20" i="121"/>
  <c r="K19" i="123"/>
  <c r="L19" i="123" s="1"/>
  <c r="J19" i="123"/>
  <c r="K9" i="123"/>
  <c r="L9" i="123" s="1"/>
  <c r="J9" i="123"/>
  <c r="K14" i="132"/>
  <c r="L14" i="132" s="1"/>
  <c r="J14" i="132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19" i="123"/>
  <c r="O19" i="123"/>
  <c r="Q19" i="123"/>
  <c r="M19" i="123"/>
  <c r="N19" i="123" s="1"/>
  <c r="S9" i="123"/>
  <c r="O9" i="123"/>
  <c r="Q9" i="123"/>
  <c r="M9" i="123"/>
  <c r="N9" i="123" s="1"/>
  <c r="P9" i="123" s="1"/>
  <c r="R9" i="123" s="1"/>
  <c r="T9" i="123" s="1"/>
  <c r="Q14" i="132"/>
  <c r="M14" i="132"/>
  <c r="N14" i="132" s="1"/>
  <c r="S14" i="132"/>
  <c r="O14" i="132"/>
  <c r="S13" i="132"/>
  <c r="O13" i="132"/>
  <c r="Q13" i="132"/>
  <c r="M13" i="132"/>
  <c r="N13" i="132" s="1"/>
  <c r="S12" i="132"/>
  <c r="O12" i="132"/>
  <c r="Q12" i="132"/>
  <c r="M12" i="132"/>
  <c r="N12" i="132" s="1"/>
  <c r="Q10" i="132"/>
  <c r="M10" i="132"/>
  <c r="N10" i="132" s="1"/>
  <c r="S10" i="132"/>
  <c r="O10" i="132"/>
  <c r="J11" i="134"/>
  <c r="P12" i="132" l="1"/>
  <c r="R12" i="132" s="1"/>
  <c r="T12" i="132" s="1"/>
  <c r="P13" i="132"/>
  <c r="R13" i="132" s="1"/>
  <c r="P14" i="132"/>
  <c r="R14" i="132" s="1"/>
  <c r="T14" i="132" s="1"/>
  <c r="V14" i="132" s="1"/>
  <c r="W14" i="132" s="1"/>
  <c r="P10" i="132"/>
  <c r="R10" i="132" s="1"/>
  <c r="T10" i="132" s="1"/>
  <c r="V10" i="132" s="1"/>
  <c r="W10" i="132" s="1"/>
  <c r="P19" i="123"/>
  <c r="R19" i="123" s="1"/>
  <c r="T19" i="123" s="1"/>
  <c r="V19" i="123" s="1"/>
  <c r="W19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V9" i="123"/>
  <c r="W9" i="123" s="1"/>
  <c r="U9" i="123"/>
  <c r="U14" i="132"/>
  <c r="T13" i="132"/>
  <c r="U12" i="132"/>
  <c r="V12" i="132"/>
  <c r="W12" i="132" s="1"/>
  <c r="U10" i="132" l="1"/>
  <c r="U13" i="120"/>
  <c r="V12" i="120"/>
  <c r="W12" i="120" s="1"/>
  <c r="X12" i="120" s="1"/>
  <c r="U20" i="121"/>
  <c r="X20" i="121" s="1"/>
  <c r="X10" i="132"/>
  <c r="U19" i="123"/>
  <c r="X19" i="123" s="1"/>
  <c r="X13" i="120"/>
  <c r="X9" i="123"/>
  <c r="X14" i="132"/>
  <c r="V13" i="132"/>
  <c r="W13" i="132" s="1"/>
  <c r="U13" i="132"/>
  <c r="X12" i="132"/>
  <c r="V11" i="134"/>
  <c r="V14" i="134"/>
  <c r="X13" i="132" l="1"/>
  <c r="U14" i="134"/>
  <c r="U11" i="134"/>
  <c r="W14" i="134"/>
  <c r="W11" i="134"/>
  <c r="X14" i="134" l="1"/>
  <c r="X11" i="134"/>
  <c r="K12" i="133" l="1"/>
  <c r="L12" i="133" s="1"/>
  <c r="J12" i="133"/>
  <c r="Q12" i="133" l="1"/>
  <c r="M12" i="133"/>
  <c r="N12" i="133" s="1"/>
  <c r="S12" i="133"/>
  <c r="O12" i="133"/>
  <c r="P12" i="133" l="1"/>
  <c r="R12" i="133"/>
  <c r="T12" i="133" s="1"/>
  <c r="V12" i="133" s="1"/>
  <c r="W12" i="133" s="1"/>
  <c r="U12" i="133" l="1"/>
  <c r="X12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I21" i="135"/>
  <c r="J21" i="135" s="1"/>
  <c r="H21" i="135"/>
  <c r="X8" i="123" l="1"/>
  <c r="Q21" i="135"/>
  <c r="M21" i="135"/>
  <c r="O21" i="135"/>
  <c r="K21" i="135"/>
  <c r="L21" i="135" s="1"/>
  <c r="I12" i="135"/>
  <c r="J12" i="135" s="1"/>
  <c r="H12" i="135"/>
  <c r="N21" i="135" l="1"/>
  <c r="P21" i="135" s="1"/>
  <c r="R21" i="135" s="1"/>
  <c r="Q12" i="135"/>
  <c r="M12" i="135"/>
  <c r="O12" i="135"/>
  <c r="K12" i="135"/>
  <c r="L12" i="135" s="1"/>
  <c r="I20" i="135"/>
  <c r="J20" i="135" s="1"/>
  <c r="H20" i="135"/>
  <c r="I19" i="135"/>
  <c r="J19" i="135" s="1"/>
  <c r="H19" i="135"/>
  <c r="T21" i="135" l="1"/>
  <c r="U21" i="135" s="1"/>
  <c r="S21" i="135"/>
  <c r="N12" i="135"/>
  <c r="P12" i="135" s="1"/>
  <c r="R12" i="135" s="1"/>
  <c r="T12" i="135" s="1"/>
  <c r="U12" i="135" s="1"/>
  <c r="O20" i="135"/>
  <c r="K20" i="135"/>
  <c r="L20" i="135" s="1"/>
  <c r="Q20" i="135"/>
  <c r="M20" i="135"/>
  <c r="O19" i="135"/>
  <c r="K19" i="135"/>
  <c r="L19" i="135" s="1"/>
  <c r="Q19" i="135"/>
  <c r="M19" i="135"/>
  <c r="I18" i="135"/>
  <c r="J18" i="135" s="1"/>
  <c r="H18" i="135"/>
  <c r="V21" i="135" l="1"/>
  <c r="S12" i="135"/>
  <c r="V12" i="135" s="1"/>
  <c r="N19" i="135"/>
  <c r="P19" i="135" s="1"/>
  <c r="R19" i="135" s="1"/>
  <c r="T19" i="135" s="1"/>
  <c r="U19" i="135" s="1"/>
  <c r="N20" i="135"/>
  <c r="P20" i="135" s="1"/>
  <c r="R20" i="135" s="1"/>
  <c r="T20" i="135" s="1"/>
  <c r="U20" i="135" s="1"/>
  <c r="Q18" i="135"/>
  <c r="M18" i="135"/>
  <c r="O18" i="135"/>
  <c r="K18" i="135"/>
  <c r="L18" i="135" s="1"/>
  <c r="S19" i="135" l="1"/>
  <c r="S20" i="135"/>
  <c r="V20" i="135" s="1"/>
  <c r="N18" i="135"/>
  <c r="P18" i="135" s="1"/>
  <c r="R18" i="135" s="1"/>
  <c r="T18" i="135" s="1"/>
  <c r="U18" i="135" s="1"/>
  <c r="V19" i="135"/>
  <c r="S18" i="135" l="1"/>
  <c r="V18" i="135" s="1"/>
  <c r="K23" i="123" l="1"/>
  <c r="L23" i="123" s="1"/>
  <c r="J23" i="123"/>
  <c r="Q23" i="123" l="1"/>
  <c r="M23" i="123"/>
  <c r="N23" i="123" s="1"/>
  <c r="S23" i="123"/>
  <c r="O23" i="123"/>
  <c r="H13" i="136"/>
  <c r="G13" i="136"/>
  <c r="J11" i="136"/>
  <c r="J13" i="136" s="1"/>
  <c r="I11" i="136"/>
  <c r="F11" i="136"/>
  <c r="P23" i="123" l="1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U13" i="131" s="1"/>
  <c r="V13" i="131" s="1"/>
  <c r="P10" i="119"/>
  <c r="R10" i="119" s="1"/>
  <c r="T10" i="119" s="1"/>
  <c r="V10" i="119" s="1"/>
  <c r="W10" i="119" s="1"/>
  <c r="P9" i="119"/>
  <c r="R9" i="119" s="1"/>
  <c r="T9" i="119" s="1"/>
  <c r="V9" i="119" s="1"/>
  <c r="W9" i="119" s="1"/>
  <c r="T13" i="131" l="1"/>
  <c r="U9" i="119"/>
  <c r="X9" i="119" s="1"/>
  <c r="U10" i="119"/>
  <c r="X10" i="119" s="1"/>
  <c r="W13" i="131"/>
  <c r="K18" i="120" l="1"/>
  <c r="L18" i="120" s="1"/>
  <c r="J18" i="120"/>
  <c r="K17" i="120"/>
  <c r="L17" i="120" s="1"/>
  <c r="J17" i="120"/>
  <c r="Q18" i="120" l="1"/>
  <c r="S18" i="120"/>
  <c r="O18" i="120"/>
  <c r="M18" i="120"/>
  <c r="N18" i="120" s="1"/>
  <c r="S17" i="120"/>
  <c r="O17" i="120"/>
  <c r="Q17" i="120"/>
  <c r="M17" i="120"/>
  <c r="N17" i="120" s="1"/>
  <c r="K10" i="133"/>
  <c r="L10" i="133" s="1"/>
  <c r="J10" i="133"/>
  <c r="G10" i="133"/>
  <c r="P17" i="120" l="1"/>
  <c r="R17" i="120" s="1"/>
  <c r="T17" i="120" s="1"/>
  <c r="U17" i="120" s="1"/>
  <c r="P18" i="120"/>
  <c r="R18" i="120" s="1"/>
  <c r="T18" i="120" s="1"/>
  <c r="U18" i="120" s="1"/>
  <c r="S10" i="133"/>
  <c r="O10" i="133"/>
  <c r="Q10" i="133"/>
  <c r="M10" i="133"/>
  <c r="N10" i="133" s="1"/>
  <c r="V17" i="120" l="1"/>
  <c r="W17" i="120" s="1"/>
  <c r="X17" i="120" s="1"/>
  <c r="V18" i="120"/>
  <c r="W18" i="120" s="1"/>
  <c r="X18" i="120" s="1"/>
  <c r="P10" i="133"/>
  <c r="R10" i="133" s="1"/>
  <c r="T10" i="133" s="1"/>
  <c r="V10" i="133" s="1"/>
  <c r="W10" i="133" s="1"/>
  <c r="U10" i="133" l="1"/>
  <c r="X10" i="133" s="1"/>
  <c r="K13" i="133" l="1"/>
  <c r="L13" i="133" s="1"/>
  <c r="K14" i="133"/>
  <c r="L14" i="133" s="1"/>
  <c r="M14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L14" i="123" s="1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1" i="120"/>
  <c r="L11" i="120" s="1"/>
  <c r="K14" i="120"/>
  <c r="L14" i="120" s="1"/>
  <c r="M14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1" i="119"/>
  <c r="L21" i="119" s="1"/>
  <c r="K20" i="119"/>
  <c r="L20" i="119" s="1"/>
  <c r="K17" i="119"/>
  <c r="L17" i="119" s="1"/>
  <c r="K15" i="119"/>
  <c r="L15" i="119" s="1"/>
  <c r="K13" i="119"/>
  <c r="L13" i="119" s="1"/>
  <c r="K11" i="119"/>
  <c r="L11" i="119" s="1"/>
  <c r="Q18" i="121" l="1"/>
  <c r="O13" i="133"/>
  <c r="S13" i="133"/>
  <c r="M13" i="133"/>
  <c r="N13" i="133" s="1"/>
  <c r="Q13" i="133"/>
  <c r="S14" i="133"/>
  <c r="O14" i="133"/>
  <c r="N14" i="133"/>
  <c r="Q14" i="133"/>
  <c r="O11" i="118"/>
  <c r="M11" i="118"/>
  <c r="N11" i="118" s="1"/>
  <c r="Q11" i="118"/>
  <c r="M18" i="121"/>
  <c r="N18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O11" i="120"/>
  <c r="S11" i="120"/>
  <c r="M11" i="120"/>
  <c r="N11" i="120" s="1"/>
  <c r="Q11" i="120"/>
  <c r="S16" i="120"/>
  <c r="O16" i="120"/>
  <c r="S15" i="120"/>
  <c r="O15" i="120"/>
  <c r="S14" i="120"/>
  <c r="O14" i="120"/>
  <c r="N16" i="120"/>
  <c r="N15" i="120"/>
  <c r="N14" i="120"/>
  <c r="Q16" i="120"/>
  <c r="Q15" i="120"/>
  <c r="Q14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O20" i="119"/>
  <c r="S20" i="119"/>
  <c r="Q20" i="119"/>
  <c r="M20" i="119"/>
  <c r="N20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1" i="118" l="1"/>
  <c r="P14" i="121"/>
  <c r="R14" i="121" s="1"/>
  <c r="T14" i="121" s="1"/>
  <c r="P13" i="133"/>
  <c r="R13" i="133" s="1"/>
  <c r="T13" i="133" s="1"/>
  <c r="P14" i="133"/>
  <c r="R14" i="133" s="1"/>
  <c r="T14" i="133" s="1"/>
  <c r="R11" i="118"/>
  <c r="T11" i="118" s="1"/>
  <c r="P18" i="123"/>
  <c r="R18" i="123" s="1"/>
  <c r="T18" i="123" s="1"/>
  <c r="P14" i="123"/>
  <c r="R14" i="123" s="1"/>
  <c r="T14" i="123" s="1"/>
  <c r="P18" i="121"/>
  <c r="R18" i="121" s="1"/>
  <c r="T18" i="121" s="1"/>
  <c r="P28" i="121"/>
  <c r="R28" i="121" s="1"/>
  <c r="T28" i="121" s="1"/>
  <c r="P13" i="123"/>
  <c r="R13" i="123" s="1"/>
  <c r="T13" i="123" s="1"/>
  <c r="P14" i="120"/>
  <c r="R14" i="120" s="1"/>
  <c r="T14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P20" i="119"/>
  <c r="R20" i="119" s="1"/>
  <c r="T20" i="119" s="1"/>
  <c r="N10" i="135"/>
  <c r="P10" i="135" s="1"/>
  <c r="R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15" i="120"/>
  <c r="R15" i="120" s="1"/>
  <c r="T15" i="120" s="1"/>
  <c r="P11" i="120"/>
  <c r="R11" i="120" s="1"/>
  <c r="T11" i="120" s="1"/>
  <c r="P29" i="121"/>
  <c r="R29" i="121" s="1"/>
  <c r="T29" i="121" s="1"/>
  <c r="N9" i="135"/>
  <c r="P9" i="135" s="1"/>
  <c r="R9" i="135" s="1"/>
  <c r="P19" i="120"/>
  <c r="R19" i="120" s="1"/>
  <c r="T19" i="120" s="1"/>
  <c r="P10" i="121"/>
  <c r="R10" i="121" s="1"/>
  <c r="T10" i="121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4" i="133"/>
  <c r="G14" i="133"/>
  <c r="V14" i="123" l="1"/>
  <c r="W14" i="123" s="1"/>
  <c r="X14" i="123" s="1"/>
  <c r="V14" i="133" l="1"/>
  <c r="W14" i="133" s="1"/>
  <c r="J15" i="120"/>
  <c r="G15" i="120"/>
  <c r="J13" i="121"/>
  <c r="U14" i="133" l="1"/>
  <c r="X14" i="133" s="1"/>
  <c r="J9" i="120"/>
  <c r="J14" i="121"/>
  <c r="U15" i="120" l="1"/>
  <c r="U13" i="121"/>
  <c r="V13" i="121"/>
  <c r="W13" i="121" s="1"/>
  <c r="V15" i="120" l="1"/>
  <c r="W15" i="120" s="1"/>
  <c r="X15" i="120" s="1"/>
  <c r="X13" i="12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F22" i="135" l="1"/>
  <c r="G22" i="135"/>
  <c r="H16" i="135" l="1"/>
  <c r="J13" i="133" l="1"/>
  <c r="J11" i="123" l="1"/>
  <c r="I12" i="123" l="1"/>
  <c r="O22" i="135" l="1"/>
  <c r="K22" i="135"/>
  <c r="I22" i="135"/>
  <c r="H13" i="135"/>
  <c r="H10" i="135"/>
  <c r="H9" i="135"/>
  <c r="H14" i="135" l="1"/>
  <c r="H15" i="135"/>
  <c r="H11" i="135"/>
  <c r="J10" i="123"/>
  <c r="G11" i="123"/>
  <c r="I10" i="123"/>
  <c r="H10" i="123"/>
  <c r="H22" i="135" l="1"/>
  <c r="J22" i="135"/>
  <c r="J17" i="123"/>
  <c r="L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0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9" i="120"/>
  <c r="G19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4" i="120" l="1"/>
  <c r="J14" i="120" l="1"/>
  <c r="J21" i="123" l="1"/>
  <c r="J13" i="123" l="1"/>
  <c r="J12" i="123" l="1"/>
  <c r="J18" i="123" l="1"/>
  <c r="J16" i="123" s="1"/>
  <c r="J18" i="121" l="1"/>
  <c r="G23" i="123" l="1"/>
  <c r="I22" i="123"/>
  <c r="H22" i="123"/>
  <c r="G13" i="133" l="1"/>
  <c r="Q15" i="133"/>
  <c r="M15" i="133"/>
  <c r="K15" i="133"/>
  <c r="I15" i="133"/>
  <c r="U22" i="123" l="1"/>
  <c r="J22" i="123"/>
  <c r="H15" i="133"/>
  <c r="N15" i="133" l="1"/>
  <c r="V22" i="123"/>
  <c r="J15" i="133"/>
  <c r="L15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I12" i="119"/>
  <c r="H12" i="119"/>
  <c r="J11" i="119"/>
  <c r="H23" i="119" l="1"/>
  <c r="I23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1" i="120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20" i="120"/>
  <c r="J11" i="120"/>
  <c r="L12" i="127" l="1"/>
  <c r="H14" i="118"/>
  <c r="L25" i="123"/>
  <c r="L31" i="121"/>
  <c r="L14" i="118" l="1"/>
  <c r="K23" i="119" l="1"/>
  <c r="J20" i="119"/>
  <c r="J19" i="119" s="1"/>
  <c r="J15" i="119"/>
  <c r="J14" i="119" l="1"/>
  <c r="J8" i="119"/>
  <c r="J23" i="119" s="1"/>
  <c r="L23" i="119" l="1"/>
  <c r="Q12" i="127" l="1"/>
  <c r="O12" i="127"/>
  <c r="S12" i="127"/>
  <c r="S11" i="135" l="1"/>
  <c r="U17" i="123"/>
  <c r="S13" i="135"/>
  <c r="U18" i="131"/>
  <c r="V18" i="131" s="1"/>
  <c r="Q22" i="135"/>
  <c r="U18" i="123"/>
  <c r="V18" i="123"/>
  <c r="W18" i="123" s="1"/>
  <c r="V28" i="121"/>
  <c r="U28" i="121"/>
  <c r="U19" i="120"/>
  <c r="V19" i="120"/>
  <c r="W19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3" i="133"/>
  <c r="W13" i="133" s="1"/>
  <c r="U13" i="133"/>
  <c r="T15" i="131"/>
  <c r="U13" i="123"/>
  <c r="V13" i="123"/>
  <c r="W13" i="123" s="1"/>
  <c r="T16" i="135"/>
  <c r="U16" i="135" s="1"/>
  <c r="S16" i="135"/>
  <c r="S14" i="135"/>
  <c r="T14" i="135"/>
  <c r="U14" i="135" s="1"/>
  <c r="V17" i="119"/>
  <c r="U17" i="119"/>
  <c r="U16" i="119" s="1"/>
  <c r="U11" i="131"/>
  <c r="V11" i="131" s="1"/>
  <c r="T11" i="131"/>
  <c r="S15" i="135"/>
  <c r="T15" i="135"/>
  <c r="U15" i="135" s="1"/>
  <c r="M22" i="135"/>
  <c r="V14" i="120"/>
  <c r="W14" i="120" s="1"/>
  <c r="U14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5" i="133"/>
  <c r="U11" i="118"/>
  <c r="O15" i="133"/>
  <c r="O16" i="132"/>
  <c r="W11" i="119"/>
  <c r="U11" i="119"/>
  <c r="R20" i="131"/>
  <c r="N20" i="131"/>
  <c r="U12" i="118"/>
  <c r="Q20" i="120"/>
  <c r="O25" i="123"/>
  <c r="S23" i="119"/>
  <c r="S25" i="123"/>
  <c r="Q31" i="121"/>
  <c r="M20" i="120"/>
  <c r="M25" i="123"/>
  <c r="S14" i="118"/>
  <c r="O23" i="119"/>
  <c r="Q14" i="118"/>
  <c r="V11" i="120"/>
  <c r="W11" i="120" s="1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T13" i="135"/>
  <c r="U13" i="135" s="1"/>
  <c r="V13" i="135" s="1"/>
  <c r="T11" i="135"/>
  <c r="U11" i="135" s="1"/>
  <c r="V11" i="135" s="1"/>
  <c r="X13" i="123"/>
  <c r="T12" i="131"/>
  <c r="W12" i="131" s="1"/>
  <c r="X19" i="120"/>
  <c r="X18" i="123"/>
  <c r="X11" i="121"/>
  <c r="X18" i="121"/>
  <c r="X10" i="121"/>
  <c r="W16" i="131"/>
  <c r="W10" i="131"/>
  <c r="X14" i="120"/>
  <c r="W11" i="131"/>
  <c r="X13" i="133"/>
  <c r="X29" i="121"/>
  <c r="X21" i="123"/>
  <c r="X15" i="119"/>
  <c r="U27" i="121"/>
  <c r="T14" i="134"/>
  <c r="W28" i="121"/>
  <c r="W27" i="121" s="1"/>
  <c r="V27" i="121"/>
  <c r="V10" i="135"/>
  <c r="X17" i="119"/>
  <c r="X16" i="119" s="1"/>
  <c r="X13" i="119"/>
  <c r="W17" i="131"/>
  <c r="V15" i="135"/>
  <c r="U10" i="123"/>
  <c r="U16" i="123"/>
  <c r="V16" i="135"/>
  <c r="W11" i="123"/>
  <c r="W10" i="123" s="1"/>
  <c r="V10" i="123"/>
  <c r="N22" i="135"/>
  <c r="V14" i="135"/>
  <c r="X21" i="119"/>
  <c r="U12" i="123"/>
  <c r="W12" i="123"/>
  <c r="V12" i="123"/>
  <c r="V9" i="121"/>
  <c r="V31" i="121" s="1"/>
  <c r="U9" i="121"/>
  <c r="U31" i="121" s="1"/>
  <c r="V11" i="118"/>
  <c r="W11" i="118" s="1"/>
  <c r="X11" i="118" s="1"/>
  <c r="P15" i="133"/>
  <c r="X11" i="119"/>
  <c r="W20" i="123"/>
  <c r="V20" i="123"/>
  <c r="O20" i="131"/>
  <c r="R16" i="132"/>
  <c r="P16" i="132"/>
  <c r="U20" i="123"/>
  <c r="V12" i="118"/>
  <c r="W12" i="118" s="1"/>
  <c r="X12" i="118" s="1"/>
  <c r="N25" i="123"/>
  <c r="U11" i="120"/>
  <c r="N23" i="119"/>
  <c r="U14" i="119"/>
  <c r="N31" i="121"/>
  <c r="N12" i="127"/>
  <c r="U20" i="119"/>
  <c r="U19" i="119" s="1"/>
  <c r="V20" i="119"/>
  <c r="V19" i="119" s="1"/>
  <c r="N14" i="118"/>
  <c r="U25" i="123" l="1"/>
  <c r="W25" i="123"/>
  <c r="V16" i="123"/>
  <c r="V25" i="123" s="1"/>
  <c r="X28" i="121"/>
  <c r="X27" i="121" s="1"/>
  <c r="X17" i="123"/>
  <c r="X16" i="123" s="1"/>
  <c r="X11" i="123"/>
  <c r="X10" i="123" s="1"/>
  <c r="P22" i="135"/>
  <c r="X12" i="123"/>
  <c r="W9" i="121"/>
  <c r="W31" i="121" s="1"/>
  <c r="X9" i="121"/>
  <c r="R15" i="133"/>
  <c r="X20" i="123"/>
  <c r="U12" i="119"/>
  <c r="T16" i="132"/>
  <c r="Q20" i="131"/>
  <c r="W12" i="119"/>
  <c r="V12" i="119"/>
  <c r="W14" i="119"/>
  <c r="V14" i="119"/>
  <c r="W20" i="119"/>
  <c r="W19" i="119" s="1"/>
  <c r="X11" i="120"/>
  <c r="P14" i="118"/>
  <c r="P12" i="127"/>
  <c r="P31" i="121"/>
  <c r="P25" i="123"/>
  <c r="P23" i="119"/>
  <c r="X31" i="121" l="1"/>
  <c r="X25" i="123"/>
  <c r="T9" i="135"/>
  <c r="S9" i="135"/>
  <c r="R22" i="135"/>
  <c r="T15" i="133"/>
  <c r="V16" i="132"/>
  <c r="W16" i="132"/>
  <c r="U16" i="132"/>
  <c r="S20" i="131"/>
  <c r="X12" i="119"/>
  <c r="X14" i="119"/>
  <c r="X20" i="119"/>
  <c r="X19" i="119" s="1"/>
  <c r="R31" i="121"/>
  <c r="R25" i="123"/>
  <c r="R12" i="127"/>
  <c r="R14" i="118"/>
  <c r="R23" i="119"/>
  <c r="S22" i="135" l="1"/>
  <c r="T22" i="135"/>
  <c r="U9" i="135"/>
  <c r="U22" i="135" s="1"/>
  <c r="W15" i="133"/>
  <c r="V15" i="133"/>
  <c r="U15" i="133"/>
  <c r="X16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V9" i="135" l="1"/>
  <c r="V22" i="135" s="1"/>
  <c r="X15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<sst xmlns="http://schemas.openxmlformats.org/spreadsheetml/2006/main" count="1089" uniqueCount="307">
  <si>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</si>
  <si>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</si>
  <si>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</si>
  <si>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</si>
  <si>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</si>
  <si>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</si>
  <si>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</si>
  <si>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</si>
  <si>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</si>
  <si>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</si>
  <si>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</si>
  <si>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</si>
  <si>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</si>
  <si>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</si>
  <si>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</si>
  <si>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</si>
  <si>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</si>
  <si>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</si>
  <si>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</si>
  <si>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</si>
  <si>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</si>
  <si>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</si>
  <si>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</si>
  <si>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</si>
  <si>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</si>
  <si>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</si>
  <si>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</si>
  <si>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</si>
  <si>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</si>
  <si>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</si>
  <si>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</si>
  <si>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</si>
  <si>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</si>
  <si>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</si>
  <si>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</si>
  <si>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</si>
  <si>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</si>
  <si>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</si>
  <si>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</si>
  <si>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</si>
  <si>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</si>
  <si>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</si>
  <si>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</si>
  <si>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</si>
  <si>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</si>
  <si>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</si>
  <si>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</si>
  <si>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</si>
  <si>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</si>
  <si>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</si>
  <si>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</si>
  <si>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</si>
  <si>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</si>
  <si>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</si>
  <si>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</si>
  <si>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</si>
  <si>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</si>
  <si>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</si>
  <si>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</si>
  <si>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</si>
  <si>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</si>
  <si>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</si>
  <si>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</si>
  <si>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</si>
  <si>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</si>
  <si>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</si>
  <si>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</si>
  <si>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</si>
  <si>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</si>
  <si>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</si>
  <si>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</si>
  <si>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</si>
  <si>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</si>
  <si>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</si>
  <si>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</si>
  <si>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</si>
  <si>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</si>
  <si>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</si>
  <si>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</si>
  <si>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</si>
  <si>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</si>
  <si>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</si>
  <si>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</si>
  <si>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</si>
  <si>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</si>
  <si>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</si>
  <si>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</si>
  <si>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</si>
  <si>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</si>
  <si>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</si>
  <si>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</si>
  <si>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</si>
  <si>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</si>
  <si>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</si>
  <si>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</si>
  <si>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</si>
  <si>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</si>
  <si>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</si>
  <si>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</si>
  <si>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</si>
  <si>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</si>
  <si>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</si>
  <si>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</si>
  <si>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</si>
  <si>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</si>
  <si>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</si>
  <si>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</si>
  <si>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</si>
  <si>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</si>
  <si>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</si>
  <si>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</si>
  <si>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</si>
  <si>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</si>
  <si>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</si>
  <si>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</si>
  <si>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</si>
  <si>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</si>
  <si>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</si>
  <si>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</si>
  <si>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</si>
  <si>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</si>
  <si>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</si>
  <si>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</si>
  <si>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</si>
  <si>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</si>
  <si>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</si>
  <si>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</si>
  <si>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</si>
  <si>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</si>
  <si>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</si>
  <si>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</si>
  <si>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</si>
  <si>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</si>
  <si>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</si>
  <si>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</si>
  <si>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</si>
  <si>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</si>
  <si>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</si>
  <si>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</si>
  <si>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</si>
  <si>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</si>
  <si>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</si>
  <si>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</si>
  <si>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</si>
  <si>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</si>
  <si>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</si>
  <si>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</si>
  <si>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J CRUZ DIAZ OROZCO</t>
  </si>
  <si>
    <t>OPERADOR MOTOCONFORMADORA</t>
  </si>
  <si>
    <t>AUX. MODULO DE MAQUINARIA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</si>
  <si>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</si>
  <si>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</si>
  <si>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</si>
  <si>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</si>
  <si>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</si>
  <si>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</si>
  <si>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</si>
  <si>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</si>
  <si>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</si>
  <si>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</si>
  <si>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</si>
  <si>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</si>
  <si>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</si>
  <si>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</si>
  <si>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</si>
  <si>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</si>
  <si>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164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</si>
  <si>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</si>
  <si>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</si>
  <si>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</si>
  <si>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</si>
  <si>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</si>
  <si>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</si>
  <si>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</si>
  <si>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</si>
  <si>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</si>
  <si>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</si>
  <si>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ENCARGADO DE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</si>
  <si>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</si>
  <si>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</si>
  <si>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</si>
  <si>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</si>
  <si>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</si>
  <si>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</si>
  <si>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</si>
  <si>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</si>
  <si>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</si>
  <si>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</si>
  <si>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</si>
  <si>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</si>
  <si>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</si>
  <si>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</si>
  <si>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</si>
  <si>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</si>
  <si>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</si>
  <si>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</si>
  <si>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</si>
  <si>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</si>
  <si>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</si>
  <si>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</si>
  <si>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</si>
  <si>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</si>
  <si>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</si>
  <si>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</si>
  <si>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</si>
  <si>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</si>
  <si>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</si>
  <si>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</si>
  <si>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</si>
  <si>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</si>
  <si>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</si>
  <si>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</si>
  <si>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</si>
  <si>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</si>
  <si>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</si>
  <si>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</si>
  <si>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</si>
  <si>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</si>
  <si>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</si>
  <si>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</si>
  <si>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</si>
  <si>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</si>
  <si>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</si>
  <si>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</si>
  <si>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</si>
  <si>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</si>
  <si>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</si>
  <si>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</si>
  <si>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</si>
  <si>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</si>
  <si>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</si>
  <si>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</si>
  <si>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</si>
  <si>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</si>
  <si>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</si>
  <si>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</si>
  <si>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265</t>
  </si>
  <si>
    <t>266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</si>
  <si>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</si>
  <si>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</si>
  <si>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</si>
  <si>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</si>
  <si>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</si>
  <si>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</si>
  <si>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</si>
  <si>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</si>
  <si>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</si>
  <si>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</si>
  <si>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</si>
  <si>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</si>
  <si>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</si>
  <si>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</si>
  <si>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</si>
  <si>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</si>
  <si>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</si>
  <si>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</si>
  <si>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</si>
  <si>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</si>
  <si>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</si>
  <si>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</si>
  <si>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</si>
  <si>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</si>
  <si>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</si>
  <si>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</si>
  <si>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</si>
  <si>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</si>
  <si>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</si>
  <si>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</si>
  <si>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</si>
  <si>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</si>
  <si>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</si>
  <si>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</si>
  <si>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</si>
  <si>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</si>
  <si>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</si>
  <si>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</si>
  <si>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</si>
  <si>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</si>
  <si>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</si>
  <si>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</si>
  <si>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</si>
  <si>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</si>
  <si>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</si>
  <si>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</si>
  <si>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</si>
  <si>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</si>
  <si>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</si>
  <si>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</si>
  <si>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</si>
  <si>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</si>
  <si>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</si>
  <si>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</si>
  <si>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</si>
  <si>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</si>
  <si>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</si>
  <si>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</si>
  <si>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</si>
  <si>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</si>
  <si>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</si>
  <si>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</si>
  <si>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MEDICO MUNICIPAL</t>
  </si>
  <si>
    <t>JULIO ADRIÀN REYNOSO ARELLANO</t>
  </si>
  <si>
    <t>288</t>
  </si>
  <si>
    <t>SINDICO MUNICIPAL</t>
  </si>
  <si>
    <t>CHOFER DE AUTOBUS</t>
  </si>
  <si>
    <t>ROSA VIRIDIANA ARELLANO VEGA</t>
  </si>
  <si>
    <t>SUELDO  DEL 01 AL 15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</si>
</sst>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291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4" t="s">
        <v>232</v>
      </c>
    </row>
    <row r="3" spans="1:9" x14ac:dyDescent="0.2">
      <c r="B3" s="8" t="s">
        <v>49</v>
      </c>
      <c r="C3" s="7"/>
      <c r="D3" s="7"/>
      <c r="E3" s="7"/>
      <c r="F3" s="7"/>
      <c r="G3" s="7"/>
      <c r="I3" s="123">
        <v>141.69999999999999</v>
      </c>
    </row>
    <row r="4" spans="1:9" x14ac:dyDescent="0.2">
      <c r="B4" s="19" t="s">
        <v>230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42" t="s">
        <v>11</v>
      </c>
      <c r="C7" s="242"/>
      <c r="D7" s="242"/>
      <c r="E7" s="7"/>
      <c r="F7" s="243" t="s">
        <v>50</v>
      </c>
      <c r="G7" s="244"/>
      <c r="I7" s="124" t="s">
        <v>233</v>
      </c>
    </row>
    <row r="8" spans="1:9" ht="14.25" customHeight="1" x14ac:dyDescent="0.2">
      <c r="B8" s="245" t="s">
        <v>10</v>
      </c>
      <c r="C8" s="245"/>
      <c r="D8" s="245"/>
      <c r="E8" s="7"/>
      <c r="F8" s="246" t="s">
        <v>51</v>
      </c>
      <c r="G8" s="247"/>
      <c r="I8" s="123">
        <v>89.62</v>
      </c>
    </row>
    <row r="9" spans="1:9" ht="8.25" customHeight="1" x14ac:dyDescent="0.2">
      <c r="B9" s="239"/>
      <c r="C9" s="239"/>
      <c r="D9" s="239"/>
      <c r="E9" s="7"/>
      <c r="F9" s="240"/>
      <c r="G9" s="241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231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43" t="s">
        <v>55</v>
      </c>
      <c r="G32" s="244"/>
    </row>
    <row r="33" spans="2:7" x14ac:dyDescent="0.2">
      <c r="E33" s="7"/>
      <c r="F33" s="246" t="s">
        <v>56</v>
      </c>
      <c r="G33" s="247"/>
    </row>
    <row r="34" spans="2:7" ht="5.25" customHeight="1" x14ac:dyDescent="0.2">
      <c r="E34" s="7"/>
      <c r="F34" s="240"/>
      <c r="G34" s="241"/>
    </row>
    <row r="35" spans="2:7" x14ac:dyDescent="0.2">
      <c r="B35" s="242" t="s">
        <v>11</v>
      </c>
      <c r="C35" s="242"/>
      <c r="D35" s="242"/>
      <c r="E35" s="7"/>
      <c r="F35" s="9" t="s">
        <v>17</v>
      </c>
      <c r="G35" s="9" t="s">
        <v>18</v>
      </c>
    </row>
    <row r="36" spans="2:7" x14ac:dyDescent="0.2">
      <c r="B36" s="245" t="s">
        <v>10</v>
      </c>
      <c r="C36" s="245"/>
      <c r="D36" s="245"/>
      <c r="E36" s="7"/>
      <c r="F36" s="9"/>
      <c r="G36" s="9" t="s">
        <v>19</v>
      </c>
    </row>
    <row r="37" spans="2:7" x14ac:dyDescent="0.2">
      <c r="B37" s="239"/>
      <c r="C37" s="239"/>
      <c r="D37" s="239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62" t="s">
        <v>1</v>
      </c>
      <c r="H7" s="263"/>
      <c r="I7" s="264"/>
      <c r="J7" s="24" t="s">
        <v>26</v>
      </c>
      <c r="K7" s="25"/>
      <c r="L7" s="265" t="s">
        <v>9</v>
      </c>
      <c r="M7" s="266"/>
      <c r="N7" s="266"/>
      <c r="O7" s="266"/>
      <c r="P7" s="266"/>
      <c r="Q7" s="267"/>
      <c r="R7" s="24" t="s">
        <v>30</v>
      </c>
      <c r="S7" s="24" t="s">
        <v>10</v>
      </c>
      <c r="T7" s="23" t="s">
        <v>54</v>
      </c>
      <c r="U7" s="268" t="s">
        <v>2</v>
      </c>
      <c r="V7" s="269"/>
      <c r="W7" s="23" t="s">
        <v>0</v>
      </c>
      <c r="X7" s="34"/>
    </row>
    <row r="8" spans="1:25" ht="22.5" x14ac:dyDescent="0.2">
      <c r="A8" s="45" t="s">
        <v>104</v>
      </c>
      <c r="B8" s="45" t="s">
        <v>119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2" t="s">
        <v>77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3"/>
    </row>
    <row r="11" spans="1:25" ht="116.25" customHeight="1" x14ac:dyDescent="0.25">
      <c r="A11" s="178" t="s">
        <v>242</v>
      </c>
      <c r="B11" s="179" t="s">
        <v>118</v>
      </c>
      <c r="C11" s="181" t="s">
        <v>243</v>
      </c>
      <c r="D11" s="181" t="s">
        <v>303</v>
      </c>
      <c r="E11" s="182">
        <v>15</v>
      </c>
      <c r="F11" s="183">
        <f>G11/E11</f>
        <v>961.73333333333335</v>
      </c>
      <c r="G11" s="184">
        <v>14426</v>
      </c>
      <c r="H11" s="185">
        <v>0</v>
      </c>
      <c r="I11" s="186">
        <f>SUM(G11:H11)</f>
        <v>14426</v>
      </c>
      <c r="J11" s="187">
        <f>H11/2</f>
        <v>0</v>
      </c>
      <c r="K11" s="187">
        <f>G11+J11</f>
        <v>14426</v>
      </c>
      <c r="L11" s="187">
        <f t="shared" ref="L11" si="0">VLOOKUP(K11,Tarifa1,1)</f>
        <v>13316.71</v>
      </c>
      <c r="M11" s="187">
        <f>K11-L11</f>
        <v>1109.2900000000009</v>
      </c>
      <c r="N11" s="188">
        <f t="shared" ref="N11" si="1">VLOOKUP(K11,Tarifa1,3)</f>
        <v>0.23519999999999999</v>
      </c>
      <c r="O11" s="187">
        <f>M11*N11</f>
        <v>260.90500800000018</v>
      </c>
      <c r="P11" s="189">
        <f t="shared" ref="P11" si="2">VLOOKUP(K11,Tarifa1,2)</f>
        <v>2133.3000000000002</v>
      </c>
      <c r="Q11" s="187">
        <f>O11+P11</f>
        <v>2394.2050080000004</v>
      </c>
      <c r="R11" s="187">
        <f t="shared" ref="R11" si="3">VLOOKUP(K11,Credito1,2)</f>
        <v>0</v>
      </c>
      <c r="S11" s="187">
        <f>Q11-R11</f>
        <v>2394.2050080000004</v>
      </c>
      <c r="T11" s="186">
        <f>-IF(S11&gt;0,0,S11)</f>
        <v>0</v>
      </c>
      <c r="U11" s="186">
        <f>IF(S11&lt;0,0,S11)</f>
        <v>2394.2050080000004</v>
      </c>
      <c r="V11" s="186">
        <f>SUM(U11:U11)</f>
        <v>2394.2050080000004</v>
      </c>
      <c r="W11" s="186">
        <f>I11+T11-V11</f>
        <v>12031.794991999999</v>
      </c>
      <c r="X11" s="94"/>
    </row>
    <row r="12" spans="1:25" ht="18" x14ac:dyDescent="0.25">
      <c r="A12" s="214"/>
      <c r="B12" s="214"/>
      <c r="C12" s="214"/>
      <c r="D12" s="214"/>
      <c r="E12" s="215"/>
      <c r="F12" s="214"/>
      <c r="G12" s="216"/>
      <c r="H12" s="216"/>
      <c r="I12" s="216"/>
      <c r="J12" s="217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</row>
    <row r="13" spans="1:25" ht="41.25" customHeight="1" thickBot="1" x14ac:dyDescent="0.3">
      <c r="A13" s="249"/>
      <c r="B13" s="249"/>
      <c r="C13" s="249"/>
      <c r="D13" s="249"/>
      <c r="E13" s="249"/>
      <c r="F13" s="250"/>
      <c r="G13" s="193">
        <f t="shared" ref="G13:W13" si="4">SUM(G11:G12)</f>
        <v>14426</v>
      </c>
      <c r="H13" s="193">
        <f t="shared" si="4"/>
        <v>0</v>
      </c>
      <c r="I13" s="193">
        <f t="shared" si="4"/>
        <v>14426</v>
      </c>
      <c r="J13" s="194">
        <f t="shared" si="4"/>
        <v>0</v>
      </c>
      <c r="K13" s="194">
        <f t="shared" si="4"/>
        <v>14426</v>
      </c>
      <c r="L13" s="194">
        <f t="shared" si="4"/>
        <v>13316.71</v>
      </c>
      <c r="M13" s="194">
        <f t="shared" si="4"/>
        <v>1109.2900000000009</v>
      </c>
      <c r="N13" s="194">
        <f t="shared" si="4"/>
        <v>0.23519999999999999</v>
      </c>
      <c r="O13" s="194">
        <f t="shared" si="4"/>
        <v>260.90500800000018</v>
      </c>
      <c r="P13" s="194">
        <f t="shared" si="4"/>
        <v>2133.3000000000002</v>
      </c>
      <c r="Q13" s="194">
        <f t="shared" si="4"/>
        <v>2394.2050080000004</v>
      </c>
      <c r="R13" s="194">
        <f t="shared" si="4"/>
        <v>0</v>
      </c>
      <c r="S13" s="194">
        <f t="shared" si="4"/>
        <v>2394.2050080000004</v>
      </c>
      <c r="T13" s="193">
        <f t="shared" si="4"/>
        <v>0</v>
      </c>
      <c r="U13" s="193">
        <f t="shared" si="4"/>
        <v>2394.2050080000004</v>
      </c>
      <c r="V13" s="193">
        <f t="shared" si="4"/>
        <v>2394.2050080000004</v>
      </c>
      <c r="W13" s="193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8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7" hidden="1" customWidth="1"/>
    <col min="7" max="7" width="9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4"/>
      <c r="B9" s="231"/>
      <c r="C9" s="126"/>
      <c r="D9" s="159" t="s">
        <v>120</v>
      </c>
      <c r="E9" s="144" t="s">
        <v>62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6"/>
      <c r="U9" s="144"/>
      <c r="V9" s="144"/>
      <c r="W9" s="144"/>
      <c r="X9" s="144"/>
      <c r="Y9" s="41"/>
    </row>
    <row r="10" spans="1:25" s="95" customFormat="1" ht="80.099999999999994" customHeight="1" x14ac:dyDescent="0.25">
      <c r="A10" s="118" t="s">
        <v>88</v>
      </c>
      <c r="B10" s="178" t="s">
        <v>173</v>
      </c>
      <c r="C10" s="234" t="s">
        <v>118</v>
      </c>
      <c r="D10" s="232" t="s">
        <v>162</v>
      </c>
      <c r="E10" s="180" t="s">
        <v>121</v>
      </c>
      <c r="F10" s="182">
        <v>15</v>
      </c>
      <c r="G10" s="183"/>
      <c r="H10" s="184">
        <v>3868.5</v>
      </c>
      <c r="I10" s="185">
        <v>0</v>
      </c>
      <c r="J10" s="186">
        <f>SUM(H10:I10)</f>
        <v>3868.5</v>
      </c>
      <c r="K10" s="187">
        <f>IF(H10/15&lt;=SMG,0,I10/2)</f>
        <v>0</v>
      </c>
      <c r="L10" s="187">
        <f t="shared" ref="L10:L11" si="0">H10+K10</f>
        <v>3868.5</v>
      </c>
      <c r="M10" s="187">
        <f>VLOOKUP(L10,Tarifa1,1)</f>
        <v>2699.41</v>
      </c>
      <c r="N10" s="187">
        <f t="shared" ref="N10:N11" si="1">L10-M10</f>
        <v>1169.0900000000001</v>
      </c>
      <c r="O10" s="188">
        <f>VLOOKUP(L10,Tarifa1,3)</f>
        <v>0.10879999999999999</v>
      </c>
      <c r="P10" s="187">
        <f t="shared" ref="P10:P11" si="2">N10*O10</f>
        <v>127.19699200000001</v>
      </c>
      <c r="Q10" s="189">
        <f>VLOOKUP(L10,Tarifa1,2)</f>
        <v>158.55000000000001</v>
      </c>
      <c r="R10" s="187">
        <f t="shared" ref="R10:R11" si="3">P10+Q10</f>
        <v>285.74699200000003</v>
      </c>
      <c r="S10" s="190">
        <f>VLOOKUP(L10,Credito1,2)</f>
        <v>0</v>
      </c>
      <c r="T10" s="187">
        <f t="shared" ref="T10:T11" si="4">ROUND(R10-S10,2)</f>
        <v>285.75</v>
      </c>
      <c r="U10" s="186">
        <f>-IF(T10&gt;0,0,T10)</f>
        <v>0</v>
      </c>
      <c r="V10" s="195">
        <f>IF(T10&lt;0,0,T10)</f>
        <v>285.75</v>
      </c>
      <c r="W10" s="186">
        <f>SUM(V10:V10)</f>
        <v>285.75</v>
      </c>
      <c r="X10" s="186">
        <f>J10+U10-W10</f>
        <v>3582.75</v>
      </c>
      <c r="Y10" s="94"/>
    </row>
    <row r="11" spans="1:25" s="95" customFormat="1" ht="80.099999999999994" customHeight="1" x14ac:dyDescent="0.25">
      <c r="A11" s="197"/>
      <c r="B11" s="225">
        <v>188</v>
      </c>
      <c r="C11" s="234" t="s">
        <v>118</v>
      </c>
      <c r="D11" s="226" t="s">
        <v>174</v>
      </c>
      <c r="E11" s="181" t="s">
        <v>304</v>
      </c>
      <c r="F11" s="182">
        <v>15</v>
      </c>
      <c r="G11" s="183"/>
      <c r="H11" s="184">
        <v>4909.5</v>
      </c>
      <c r="I11" s="185">
        <v>0</v>
      </c>
      <c r="J11" s="186">
        <f>SUM(H11:I11)</f>
        <v>4909.5</v>
      </c>
      <c r="K11" s="187">
        <f>IF(H11/15&lt;=SMG,0,I11/2)</f>
        <v>0</v>
      </c>
      <c r="L11" s="187">
        <f t="shared" si="0"/>
        <v>4909.5</v>
      </c>
      <c r="M11" s="187">
        <f>VLOOKUP(L11,Tarifa1,1)</f>
        <v>4744.0600000000004</v>
      </c>
      <c r="N11" s="187">
        <f t="shared" si="1"/>
        <v>165.4399999999996</v>
      </c>
      <c r="O11" s="188">
        <f>VLOOKUP(L11,Tarifa1,3)</f>
        <v>0.16</v>
      </c>
      <c r="P11" s="187">
        <f t="shared" si="2"/>
        <v>26.470399999999938</v>
      </c>
      <c r="Q11" s="189">
        <f>VLOOKUP(L11,Tarifa1,2)</f>
        <v>381</v>
      </c>
      <c r="R11" s="187">
        <f t="shared" si="3"/>
        <v>407.47039999999993</v>
      </c>
      <c r="S11" s="190">
        <f>VLOOKUP(L11,Credito1,2)</f>
        <v>0</v>
      </c>
      <c r="T11" s="187">
        <f t="shared" si="4"/>
        <v>407.47</v>
      </c>
      <c r="U11" s="186">
        <f>-IF(T11&gt;0,0,T11)</f>
        <v>0</v>
      </c>
      <c r="V11" s="186">
        <f>IF(T11&lt;0,0,T11)</f>
        <v>407.47</v>
      </c>
      <c r="W11" s="186">
        <f>SUM(V11:V11)</f>
        <v>407.47</v>
      </c>
      <c r="X11" s="186">
        <f>J11+U11-W11</f>
        <v>4502.03</v>
      </c>
      <c r="Y11" s="94"/>
    </row>
    <row r="12" spans="1:25" s="95" customFormat="1" ht="80.099999999999994" customHeight="1" x14ac:dyDescent="0.25">
      <c r="A12" s="235"/>
      <c r="B12" s="179" t="s">
        <v>271</v>
      </c>
      <c r="C12" s="179" t="s">
        <v>118</v>
      </c>
      <c r="D12" s="191" t="s">
        <v>272</v>
      </c>
      <c r="E12" s="180" t="s">
        <v>121</v>
      </c>
      <c r="F12" s="182">
        <v>15</v>
      </c>
      <c r="G12" s="183"/>
      <c r="H12" s="184">
        <v>3868.5</v>
      </c>
      <c r="I12" s="185">
        <v>0</v>
      </c>
      <c r="J12" s="186">
        <f>SUM(H12:I12)</f>
        <v>3868.5</v>
      </c>
      <c r="K12" s="187">
        <f>IF(H12/15&lt;=SMG,0,I12/2)</f>
        <v>0</v>
      </c>
      <c r="L12" s="187">
        <f t="shared" ref="L12:L14" si="5">H12+K12</f>
        <v>3868.5</v>
      </c>
      <c r="M12" s="187">
        <f>VLOOKUP(L12,Tarifa1,1)</f>
        <v>2699.41</v>
      </c>
      <c r="N12" s="187">
        <f t="shared" ref="N12:N14" si="6">L12-M12</f>
        <v>1169.0900000000001</v>
      </c>
      <c r="O12" s="188">
        <f>VLOOKUP(L12,Tarifa1,3)</f>
        <v>0.10879999999999999</v>
      </c>
      <c r="P12" s="187">
        <f t="shared" ref="P12:P14" si="7">N12*O12</f>
        <v>127.19699200000001</v>
      </c>
      <c r="Q12" s="189">
        <f>VLOOKUP(L12,Tarifa1,2)</f>
        <v>158.55000000000001</v>
      </c>
      <c r="R12" s="187">
        <f t="shared" ref="R12:R14" si="8">P12+Q12</f>
        <v>285.74699200000003</v>
      </c>
      <c r="S12" s="190">
        <f>VLOOKUP(L12,Credito1,2)</f>
        <v>0</v>
      </c>
      <c r="T12" s="187">
        <f t="shared" ref="T12:T14" si="9">ROUND(R12-S12,2)</f>
        <v>285.75</v>
      </c>
      <c r="U12" s="186">
        <f>-IF(T12&gt;0,0,T12)</f>
        <v>0</v>
      </c>
      <c r="V12" s="195">
        <f>IF(T12&lt;0,0,T12)</f>
        <v>285.75</v>
      </c>
      <c r="W12" s="186">
        <f>SUM(V12:V12)</f>
        <v>285.75</v>
      </c>
      <c r="X12" s="186">
        <f>J12+U12-W12</f>
        <v>3582.75</v>
      </c>
      <c r="Y12" s="94"/>
    </row>
    <row r="13" spans="1:25" s="95" customFormat="1" ht="80.099999999999994" customHeight="1" x14ac:dyDescent="0.25">
      <c r="A13" s="235"/>
      <c r="B13" s="178" t="s">
        <v>229</v>
      </c>
      <c r="C13" s="178" t="s">
        <v>118</v>
      </c>
      <c r="D13" s="206" t="s">
        <v>228</v>
      </c>
      <c r="E13" s="180" t="s">
        <v>121</v>
      </c>
      <c r="F13" s="182">
        <v>15</v>
      </c>
      <c r="G13" s="183"/>
      <c r="H13" s="184">
        <v>3868.5</v>
      </c>
      <c r="I13" s="185">
        <v>0</v>
      </c>
      <c r="J13" s="186">
        <f>SUM(H13:I13)</f>
        <v>3868.5</v>
      </c>
      <c r="K13" s="187">
        <f>IF(H13/15&lt;=SMG,0,I13/2)</f>
        <v>0</v>
      </c>
      <c r="L13" s="187">
        <f t="shared" si="5"/>
        <v>3868.5</v>
      </c>
      <c r="M13" s="187">
        <f>VLOOKUP(L13,Tarifa1,1)</f>
        <v>2699.41</v>
      </c>
      <c r="N13" s="187">
        <f t="shared" si="6"/>
        <v>1169.0900000000001</v>
      </c>
      <c r="O13" s="188">
        <f>VLOOKUP(L13,Tarifa1,3)</f>
        <v>0.10879999999999999</v>
      </c>
      <c r="P13" s="187">
        <f t="shared" si="7"/>
        <v>127.19699200000001</v>
      </c>
      <c r="Q13" s="189">
        <f>VLOOKUP(L13,Tarifa1,2)</f>
        <v>158.55000000000001</v>
      </c>
      <c r="R13" s="187">
        <f t="shared" si="8"/>
        <v>285.74699200000003</v>
      </c>
      <c r="S13" s="190">
        <f>VLOOKUP(L13,Credito1,2)</f>
        <v>0</v>
      </c>
      <c r="T13" s="187">
        <f t="shared" si="9"/>
        <v>285.75</v>
      </c>
      <c r="U13" s="186">
        <f>-IF(T13&gt;0,0,T13)</f>
        <v>0</v>
      </c>
      <c r="V13" s="195">
        <f>IF(T13&lt;0,0,T13)</f>
        <v>285.75</v>
      </c>
      <c r="W13" s="186">
        <f>SUM(V13:V13)</f>
        <v>285.75</v>
      </c>
      <c r="X13" s="186">
        <f>J13+U13-W13</f>
        <v>3582.75</v>
      </c>
      <c r="Y13" s="94"/>
    </row>
    <row r="14" spans="1:25" s="95" customFormat="1" ht="80.099999999999994" customHeight="1" x14ac:dyDescent="0.25">
      <c r="A14" s="214"/>
      <c r="B14" s="225">
        <v>284</v>
      </c>
      <c r="C14" s="179" t="s">
        <v>118</v>
      </c>
      <c r="D14" s="233" t="s">
        <v>268</v>
      </c>
      <c r="E14" s="180" t="s">
        <v>121</v>
      </c>
      <c r="F14" s="182">
        <v>15</v>
      </c>
      <c r="G14" s="183"/>
      <c r="H14" s="184">
        <v>3868.5</v>
      </c>
      <c r="I14" s="185">
        <v>0</v>
      </c>
      <c r="J14" s="186">
        <f>SUM(H14:I14)</f>
        <v>3868.5</v>
      </c>
      <c r="K14" s="187">
        <f>IF(H14/15&lt;=SMG,0,I14/2)</f>
        <v>0</v>
      </c>
      <c r="L14" s="187">
        <f t="shared" si="5"/>
        <v>3868.5</v>
      </c>
      <c r="M14" s="187">
        <f>VLOOKUP(L14,Tarifa1,1)</f>
        <v>2699.41</v>
      </c>
      <c r="N14" s="187">
        <f t="shared" si="6"/>
        <v>1169.0900000000001</v>
      </c>
      <c r="O14" s="188">
        <f>VLOOKUP(L14,Tarifa1,3)</f>
        <v>0.10879999999999999</v>
      </c>
      <c r="P14" s="187">
        <f t="shared" si="7"/>
        <v>127.19699200000001</v>
      </c>
      <c r="Q14" s="189">
        <f>VLOOKUP(L14,Tarifa1,2)</f>
        <v>158.55000000000001</v>
      </c>
      <c r="R14" s="187">
        <f t="shared" si="8"/>
        <v>285.74699200000003</v>
      </c>
      <c r="S14" s="190">
        <f>VLOOKUP(L14,Credito1,2)</f>
        <v>0</v>
      </c>
      <c r="T14" s="187">
        <f t="shared" si="9"/>
        <v>285.75</v>
      </c>
      <c r="U14" s="186">
        <f>-IF(T14&gt;0,0,T14)</f>
        <v>0</v>
      </c>
      <c r="V14" s="195">
        <f>IF(T14&lt;0,0,T14)</f>
        <v>285.75</v>
      </c>
      <c r="W14" s="186">
        <f>SUM(V14:V14)</f>
        <v>285.75</v>
      </c>
      <c r="X14" s="186">
        <f>J14+U14-W14</f>
        <v>3582.75</v>
      </c>
      <c r="Y14" s="94"/>
    </row>
    <row r="15" spans="1:25" ht="18" x14ac:dyDescent="0.25">
      <c r="A15" s="214"/>
      <c r="B15" s="214"/>
      <c r="C15" s="214"/>
      <c r="D15" s="214"/>
      <c r="E15" s="214"/>
      <c r="F15" s="215"/>
      <c r="G15" s="214"/>
      <c r="H15" s="216"/>
      <c r="I15" s="216"/>
      <c r="J15" s="216"/>
      <c r="K15" s="217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</row>
    <row r="16" spans="1:25" ht="45" customHeight="1" thickBot="1" x14ac:dyDescent="0.3">
      <c r="A16" s="248" t="s">
        <v>45</v>
      </c>
      <c r="B16" s="249"/>
      <c r="C16" s="249"/>
      <c r="D16" s="249"/>
      <c r="E16" s="249"/>
      <c r="F16" s="249"/>
      <c r="G16" s="250"/>
      <c r="H16" s="193">
        <f t="shared" ref="H16:X16" si="10">SUM(H10:H15)</f>
        <v>20383.5</v>
      </c>
      <c r="I16" s="193">
        <f t="shared" si="10"/>
        <v>0</v>
      </c>
      <c r="J16" s="193">
        <f t="shared" si="10"/>
        <v>20383.5</v>
      </c>
      <c r="K16" s="194">
        <f t="shared" si="10"/>
        <v>0</v>
      </c>
      <c r="L16" s="194">
        <f t="shared" si="10"/>
        <v>20383.5</v>
      </c>
      <c r="M16" s="194">
        <f t="shared" si="10"/>
        <v>15541.7</v>
      </c>
      <c r="N16" s="194">
        <f t="shared" si="10"/>
        <v>4841.8</v>
      </c>
      <c r="O16" s="194">
        <f t="shared" si="10"/>
        <v>0.59519999999999995</v>
      </c>
      <c r="P16" s="194">
        <f t="shared" si="10"/>
        <v>535.25836800000002</v>
      </c>
      <c r="Q16" s="194">
        <f t="shared" si="10"/>
        <v>1015.1999999999998</v>
      </c>
      <c r="R16" s="194">
        <f t="shared" si="10"/>
        <v>1550.4583680000003</v>
      </c>
      <c r="S16" s="194">
        <f t="shared" si="10"/>
        <v>0</v>
      </c>
      <c r="T16" s="194">
        <f t="shared" si="10"/>
        <v>1550.47</v>
      </c>
      <c r="U16" s="193">
        <f t="shared" si="10"/>
        <v>0</v>
      </c>
      <c r="V16" s="193">
        <f t="shared" si="10"/>
        <v>1550.47</v>
      </c>
      <c r="W16" s="193">
        <f t="shared" si="10"/>
        <v>1550.47</v>
      </c>
      <c r="X16" s="193">
        <f t="shared" si="10"/>
        <v>18833.03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4 D12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B4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10.5703125" style="68" customWidth="1"/>
    <col min="3" max="3" width="9" style="68" customWidth="1"/>
    <col min="4" max="4" width="24.28515625" style="68" customWidth="1"/>
    <col min="5" max="5" width="6.5703125" style="68" hidden="1" customWidth="1"/>
    <col min="6" max="6" width="17.5703125" style="68" customWidth="1"/>
    <col min="7" max="7" width="10.7109375" style="68" customWidth="1"/>
    <col min="8" max="8" width="14" style="68" hidden="1" customWidth="1"/>
    <col min="9" max="9" width="12.7109375" style="68" hidden="1" customWidth="1"/>
    <col min="10" max="10" width="13.140625" style="68" hidden="1" customWidth="1"/>
    <col min="11" max="13" width="11" style="68" hidden="1" customWidth="1"/>
    <col min="14" max="15" width="13.140625" style="68" hidden="1" customWidth="1"/>
    <col min="16" max="16" width="10.5703125" style="68" hidden="1" customWidth="1"/>
    <col min="17" max="17" width="10.42578125" style="68" hidden="1" customWidth="1"/>
    <col min="18" max="18" width="13.140625" style="68" hidden="1" customWidth="1"/>
    <col min="19" max="19" width="11.5703125" style="68" hidden="1" customWidth="1"/>
    <col min="20" max="21" width="13.28515625" style="68" customWidth="1"/>
    <col min="22" max="22" width="15.42578125" style="68" customWidth="1"/>
    <col min="23" max="23" width="90.42578125" style="68" customWidth="1"/>
    <col min="24" max="24" width="73.42578125" style="68" customWidth="1"/>
    <col min="25" max="16384" width="11.42578125" style="68"/>
  </cols>
  <sheetData>
    <row r="1" spans="1:25" ht="18" x14ac:dyDescent="0.2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4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4"/>
    </row>
    <row r="3" spans="1:25" ht="15" x14ac:dyDescent="0.2">
      <c r="A3" s="42" t="s">
        <v>208</v>
      </c>
      <c r="B3" s="282" t="s">
        <v>306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89"/>
      <c r="Y3" s="8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62" t="s">
        <v>1</v>
      </c>
      <c r="G5" s="263"/>
      <c r="H5" s="264"/>
      <c r="I5" s="24" t="s">
        <v>26</v>
      </c>
      <c r="J5" s="25"/>
      <c r="K5" s="265" t="s">
        <v>9</v>
      </c>
      <c r="L5" s="266"/>
      <c r="M5" s="266"/>
      <c r="N5" s="266"/>
      <c r="O5" s="266"/>
      <c r="P5" s="267"/>
      <c r="Q5" s="24" t="s">
        <v>30</v>
      </c>
      <c r="R5" s="24" t="s">
        <v>10</v>
      </c>
      <c r="S5" s="23" t="s">
        <v>54</v>
      </c>
      <c r="T5" s="268" t="s">
        <v>2</v>
      </c>
      <c r="U5" s="269"/>
      <c r="V5" s="23" t="s">
        <v>0</v>
      </c>
      <c r="W5" s="110"/>
      <c r="X5" s="4"/>
    </row>
    <row r="6" spans="1:25" ht="32.25" customHeight="1" x14ac:dyDescent="0.2">
      <c r="A6" s="26" t="s">
        <v>21</v>
      </c>
      <c r="B6" s="45" t="s">
        <v>104</v>
      </c>
      <c r="C6" s="45" t="s">
        <v>119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133</v>
      </c>
      <c r="S7" s="26" t="s">
        <v>53</v>
      </c>
      <c r="T7" s="26"/>
      <c r="U7" s="26" t="s">
        <v>44</v>
      </c>
      <c r="V7" s="26" t="s">
        <v>5</v>
      </c>
      <c r="W7" s="111"/>
      <c r="X7" s="4"/>
    </row>
    <row r="8" spans="1:25" ht="28.5" customHeight="1" x14ac:dyDescent="0.25">
      <c r="A8" s="39"/>
      <c r="B8" s="109"/>
      <c r="C8" s="109"/>
      <c r="D8" s="37" t="s">
        <v>62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0"/>
      <c r="X8" s="4"/>
    </row>
    <row r="9" spans="1:25" ht="77.099999999999994" customHeight="1" x14ac:dyDescent="0.25">
      <c r="A9" s="118" t="s">
        <v>86</v>
      </c>
      <c r="B9" s="179" t="s">
        <v>141</v>
      </c>
      <c r="C9" s="179" t="s">
        <v>118</v>
      </c>
      <c r="D9" s="180" t="s">
        <v>68</v>
      </c>
      <c r="E9" s="182">
        <v>15</v>
      </c>
      <c r="F9" s="184">
        <v>9993</v>
      </c>
      <c r="G9" s="185">
        <v>0</v>
      </c>
      <c r="H9" s="186">
        <f t="shared" ref="H9:H15" si="0">SUM(F9:G9)</f>
        <v>9993</v>
      </c>
      <c r="I9" s="187">
        <f t="shared" ref="I9:I17" si="1">IF(F9/15&lt;=SMG,0,G9/2)</f>
        <v>0</v>
      </c>
      <c r="J9" s="187">
        <f t="shared" ref="J9" si="2">F9+I9</f>
        <v>9993</v>
      </c>
      <c r="K9" s="187">
        <f t="shared" ref="K9:K17" si="3">VLOOKUP(J9,Tarifa1,1)</f>
        <v>6602.71</v>
      </c>
      <c r="L9" s="187">
        <f t="shared" ref="L9" si="4">J9-K9</f>
        <v>3390.29</v>
      </c>
      <c r="M9" s="188">
        <f t="shared" ref="M9:M17" si="5">VLOOKUP(J9,Tarifa1,3)</f>
        <v>0.21360000000000001</v>
      </c>
      <c r="N9" s="187">
        <f t="shared" ref="N9" si="6">L9*M9</f>
        <v>724.16594400000008</v>
      </c>
      <c r="O9" s="189">
        <f t="shared" ref="O9:O17" si="7">VLOOKUP(J9,Tarifa1,2)</f>
        <v>699.3</v>
      </c>
      <c r="P9" s="187">
        <f t="shared" ref="P9" si="8">N9+O9</f>
        <v>1423.465944</v>
      </c>
      <c r="Q9" s="187">
        <f t="shared" ref="Q9:Q17" si="9">VLOOKUP(J9,Credito1,2)</f>
        <v>0</v>
      </c>
      <c r="R9" s="187">
        <f t="shared" ref="R9" si="10">ROUND(P9-Q9,2)</f>
        <v>1423.47</v>
      </c>
      <c r="S9" s="186">
        <f t="shared" ref="S9:S11" si="11">-IF(R9&gt;0,0,R9)</f>
        <v>0</v>
      </c>
      <c r="T9" s="186">
        <f t="shared" ref="T9:T11" si="12">IF(R9&lt;0,0,R9)</f>
        <v>1423.47</v>
      </c>
      <c r="U9" s="186">
        <f>SUM(T9:T9)</f>
        <v>1423.47</v>
      </c>
      <c r="V9" s="186">
        <f>H9+S9-U9</f>
        <v>8569.5300000000007</v>
      </c>
      <c r="W9" s="90"/>
      <c r="X9" s="4"/>
    </row>
    <row r="10" spans="1:25" s="95" customFormat="1" ht="77.099999999999994" customHeight="1" x14ac:dyDescent="0.25">
      <c r="A10" s="118"/>
      <c r="B10" s="179" t="s">
        <v>195</v>
      </c>
      <c r="C10" s="179" t="s">
        <v>118</v>
      </c>
      <c r="D10" s="180" t="s">
        <v>82</v>
      </c>
      <c r="E10" s="182">
        <v>15</v>
      </c>
      <c r="F10" s="184">
        <v>8164</v>
      </c>
      <c r="G10" s="185">
        <v>0</v>
      </c>
      <c r="H10" s="186">
        <f t="shared" si="0"/>
        <v>8164</v>
      </c>
      <c r="I10" s="187">
        <f t="shared" si="1"/>
        <v>0</v>
      </c>
      <c r="J10" s="187">
        <f t="shared" ref="J10:J17" si="13">F10+I10</f>
        <v>8164</v>
      </c>
      <c r="K10" s="187">
        <f t="shared" si="3"/>
        <v>6602.71</v>
      </c>
      <c r="L10" s="187">
        <f t="shared" ref="L10:L17" si="14">J10-K10</f>
        <v>1561.29</v>
      </c>
      <c r="M10" s="188">
        <f t="shared" si="5"/>
        <v>0.21360000000000001</v>
      </c>
      <c r="N10" s="187">
        <f t="shared" ref="N10:N17" si="15">L10*M10</f>
        <v>333.49154400000003</v>
      </c>
      <c r="O10" s="189">
        <f t="shared" si="7"/>
        <v>699.3</v>
      </c>
      <c r="P10" s="187">
        <f t="shared" ref="P10:P17" si="16">N10+O10</f>
        <v>1032.7915439999999</v>
      </c>
      <c r="Q10" s="187">
        <f t="shared" si="9"/>
        <v>0</v>
      </c>
      <c r="R10" s="187">
        <f t="shared" ref="R10:R17" si="17">ROUND(P10-Q10,2)</f>
        <v>1032.79</v>
      </c>
      <c r="S10" s="186">
        <f t="shared" si="11"/>
        <v>0</v>
      </c>
      <c r="T10" s="186">
        <f t="shared" si="12"/>
        <v>1032.79</v>
      </c>
      <c r="U10" s="186">
        <f>SUM(T10:T10)</f>
        <v>1032.79</v>
      </c>
      <c r="V10" s="186">
        <f>H10+S10-U10</f>
        <v>7131.21</v>
      </c>
      <c r="W10" s="90"/>
      <c r="X10" s="4"/>
    </row>
    <row r="11" spans="1:25" s="95" customFormat="1" ht="77.099999999999994" customHeight="1" x14ac:dyDescent="0.25">
      <c r="A11" s="118"/>
      <c r="B11" s="179" t="s">
        <v>207</v>
      </c>
      <c r="C11" s="179" t="s">
        <v>118</v>
      </c>
      <c r="D11" s="180" t="s">
        <v>82</v>
      </c>
      <c r="E11" s="182">
        <v>15</v>
      </c>
      <c r="F11" s="184">
        <v>8164</v>
      </c>
      <c r="G11" s="185">
        <v>0</v>
      </c>
      <c r="H11" s="186">
        <f t="shared" si="0"/>
        <v>8164</v>
      </c>
      <c r="I11" s="187">
        <f t="shared" si="1"/>
        <v>0</v>
      </c>
      <c r="J11" s="187">
        <f t="shared" si="13"/>
        <v>8164</v>
      </c>
      <c r="K11" s="187">
        <f t="shared" si="3"/>
        <v>6602.71</v>
      </c>
      <c r="L11" s="187">
        <f t="shared" si="14"/>
        <v>1561.29</v>
      </c>
      <c r="M11" s="188">
        <f t="shared" si="5"/>
        <v>0.21360000000000001</v>
      </c>
      <c r="N11" s="187">
        <f t="shared" si="15"/>
        <v>333.49154400000003</v>
      </c>
      <c r="O11" s="189">
        <f t="shared" si="7"/>
        <v>699.3</v>
      </c>
      <c r="P11" s="187">
        <f t="shared" si="16"/>
        <v>1032.7915439999999</v>
      </c>
      <c r="Q11" s="187">
        <f t="shared" si="9"/>
        <v>0</v>
      </c>
      <c r="R11" s="187">
        <f t="shared" si="17"/>
        <v>1032.79</v>
      </c>
      <c r="S11" s="186">
        <f t="shared" si="11"/>
        <v>0</v>
      </c>
      <c r="T11" s="186">
        <f t="shared" si="12"/>
        <v>1032.79</v>
      </c>
      <c r="U11" s="186">
        <f>SUM(T11:T11)</f>
        <v>1032.79</v>
      </c>
      <c r="V11" s="186">
        <f>H11+S11-U11</f>
        <v>7131.21</v>
      </c>
      <c r="W11" s="90"/>
      <c r="X11" s="4"/>
    </row>
    <row r="12" spans="1:25" s="95" customFormat="1" ht="77.099999999999994" customHeight="1" x14ac:dyDescent="0.25">
      <c r="A12" s="235"/>
      <c r="B12" s="179" t="s">
        <v>194</v>
      </c>
      <c r="C12" s="179" t="s">
        <v>118</v>
      </c>
      <c r="D12" s="180" t="s">
        <v>82</v>
      </c>
      <c r="E12" s="182">
        <v>15</v>
      </c>
      <c r="F12" s="184">
        <v>8164</v>
      </c>
      <c r="G12" s="185">
        <v>0</v>
      </c>
      <c r="H12" s="186">
        <f t="shared" ref="H12" si="18">SUM(F12:G12)</f>
        <v>8164</v>
      </c>
      <c r="I12" s="187">
        <f t="shared" ref="I12" si="19">IF(F12/15&lt;=SMG,0,G12/2)</f>
        <v>0</v>
      </c>
      <c r="J12" s="187">
        <f t="shared" ref="J12" si="20">F12+I12</f>
        <v>8164</v>
      </c>
      <c r="K12" s="187">
        <f t="shared" ref="K12" si="21">VLOOKUP(J12,Tarifa1,1)</f>
        <v>6602.71</v>
      </c>
      <c r="L12" s="187">
        <f t="shared" ref="L12" si="22">J12-K12</f>
        <v>1561.29</v>
      </c>
      <c r="M12" s="188">
        <f t="shared" ref="M12" si="23">VLOOKUP(J12,Tarifa1,3)</f>
        <v>0.21360000000000001</v>
      </c>
      <c r="N12" s="187">
        <f t="shared" ref="N12" si="24">L12*M12</f>
        <v>333.49154400000003</v>
      </c>
      <c r="O12" s="189">
        <f t="shared" ref="O12" si="25">VLOOKUP(J12,Tarifa1,2)</f>
        <v>699.3</v>
      </c>
      <c r="P12" s="187">
        <f t="shared" ref="P12" si="26">N12+O12</f>
        <v>1032.7915439999999</v>
      </c>
      <c r="Q12" s="187">
        <f t="shared" ref="Q12" si="27">VLOOKUP(J12,Credito1,2)</f>
        <v>0</v>
      </c>
      <c r="R12" s="187">
        <f t="shared" ref="R12" si="28">ROUND(P12-Q12,2)</f>
        <v>1032.79</v>
      </c>
      <c r="S12" s="186">
        <f t="shared" ref="S12" si="29">-IF(R12&gt;0,0,R12)</f>
        <v>0</v>
      </c>
      <c r="T12" s="186">
        <f t="shared" ref="T12" si="30">IF(R12&lt;0,0,R12)</f>
        <v>1032.79</v>
      </c>
      <c r="U12" s="186">
        <f>SUM(T12:T12)</f>
        <v>1032.79</v>
      </c>
      <c r="V12" s="186">
        <f>H12+S12-U12</f>
        <v>7131.21</v>
      </c>
      <c r="W12" s="90"/>
      <c r="X12" s="4"/>
    </row>
    <row r="13" spans="1:25" s="95" customFormat="1" ht="77.099999999999994" customHeight="1" x14ac:dyDescent="0.25">
      <c r="A13" s="235"/>
      <c r="B13" s="179" t="s">
        <v>108</v>
      </c>
      <c r="C13" s="179" t="s">
        <v>118</v>
      </c>
      <c r="D13" s="180" t="s">
        <v>83</v>
      </c>
      <c r="E13" s="182">
        <v>15</v>
      </c>
      <c r="F13" s="184">
        <v>7401</v>
      </c>
      <c r="G13" s="185">
        <v>0</v>
      </c>
      <c r="H13" s="186">
        <f t="shared" si="0"/>
        <v>7401</v>
      </c>
      <c r="I13" s="187">
        <f t="shared" si="1"/>
        <v>0</v>
      </c>
      <c r="J13" s="187">
        <f t="shared" si="13"/>
        <v>7401</v>
      </c>
      <c r="K13" s="187">
        <f t="shared" si="3"/>
        <v>6602.71</v>
      </c>
      <c r="L13" s="187">
        <f t="shared" si="14"/>
        <v>798.29</v>
      </c>
      <c r="M13" s="188">
        <f t="shared" si="5"/>
        <v>0.21360000000000001</v>
      </c>
      <c r="N13" s="187">
        <f t="shared" si="15"/>
        <v>170.51474400000001</v>
      </c>
      <c r="O13" s="189">
        <f t="shared" si="7"/>
        <v>699.3</v>
      </c>
      <c r="P13" s="187">
        <f t="shared" si="16"/>
        <v>869.81474400000002</v>
      </c>
      <c r="Q13" s="187">
        <f t="shared" si="9"/>
        <v>0</v>
      </c>
      <c r="R13" s="187">
        <f t="shared" si="17"/>
        <v>869.81</v>
      </c>
      <c r="S13" s="186">
        <f t="shared" ref="S13:S15" si="31">-IF(R13&gt;0,0,R13)</f>
        <v>0</v>
      </c>
      <c r="T13" s="186">
        <f t="shared" ref="T13:T15" si="32">IF(R13&lt;0,0,R13)</f>
        <v>869.81</v>
      </c>
      <c r="U13" s="186">
        <f>SUM(T13:T13)</f>
        <v>869.81</v>
      </c>
      <c r="V13" s="186">
        <f>H13+S13-U13</f>
        <v>6531.1900000000005</v>
      </c>
      <c r="W13" s="91"/>
      <c r="X13" s="4"/>
    </row>
    <row r="14" spans="1:25" s="95" customFormat="1" ht="77.099999999999994" customHeight="1" x14ac:dyDescent="0.25">
      <c r="A14" s="235"/>
      <c r="B14" s="179" t="s">
        <v>187</v>
      </c>
      <c r="C14" s="179" t="s">
        <v>118</v>
      </c>
      <c r="D14" s="180" t="s">
        <v>83</v>
      </c>
      <c r="E14" s="182">
        <v>15</v>
      </c>
      <c r="F14" s="184">
        <v>7401</v>
      </c>
      <c r="G14" s="185">
        <v>0</v>
      </c>
      <c r="H14" s="186">
        <f t="shared" si="0"/>
        <v>7401</v>
      </c>
      <c r="I14" s="187">
        <f t="shared" si="1"/>
        <v>0</v>
      </c>
      <c r="J14" s="187">
        <f t="shared" si="13"/>
        <v>7401</v>
      </c>
      <c r="K14" s="187">
        <f t="shared" si="3"/>
        <v>6602.71</v>
      </c>
      <c r="L14" s="187">
        <f t="shared" si="14"/>
        <v>798.29</v>
      </c>
      <c r="M14" s="188">
        <f t="shared" si="5"/>
        <v>0.21360000000000001</v>
      </c>
      <c r="N14" s="187">
        <f t="shared" si="15"/>
        <v>170.51474400000001</v>
      </c>
      <c r="O14" s="189">
        <f t="shared" si="7"/>
        <v>699.3</v>
      </c>
      <c r="P14" s="187">
        <f t="shared" si="16"/>
        <v>869.81474400000002</v>
      </c>
      <c r="Q14" s="187">
        <f t="shared" si="9"/>
        <v>0</v>
      </c>
      <c r="R14" s="187">
        <f t="shared" si="17"/>
        <v>869.81</v>
      </c>
      <c r="S14" s="186">
        <f t="shared" si="31"/>
        <v>0</v>
      </c>
      <c r="T14" s="186">
        <f t="shared" si="32"/>
        <v>869.81</v>
      </c>
      <c r="U14" s="186">
        <f>SUM(T14:T14)</f>
        <v>869.81</v>
      </c>
      <c r="V14" s="186">
        <f>H14+S14-U14</f>
        <v>6531.1900000000005</v>
      </c>
      <c r="W14" s="91"/>
      <c r="X14" s="4"/>
    </row>
    <row r="15" spans="1:25" ht="77.099999999999994" customHeight="1" x14ac:dyDescent="0.25">
      <c r="A15" s="235"/>
      <c r="B15" s="179" t="s">
        <v>203</v>
      </c>
      <c r="C15" s="179" t="s">
        <v>118</v>
      </c>
      <c r="D15" s="180" t="s">
        <v>83</v>
      </c>
      <c r="E15" s="182">
        <v>15</v>
      </c>
      <c r="F15" s="184">
        <v>7401</v>
      </c>
      <c r="G15" s="185">
        <v>0</v>
      </c>
      <c r="H15" s="186">
        <f t="shared" si="0"/>
        <v>7401</v>
      </c>
      <c r="I15" s="187">
        <f t="shared" si="1"/>
        <v>0</v>
      </c>
      <c r="J15" s="187">
        <f t="shared" si="13"/>
        <v>7401</v>
      </c>
      <c r="K15" s="187">
        <f t="shared" si="3"/>
        <v>6602.71</v>
      </c>
      <c r="L15" s="187">
        <f t="shared" si="14"/>
        <v>798.29</v>
      </c>
      <c r="M15" s="188">
        <f t="shared" si="5"/>
        <v>0.21360000000000001</v>
      </c>
      <c r="N15" s="187">
        <f t="shared" si="15"/>
        <v>170.51474400000001</v>
      </c>
      <c r="O15" s="189">
        <f t="shared" si="7"/>
        <v>699.3</v>
      </c>
      <c r="P15" s="187">
        <f t="shared" si="16"/>
        <v>869.81474400000002</v>
      </c>
      <c r="Q15" s="187">
        <f t="shared" si="9"/>
        <v>0</v>
      </c>
      <c r="R15" s="187">
        <f t="shared" si="17"/>
        <v>869.81</v>
      </c>
      <c r="S15" s="186">
        <f t="shared" si="31"/>
        <v>0</v>
      </c>
      <c r="T15" s="186">
        <f t="shared" si="32"/>
        <v>869.81</v>
      </c>
      <c r="U15" s="186">
        <f>SUM(T15:T15)</f>
        <v>869.81</v>
      </c>
      <c r="V15" s="186">
        <f>H15+S15-U15</f>
        <v>6531.1900000000005</v>
      </c>
      <c r="W15" s="91"/>
      <c r="X15" s="4"/>
    </row>
    <row r="16" spans="1:25" ht="77.099999999999994" customHeight="1" x14ac:dyDescent="0.25">
      <c r="A16" s="235"/>
      <c r="B16" s="179" t="s">
        <v>216</v>
      </c>
      <c r="C16" s="179" t="s">
        <v>118</v>
      </c>
      <c r="D16" s="180" t="s">
        <v>83</v>
      </c>
      <c r="E16" s="237">
        <v>15</v>
      </c>
      <c r="F16" s="184">
        <v>7401</v>
      </c>
      <c r="G16" s="185">
        <v>0</v>
      </c>
      <c r="H16" s="186">
        <f t="shared" ref="H16" si="33">SUM(F16:G16)</f>
        <v>7401</v>
      </c>
      <c r="I16" s="187">
        <f t="shared" si="1"/>
        <v>0</v>
      </c>
      <c r="J16" s="187">
        <f t="shared" si="13"/>
        <v>7401</v>
      </c>
      <c r="K16" s="187">
        <f t="shared" si="3"/>
        <v>6602.71</v>
      </c>
      <c r="L16" s="187">
        <f t="shared" si="14"/>
        <v>798.29</v>
      </c>
      <c r="M16" s="188">
        <f t="shared" si="5"/>
        <v>0.21360000000000001</v>
      </c>
      <c r="N16" s="187">
        <f t="shared" si="15"/>
        <v>170.51474400000001</v>
      </c>
      <c r="O16" s="189">
        <f t="shared" si="7"/>
        <v>699.3</v>
      </c>
      <c r="P16" s="187">
        <f t="shared" si="16"/>
        <v>869.81474400000002</v>
      </c>
      <c r="Q16" s="187">
        <f t="shared" si="9"/>
        <v>0</v>
      </c>
      <c r="R16" s="187">
        <f t="shared" si="17"/>
        <v>869.81</v>
      </c>
      <c r="S16" s="186">
        <f t="shared" ref="S16" si="34">-IF(R16&gt;0,0,R16)</f>
        <v>0</v>
      </c>
      <c r="T16" s="186">
        <f t="shared" ref="T16" si="35">IF(R16&lt;0,0,R16)</f>
        <v>869.81</v>
      </c>
      <c r="U16" s="186">
        <f>SUM(T16:T16)</f>
        <v>869.81</v>
      </c>
      <c r="V16" s="186">
        <f>H16+S16-U16</f>
        <v>6531.1900000000005</v>
      </c>
      <c r="W16" s="91"/>
      <c r="X16" s="4"/>
    </row>
    <row r="17" spans="1:24" ht="77.099999999999994" customHeight="1" x14ac:dyDescent="0.25">
      <c r="A17" s="235"/>
      <c r="B17" s="179" t="s">
        <v>220</v>
      </c>
      <c r="C17" s="179" t="s">
        <v>118</v>
      </c>
      <c r="D17" s="180" t="s">
        <v>83</v>
      </c>
      <c r="E17" s="182">
        <v>15</v>
      </c>
      <c r="F17" s="184">
        <v>7401</v>
      </c>
      <c r="G17" s="185">
        <v>0</v>
      </c>
      <c r="H17" s="186">
        <f t="shared" ref="H17" si="36">SUM(F17:G17)</f>
        <v>7401</v>
      </c>
      <c r="I17" s="187">
        <f t="shared" si="1"/>
        <v>0</v>
      </c>
      <c r="J17" s="187">
        <f t="shared" si="13"/>
        <v>7401</v>
      </c>
      <c r="K17" s="187">
        <f t="shared" si="3"/>
        <v>6602.71</v>
      </c>
      <c r="L17" s="187">
        <f t="shared" si="14"/>
        <v>798.29</v>
      </c>
      <c r="M17" s="188">
        <f t="shared" si="5"/>
        <v>0.21360000000000001</v>
      </c>
      <c r="N17" s="187">
        <f t="shared" si="15"/>
        <v>170.51474400000001</v>
      </c>
      <c r="O17" s="189">
        <f t="shared" si="7"/>
        <v>699.3</v>
      </c>
      <c r="P17" s="187">
        <f t="shared" si="16"/>
        <v>869.81474400000002</v>
      </c>
      <c r="Q17" s="187">
        <f t="shared" si="9"/>
        <v>0</v>
      </c>
      <c r="R17" s="187">
        <f t="shared" si="17"/>
        <v>869.81</v>
      </c>
      <c r="S17" s="186">
        <f t="shared" ref="S17" si="37">-IF(R17&gt;0,0,R17)</f>
        <v>0</v>
      </c>
      <c r="T17" s="186">
        <f t="shared" ref="T17" si="38">IF(R17&lt;0,0,R17)</f>
        <v>869.81</v>
      </c>
      <c r="U17" s="186">
        <f>SUM(T17:T17)</f>
        <v>869.81</v>
      </c>
      <c r="V17" s="186">
        <f>H17+S17-U17</f>
        <v>6531.1900000000005</v>
      </c>
      <c r="W17" s="91"/>
      <c r="X17" s="4"/>
    </row>
    <row r="18" spans="1:24" ht="77.099999999999994" customHeight="1" x14ac:dyDescent="0.25">
      <c r="A18" s="235"/>
      <c r="B18" s="179" t="s">
        <v>235</v>
      </c>
      <c r="C18" s="179" t="s">
        <v>118</v>
      </c>
      <c r="D18" s="180" t="s">
        <v>83</v>
      </c>
      <c r="E18" s="182"/>
      <c r="F18" s="184">
        <v>7401</v>
      </c>
      <c r="G18" s="185">
        <v>0</v>
      </c>
      <c r="H18" s="186">
        <f t="shared" ref="H18:H21" si="39">SUM(F18:G18)</f>
        <v>7401</v>
      </c>
      <c r="I18" s="187">
        <f t="shared" ref="I18:I20" si="40">IF(F18/15&lt;=SMG,0,G18/2)</f>
        <v>0</v>
      </c>
      <c r="J18" s="187">
        <f t="shared" ref="J18:J21" si="41">F18+I18</f>
        <v>7401</v>
      </c>
      <c r="K18" s="187">
        <f t="shared" ref="K18:K20" si="42">VLOOKUP(J18,Tarifa1,1)</f>
        <v>6602.71</v>
      </c>
      <c r="L18" s="187">
        <f t="shared" ref="L18:L21" si="43">J18-K18</f>
        <v>798.29</v>
      </c>
      <c r="M18" s="188">
        <f t="shared" ref="M18:M20" si="44">VLOOKUP(J18,Tarifa1,3)</f>
        <v>0.21360000000000001</v>
      </c>
      <c r="N18" s="187">
        <f t="shared" ref="N18:N21" si="45">L18*M18</f>
        <v>170.51474400000001</v>
      </c>
      <c r="O18" s="189">
        <f t="shared" ref="O18:O20" si="46">VLOOKUP(J18,Tarifa1,2)</f>
        <v>699.3</v>
      </c>
      <c r="P18" s="187">
        <f t="shared" ref="P18:P21" si="47">N18+O18</f>
        <v>869.81474400000002</v>
      </c>
      <c r="Q18" s="187">
        <f t="shared" ref="Q18:Q20" si="48">VLOOKUP(J18,Credito1,2)</f>
        <v>0</v>
      </c>
      <c r="R18" s="187">
        <f t="shared" ref="R18:R21" si="49">ROUND(P18-Q18,2)</f>
        <v>869.81</v>
      </c>
      <c r="S18" s="186">
        <f t="shared" ref="S18:S21" si="50">-IF(R18&gt;0,0,R18)</f>
        <v>0</v>
      </c>
      <c r="T18" s="186">
        <f t="shared" ref="T18:T21" si="51">IF(R18&lt;0,0,R18)</f>
        <v>869.81</v>
      </c>
      <c r="U18" s="186">
        <f>SUM(T18:T18)</f>
        <v>869.81</v>
      </c>
      <c r="V18" s="186">
        <f>H18+S18-U18</f>
        <v>6531.1900000000005</v>
      </c>
      <c r="W18" s="91"/>
      <c r="X18" s="4"/>
    </row>
    <row r="19" spans="1:24" ht="77.099999999999994" customHeight="1" x14ac:dyDescent="0.25">
      <c r="A19" s="235"/>
      <c r="B19" s="179" t="s">
        <v>236</v>
      </c>
      <c r="C19" s="179" t="s">
        <v>118</v>
      </c>
      <c r="D19" s="180" t="s">
        <v>83</v>
      </c>
      <c r="E19" s="182"/>
      <c r="F19" s="184">
        <v>7401</v>
      </c>
      <c r="G19" s="185">
        <v>0</v>
      </c>
      <c r="H19" s="186">
        <f t="shared" si="39"/>
        <v>7401</v>
      </c>
      <c r="I19" s="187">
        <f t="shared" si="40"/>
        <v>0</v>
      </c>
      <c r="J19" s="187">
        <f t="shared" si="41"/>
        <v>7401</v>
      </c>
      <c r="K19" s="187">
        <f t="shared" si="42"/>
        <v>6602.71</v>
      </c>
      <c r="L19" s="187">
        <f t="shared" si="43"/>
        <v>798.29</v>
      </c>
      <c r="M19" s="188">
        <f t="shared" si="44"/>
        <v>0.21360000000000001</v>
      </c>
      <c r="N19" s="187">
        <f t="shared" si="45"/>
        <v>170.51474400000001</v>
      </c>
      <c r="O19" s="189">
        <f t="shared" si="46"/>
        <v>699.3</v>
      </c>
      <c r="P19" s="187">
        <f t="shared" si="47"/>
        <v>869.81474400000002</v>
      </c>
      <c r="Q19" s="187">
        <f t="shared" si="48"/>
        <v>0</v>
      </c>
      <c r="R19" s="187">
        <f t="shared" si="49"/>
        <v>869.81</v>
      </c>
      <c r="S19" s="186">
        <f t="shared" si="50"/>
        <v>0</v>
      </c>
      <c r="T19" s="186">
        <f t="shared" si="51"/>
        <v>869.81</v>
      </c>
      <c r="U19" s="186">
        <f>SUM(T19:T19)</f>
        <v>869.81</v>
      </c>
      <c r="V19" s="186">
        <f>H19+S19-U19</f>
        <v>6531.1900000000005</v>
      </c>
      <c r="W19" s="91"/>
      <c r="X19" s="4"/>
    </row>
    <row r="20" spans="1:24" ht="77.099999999999994" customHeight="1" x14ac:dyDescent="0.25">
      <c r="A20" s="235"/>
      <c r="B20" s="179" t="s">
        <v>237</v>
      </c>
      <c r="C20" s="179" t="s">
        <v>118</v>
      </c>
      <c r="D20" s="180" t="s">
        <v>83</v>
      </c>
      <c r="E20" s="182"/>
      <c r="F20" s="184">
        <v>7401</v>
      </c>
      <c r="G20" s="185">
        <v>0</v>
      </c>
      <c r="H20" s="186">
        <f t="shared" si="39"/>
        <v>7401</v>
      </c>
      <c r="I20" s="187">
        <f t="shared" si="40"/>
        <v>0</v>
      </c>
      <c r="J20" s="187">
        <f t="shared" si="41"/>
        <v>7401</v>
      </c>
      <c r="K20" s="187">
        <f t="shared" si="42"/>
        <v>6602.71</v>
      </c>
      <c r="L20" s="187">
        <f t="shared" si="43"/>
        <v>798.29</v>
      </c>
      <c r="M20" s="188">
        <f t="shared" si="44"/>
        <v>0.21360000000000001</v>
      </c>
      <c r="N20" s="187">
        <f t="shared" si="45"/>
        <v>170.51474400000001</v>
      </c>
      <c r="O20" s="189">
        <f t="shared" si="46"/>
        <v>699.3</v>
      </c>
      <c r="P20" s="187">
        <f t="shared" si="47"/>
        <v>869.81474400000002</v>
      </c>
      <c r="Q20" s="187">
        <f t="shared" si="48"/>
        <v>0</v>
      </c>
      <c r="R20" s="187">
        <f t="shared" si="49"/>
        <v>869.81</v>
      </c>
      <c r="S20" s="186">
        <f t="shared" si="50"/>
        <v>0</v>
      </c>
      <c r="T20" s="186">
        <f t="shared" si="51"/>
        <v>869.81</v>
      </c>
      <c r="U20" s="186">
        <f>SUM(T20:T20)</f>
        <v>869.81</v>
      </c>
      <c r="V20" s="186">
        <f>H20+S20-U20</f>
        <v>6531.1900000000005</v>
      </c>
      <c r="W20" s="91"/>
      <c r="X20" s="4"/>
    </row>
    <row r="21" spans="1:24" ht="77.099999999999994" customHeight="1" x14ac:dyDescent="0.25">
      <c r="A21" s="235"/>
      <c r="B21" s="179" t="s">
        <v>249</v>
      </c>
      <c r="C21" s="179" t="s">
        <v>118</v>
      </c>
      <c r="D21" s="180" t="s">
        <v>83</v>
      </c>
      <c r="E21" s="182"/>
      <c r="F21" s="184">
        <v>7401</v>
      </c>
      <c r="G21" s="185">
        <v>0</v>
      </c>
      <c r="H21" s="186">
        <f t="shared" si="39"/>
        <v>7401</v>
      </c>
      <c r="I21" s="187">
        <f t="shared" ref="I21" si="52">IF(F21/15&lt;=SMG,0,G21/2)</f>
        <v>0</v>
      </c>
      <c r="J21" s="187">
        <f t="shared" si="41"/>
        <v>7401</v>
      </c>
      <c r="K21" s="187">
        <f t="shared" ref="K21" si="53">VLOOKUP(J21,Tarifa1,1)</f>
        <v>6602.71</v>
      </c>
      <c r="L21" s="187">
        <f t="shared" si="43"/>
        <v>798.29</v>
      </c>
      <c r="M21" s="188">
        <f t="shared" ref="M21" si="54">VLOOKUP(J21,Tarifa1,3)</f>
        <v>0.21360000000000001</v>
      </c>
      <c r="N21" s="187">
        <f t="shared" si="45"/>
        <v>170.51474400000001</v>
      </c>
      <c r="O21" s="189">
        <f t="shared" ref="O21" si="55">VLOOKUP(J21,Tarifa1,2)</f>
        <v>699.3</v>
      </c>
      <c r="P21" s="187">
        <f t="shared" si="47"/>
        <v>869.81474400000002</v>
      </c>
      <c r="Q21" s="187">
        <f t="shared" ref="Q21" si="56">VLOOKUP(J21,Credito1,2)</f>
        <v>0</v>
      </c>
      <c r="R21" s="187">
        <f t="shared" si="49"/>
        <v>869.81</v>
      </c>
      <c r="S21" s="186">
        <f t="shared" si="50"/>
        <v>0</v>
      </c>
      <c r="T21" s="186">
        <f t="shared" si="51"/>
        <v>869.81</v>
      </c>
      <c r="U21" s="186">
        <f>SUM(T21:T21)</f>
        <v>869.81</v>
      </c>
      <c r="V21" s="186">
        <f>H21+S21-U21</f>
        <v>6531.1900000000005</v>
      </c>
      <c r="W21" s="91"/>
      <c r="X21" s="4"/>
    </row>
    <row r="22" spans="1:24" ht="29.25" customHeight="1" thickBot="1" x14ac:dyDescent="0.3">
      <c r="A22" s="248" t="s">
        <v>45</v>
      </c>
      <c r="B22" s="249"/>
      <c r="C22" s="249"/>
      <c r="D22" s="249"/>
      <c r="E22" s="249"/>
      <c r="F22" s="193">
        <f>SUM(F9:F21)</f>
        <v>101094</v>
      </c>
      <c r="G22" s="193">
        <f>SUM(G9:G21)</f>
        <v>0</v>
      </c>
      <c r="H22" s="193">
        <f>SUM(H9:H21)</f>
        <v>101094</v>
      </c>
      <c r="I22" s="194">
        <f t="shared" ref="I22:R22" si="57">SUM(I9:I15)</f>
        <v>0</v>
      </c>
      <c r="J22" s="194">
        <f t="shared" si="57"/>
        <v>56688</v>
      </c>
      <c r="K22" s="194">
        <f t="shared" si="57"/>
        <v>46218.97</v>
      </c>
      <c r="L22" s="194">
        <f t="shared" si="57"/>
        <v>10469.030000000002</v>
      </c>
      <c r="M22" s="194">
        <f t="shared" si="57"/>
        <v>1.4952000000000001</v>
      </c>
      <c r="N22" s="194">
        <f t="shared" si="57"/>
        <v>2236.184808</v>
      </c>
      <c r="O22" s="194">
        <f t="shared" si="57"/>
        <v>4895.1000000000004</v>
      </c>
      <c r="P22" s="194">
        <f t="shared" si="57"/>
        <v>7131.2848080000003</v>
      </c>
      <c r="Q22" s="194">
        <f t="shared" si="57"/>
        <v>0</v>
      </c>
      <c r="R22" s="194">
        <f t="shared" si="57"/>
        <v>7131.2699999999986</v>
      </c>
      <c r="S22" s="193">
        <f>SUM(S9:S21)</f>
        <v>0</v>
      </c>
      <c r="T22" s="193">
        <f>SUM(T9:T21)</f>
        <v>12350.129999999996</v>
      </c>
      <c r="U22" s="193">
        <f>SUM(U9:U21)</f>
        <v>12350.129999999996</v>
      </c>
      <c r="V22" s="193">
        <f>SUM(V9:V21)</f>
        <v>88743.87000000001</v>
      </c>
      <c r="W22" s="4"/>
      <c r="X22" s="4"/>
    </row>
    <row r="23" spans="1:24" ht="13.5" thickTop="1" x14ac:dyDescent="0.2"/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27559055118110237" right="0.27559055118110237" top="0.55118110236220474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6"/>
  <sheetViews>
    <sheetView topLeftCell="B10" zoomScale="73" zoomScaleNormal="73" workbookViewId="0">
      <selection activeCell="W13" sqref="W1:W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9.42578125" style="68" customWidth="1"/>
    <col min="3" max="3" width="7.7109375" style="68" customWidth="1"/>
    <col min="4" max="4" width="39.140625" style="68" customWidth="1"/>
    <col min="5" max="5" width="19.5703125" style="68" customWidth="1"/>
    <col min="6" max="6" width="6.5703125" style="68" hidden="1" customWidth="1"/>
    <col min="7" max="7" width="10" style="68" hidden="1" customWidth="1"/>
    <col min="8" max="8" width="16.28515625" style="68" customWidth="1"/>
    <col min="9" max="9" width="11.85546875" style="68" customWidth="1"/>
    <col min="10" max="10" width="12.7109375" style="68" hidden="1" customWidth="1"/>
    <col min="11" max="11" width="13.140625" style="68" hidden="1" customWidth="1"/>
    <col min="12" max="14" width="11" style="68" hidden="1" customWidth="1"/>
    <col min="15" max="16" width="13.140625" style="68" hidden="1" customWidth="1"/>
    <col min="17" max="17" width="10.5703125" style="68" hidden="1" customWidth="1"/>
    <col min="18" max="19" width="13.140625" style="68" hidden="1" customWidth="1"/>
    <col min="20" max="20" width="11.5703125" style="68" hidden="1" customWidth="1"/>
    <col min="21" max="21" width="9.7109375" style="68" hidden="1" customWidth="1"/>
    <col min="22" max="22" width="14.42578125" style="68" customWidth="1"/>
    <col min="23" max="23" width="13" style="68" customWidth="1"/>
    <col min="24" max="24" width="15.85546875" style="68" customWidth="1"/>
    <col min="25" max="25" width="76" style="68" customWidth="1"/>
    <col min="26" max="16384" width="11.42578125" style="68"/>
  </cols>
  <sheetData>
    <row r="1" spans="1:25" ht="18" x14ac:dyDescent="0.2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x14ac:dyDescent="0.2">
      <c r="A6" s="69"/>
      <c r="B6" s="69"/>
      <c r="C6" s="69"/>
      <c r="D6" s="69"/>
      <c r="E6" s="69"/>
      <c r="F6" s="70" t="s">
        <v>23</v>
      </c>
      <c r="G6" s="70" t="s">
        <v>6</v>
      </c>
      <c r="H6" s="283" t="s">
        <v>1</v>
      </c>
      <c r="I6" s="284"/>
      <c r="J6" s="285"/>
      <c r="K6" s="71" t="s">
        <v>26</v>
      </c>
      <c r="L6" s="72"/>
      <c r="M6" s="286" t="s">
        <v>9</v>
      </c>
      <c r="N6" s="287"/>
      <c r="O6" s="287"/>
      <c r="P6" s="287"/>
      <c r="Q6" s="287"/>
      <c r="R6" s="288"/>
      <c r="S6" s="71" t="s">
        <v>30</v>
      </c>
      <c r="T6" s="71" t="s">
        <v>10</v>
      </c>
      <c r="U6" s="70" t="s">
        <v>54</v>
      </c>
      <c r="V6" s="289" t="s">
        <v>2</v>
      </c>
      <c r="W6" s="290"/>
      <c r="X6" s="70" t="s">
        <v>0</v>
      </c>
      <c r="Y6" s="73"/>
    </row>
    <row r="7" spans="1:25" ht="22.5" x14ac:dyDescent="0.2">
      <c r="A7" s="74" t="s">
        <v>21</v>
      </c>
      <c r="B7" s="75" t="s">
        <v>104</v>
      </c>
      <c r="C7" s="75" t="s">
        <v>119</v>
      </c>
      <c r="D7" s="74" t="s">
        <v>22</v>
      </c>
      <c r="E7" s="74"/>
      <c r="F7" s="76" t="s">
        <v>24</v>
      </c>
      <c r="G7" s="74" t="s">
        <v>25</v>
      </c>
      <c r="H7" s="70" t="s">
        <v>6</v>
      </c>
      <c r="I7" s="70" t="s">
        <v>59</v>
      </c>
      <c r="J7" s="70" t="s">
        <v>28</v>
      </c>
      <c r="K7" s="77" t="s">
        <v>27</v>
      </c>
      <c r="L7" s="72" t="s">
        <v>32</v>
      </c>
      <c r="M7" s="72" t="s">
        <v>12</v>
      </c>
      <c r="N7" s="72" t="s">
        <v>34</v>
      </c>
      <c r="O7" s="72" t="s">
        <v>36</v>
      </c>
      <c r="P7" s="72" t="s">
        <v>37</v>
      </c>
      <c r="Q7" s="72" t="s">
        <v>14</v>
      </c>
      <c r="R7" s="72" t="s">
        <v>10</v>
      </c>
      <c r="S7" s="77" t="s">
        <v>40</v>
      </c>
      <c r="T7" s="77" t="s">
        <v>41</v>
      </c>
      <c r="U7" s="74" t="s">
        <v>31</v>
      </c>
      <c r="V7" s="70" t="s">
        <v>3</v>
      </c>
      <c r="W7" s="70" t="s">
        <v>7</v>
      </c>
      <c r="X7" s="74" t="s">
        <v>4</v>
      </c>
      <c r="Y7" s="78" t="s">
        <v>58</v>
      </c>
    </row>
    <row r="8" spans="1:25" x14ac:dyDescent="0.2">
      <c r="A8" s="79"/>
      <c r="B8" s="74"/>
      <c r="C8" s="74"/>
      <c r="D8" s="74"/>
      <c r="E8" s="74"/>
      <c r="F8" s="74"/>
      <c r="G8" s="74"/>
      <c r="H8" s="74" t="s">
        <v>47</v>
      </c>
      <c r="I8" s="74" t="s">
        <v>60</v>
      </c>
      <c r="J8" s="74" t="s">
        <v>29</v>
      </c>
      <c r="K8" s="77" t="s">
        <v>43</v>
      </c>
      <c r="L8" s="71" t="s">
        <v>33</v>
      </c>
      <c r="M8" s="71" t="s">
        <v>13</v>
      </c>
      <c r="N8" s="71" t="s">
        <v>35</v>
      </c>
      <c r="O8" s="71" t="s">
        <v>35</v>
      </c>
      <c r="P8" s="71" t="s">
        <v>38</v>
      </c>
      <c r="Q8" s="71" t="s">
        <v>15</v>
      </c>
      <c r="R8" s="71" t="s">
        <v>39</v>
      </c>
      <c r="S8" s="77" t="s">
        <v>19</v>
      </c>
      <c r="T8" s="80" t="s">
        <v>133</v>
      </c>
      <c r="U8" s="74" t="s">
        <v>53</v>
      </c>
      <c r="V8" s="74"/>
      <c r="W8" s="74" t="s">
        <v>44</v>
      </c>
      <c r="X8" s="74" t="s">
        <v>5</v>
      </c>
      <c r="Y8" s="81"/>
    </row>
    <row r="9" spans="1:25" ht="36" x14ac:dyDescent="0.25">
      <c r="A9" s="82"/>
      <c r="B9" s="83"/>
      <c r="C9" s="83"/>
      <c r="D9" s="238" t="s">
        <v>140</v>
      </c>
      <c r="E9" s="84" t="s">
        <v>62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5"/>
    </row>
    <row r="10" spans="1:25" s="95" customFormat="1" ht="80.099999999999994" customHeight="1" x14ac:dyDescent="0.25">
      <c r="A10" s="118"/>
      <c r="B10" s="179" t="s">
        <v>302</v>
      </c>
      <c r="C10" s="179" t="s">
        <v>118</v>
      </c>
      <c r="D10" s="236" t="s">
        <v>301</v>
      </c>
      <c r="E10" s="181" t="s">
        <v>300</v>
      </c>
      <c r="F10" s="182">
        <v>15</v>
      </c>
      <c r="G10" s="183">
        <f>H10/F10</f>
        <v>617.91800000000001</v>
      </c>
      <c r="H10" s="184">
        <v>9268.77</v>
      </c>
      <c r="I10" s="185">
        <v>0</v>
      </c>
      <c r="J10" s="186">
        <f t="shared" ref="J10" si="0">SUM(H10:I10)</f>
        <v>9268.77</v>
      </c>
      <c r="K10" s="187">
        <f t="shared" ref="K10" si="1">IF(H10/15&lt;=SMG,0,I10/2)</f>
        <v>0</v>
      </c>
      <c r="L10" s="187">
        <f t="shared" ref="L10:L12" si="2">H10+K10</f>
        <v>9268.77</v>
      </c>
      <c r="M10" s="187">
        <f t="shared" ref="M10" si="3">VLOOKUP(L10,Tarifa1,1)</f>
        <v>6602.71</v>
      </c>
      <c r="N10" s="187">
        <f t="shared" ref="N10:N12" si="4">L10-M10</f>
        <v>2666.0600000000004</v>
      </c>
      <c r="O10" s="188">
        <f t="shared" ref="O10" si="5">VLOOKUP(L10,Tarifa1,3)</f>
        <v>0.21360000000000001</v>
      </c>
      <c r="P10" s="187">
        <f t="shared" ref="P10:P12" si="6">N10*O10</f>
        <v>569.47041600000011</v>
      </c>
      <c r="Q10" s="189">
        <f t="shared" ref="Q10" si="7">VLOOKUP(L10,Tarifa1,2)</f>
        <v>699.3</v>
      </c>
      <c r="R10" s="187">
        <f t="shared" ref="R10:R12" si="8">P10+Q10</f>
        <v>1268.7704160000001</v>
      </c>
      <c r="S10" s="187">
        <f t="shared" ref="S10" si="9">VLOOKUP(L10,Credito1,2)</f>
        <v>0</v>
      </c>
      <c r="T10" s="187">
        <f t="shared" ref="T10:T12" si="10">ROUND(R10-S10,2)</f>
        <v>1268.77</v>
      </c>
      <c r="U10" s="186">
        <f t="shared" ref="U10:U12" si="11">-IF(T10&gt;0,0,T10)</f>
        <v>0</v>
      </c>
      <c r="V10" s="186">
        <f t="shared" ref="V10:V12" si="12">IF(T10&lt;0,0,T10)</f>
        <v>1268.77</v>
      </c>
      <c r="W10" s="186">
        <f>SUM(V10:V10)</f>
        <v>1268.77</v>
      </c>
      <c r="X10" s="186">
        <f>J10+U10-W10</f>
        <v>8000</v>
      </c>
      <c r="Y10" s="94"/>
    </row>
    <row r="11" spans="1:25" s="95" customFormat="1" ht="80.099999999999994" customHeight="1" x14ac:dyDescent="0.25">
      <c r="A11" s="118"/>
      <c r="B11" s="179" t="s">
        <v>142</v>
      </c>
      <c r="C11" s="179" t="s">
        <v>118</v>
      </c>
      <c r="D11" s="119" t="s">
        <v>172</v>
      </c>
      <c r="E11" s="180" t="s">
        <v>138</v>
      </c>
      <c r="F11" s="182">
        <v>15</v>
      </c>
      <c r="G11" s="183">
        <f>H11/F11</f>
        <v>401.86666666666667</v>
      </c>
      <c r="H11" s="184">
        <v>6028</v>
      </c>
      <c r="I11" s="185">
        <v>0</v>
      </c>
      <c r="J11" s="186">
        <f t="shared" ref="J11" si="13">SUM(H11:I11)</f>
        <v>6028</v>
      </c>
      <c r="K11" s="187">
        <f t="shared" ref="K11" si="14">IF(H11/15&lt;=SMG,0,I11/2)</f>
        <v>0</v>
      </c>
      <c r="L11" s="187">
        <f t="shared" ref="L11" si="15">H11+K11</f>
        <v>6028</v>
      </c>
      <c r="M11" s="187">
        <f t="shared" ref="M11" si="16">VLOOKUP(L11,Tarifa1,1)</f>
        <v>5514.76</v>
      </c>
      <c r="N11" s="187">
        <f t="shared" ref="N11" si="17">L11-M11</f>
        <v>513.23999999999978</v>
      </c>
      <c r="O11" s="188">
        <f t="shared" ref="O11" si="18">VLOOKUP(L11,Tarifa1,3)</f>
        <v>0.1792</v>
      </c>
      <c r="P11" s="187">
        <f t="shared" ref="P11" si="19">N11*O11</f>
        <v>91.972607999999966</v>
      </c>
      <c r="Q11" s="189">
        <f t="shared" ref="Q11" si="20">VLOOKUP(L11,Tarifa1,2)</f>
        <v>504.3</v>
      </c>
      <c r="R11" s="187">
        <f t="shared" ref="R11" si="21">P11+Q11</f>
        <v>596.27260799999999</v>
      </c>
      <c r="S11" s="187">
        <f t="shared" ref="S11" si="22">VLOOKUP(L11,Credito1,2)</f>
        <v>0</v>
      </c>
      <c r="T11" s="187">
        <f t="shared" ref="T11" si="23">ROUND(R11-S11,2)</f>
        <v>596.27</v>
      </c>
      <c r="U11" s="186">
        <f t="shared" ref="U11" si="24">-IF(T11&gt;0,0,T11)</f>
        <v>0</v>
      </c>
      <c r="V11" s="186">
        <f t="shared" ref="V11" si="25">IF(T11&lt;0,0,T11)</f>
        <v>596.27</v>
      </c>
      <c r="W11" s="186">
        <f>SUM(V11:V11)</f>
        <v>596.27</v>
      </c>
      <c r="X11" s="186">
        <f>J11+U11-W11</f>
        <v>5431.73</v>
      </c>
      <c r="Y11" s="94"/>
    </row>
    <row r="12" spans="1:25" s="95" customFormat="1" ht="80.099999999999994" customHeight="1" x14ac:dyDescent="0.25">
      <c r="A12" s="118"/>
      <c r="B12" s="179" t="s">
        <v>227</v>
      </c>
      <c r="C12" s="179" t="s">
        <v>118</v>
      </c>
      <c r="D12" s="119" t="s">
        <v>226</v>
      </c>
      <c r="E12" s="180" t="s">
        <v>138</v>
      </c>
      <c r="F12" s="182"/>
      <c r="G12" s="183"/>
      <c r="H12" s="184">
        <v>5767.5</v>
      </c>
      <c r="I12" s="185">
        <v>0</v>
      </c>
      <c r="J12" s="186">
        <f t="shared" ref="J12" si="26">SUM(H12:I12)</f>
        <v>5767.5</v>
      </c>
      <c r="K12" s="187">
        <f t="shared" ref="K12" si="27">IF(H12/15&lt;=SMG,0,I12/2)</f>
        <v>0</v>
      </c>
      <c r="L12" s="187">
        <f t="shared" si="2"/>
        <v>5767.5</v>
      </c>
      <c r="M12" s="187">
        <f t="shared" ref="M12" si="28">VLOOKUP(L12,Tarifa1,1)</f>
        <v>5514.76</v>
      </c>
      <c r="N12" s="187">
        <f t="shared" si="4"/>
        <v>252.73999999999978</v>
      </c>
      <c r="O12" s="188">
        <f t="shared" ref="O12" si="29">VLOOKUP(L12,Tarifa1,3)</f>
        <v>0.1792</v>
      </c>
      <c r="P12" s="187">
        <f t="shared" si="6"/>
        <v>45.291007999999962</v>
      </c>
      <c r="Q12" s="189">
        <f t="shared" ref="Q12" si="30">VLOOKUP(L12,Tarifa1,2)</f>
        <v>504.3</v>
      </c>
      <c r="R12" s="187">
        <f t="shared" si="8"/>
        <v>549.59100799999999</v>
      </c>
      <c r="S12" s="187">
        <f t="shared" ref="S12" si="31">VLOOKUP(L12,Credito1,2)</f>
        <v>0</v>
      </c>
      <c r="T12" s="187">
        <f t="shared" si="10"/>
        <v>549.59</v>
      </c>
      <c r="U12" s="186">
        <f t="shared" si="11"/>
        <v>0</v>
      </c>
      <c r="V12" s="186">
        <f t="shared" si="12"/>
        <v>549.59</v>
      </c>
      <c r="W12" s="186">
        <f>SUM(V12:V12)</f>
        <v>549.59</v>
      </c>
      <c r="X12" s="186">
        <f>J12+U12-W12</f>
        <v>5217.91</v>
      </c>
      <c r="Y12" s="94"/>
    </row>
    <row r="13" spans="1:25" s="95" customFormat="1" ht="80.099999999999994" customHeight="1" x14ac:dyDescent="0.25">
      <c r="A13" s="118" t="s">
        <v>94</v>
      </c>
      <c r="B13" s="179" t="s">
        <v>143</v>
      </c>
      <c r="C13" s="179" t="s">
        <v>163</v>
      </c>
      <c r="D13" s="119" t="s">
        <v>137</v>
      </c>
      <c r="E13" s="181" t="s">
        <v>139</v>
      </c>
      <c r="F13" s="182">
        <v>15</v>
      </c>
      <c r="G13" s="183">
        <f>H13/F13</f>
        <v>299.3</v>
      </c>
      <c r="H13" s="184">
        <v>4489.5</v>
      </c>
      <c r="I13" s="185">
        <v>0</v>
      </c>
      <c r="J13" s="186">
        <f>SUM(H13:I13)</f>
        <v>4489.5</v>
      </c>
      <c r="K13" s="187">
        <f t="shared" ref="K13:K14" si="32">IF(H13/15&lt;=SMG,0,I13/2)</f>
        <v>0</v>
      </c>
      <c r="L13" s="187">
        <f t="shared" ref="L13:L14" si="33">H13+K13</f>
        <v>4489.5</v>
      </c>
      <c r="M13" s="187">
        <f t="shared" ref="M13:M14" si="34">VLOOKUP(L13,Tarifa1,1)</f>
        <v>2699.41</v>
      </c>
      <c r="N13" s="187">
        <f t="shared" ref="N13:N14" si="35">L13-M13</f>
        <v>1790.0900000000001</v>
      </c>
      <c r="O13" s="188">
        <f t="shared" ref="O13:O14" si="36">VLOOKUP(L13,Tarifa1,3)</f>
        <v>0.10879999999999999</v>
      </c>
      <c r="P13" s="187">
        <f t="shared" ref="P13:P14" si="37">N13*O13</f>
        <v>194.76179200000001</v>
      </c>
      <c r="Q13" s="189">
        <f t="shared" ref="Q13:Q14" si="38">VLOOKUP(L13,Tarifa1,2)</f>
        <v>158.55000000000001</v>
      </c>
      <c r="R13" s="187">
        <f t="shared" ref="R13:R14" si="39">P13+Q13</f>
        <v>353.31179200000003</v>
      </c>
      <c r="S13" s="187">
        <f t="shared" ref="S13:S14" si="40">VLOOKUP(L13,Credito1,2)</f>
        <v>0</v>
      </c>
      <c r="T13" s="187">
        <f t="shared" ref="T13:T14" si="41">ROUND(R13-S13,2)</f>
        <v>353.31</v>
      </c>
      <c r="U13" s="186">
        <f>-IF(T13&gt;0,0,T13)</f>
        <v>0</v>
      </c>
      <c r="V13" s="186">
        <f t="shared" ref="V13" si="42">IF(T13&lt;0,0,T13)</f>
        <v>353.31</v>
      </c>
      <c r="W13" s="186">
        <f>SUM(V13:V13)</f>
        <v>353.31</v>
      </c>
      <c r="X13" s="186">
        <f>J13+U13-W13</f>
        <v>4136.1899999999996</v>
      </c>
      <c r="Y13" s="94"/>
    </row>
    <row r="14" spans="1:25" s="95" customFormat="1" ht="80.099999999999994" customHeight="1" x14ac:dyDescent="0.25">
      <c r="A14" s="235"/>
      <c r="B14" s="179" t="s">
        <v>144</v>
      </c>
      <c r="C14" s="179" t="s">
        <v>118</v>
      </c>
      <c r="D14" s="236" t="s">
        <v>136</v>
      </c>
      <c r="E14" s="181" t="s">
        <v>139</v>
      </c>
      <c r="F14" s="182">
        <v>15</v>
      </c>
      <c r="G14" s="183">
        <f>H14/F14</f>
        <v>299.3</v>
      </c>
      <c r="H14" s="184">
        <v>4489.5</v>
      </c>
      <c r="I14" s="185">
        <v>0</v>
      </c>
      <c r="J14" s="186">
        <f>SUM(H14:I14)</f>
        <v>4489.5</v>
      </c>
      <c r="K14" s="187">
        <f t="shared" si="32"/>
        <v>0</v>
      </c>
      <c r="L14" s="187">
        <f t="shared" si="33"/>
        <v>4489.5</v>
      </c>
      <c r="M14" s="187">
        <f t="shared" si="34"/>
        <v>2699.41</v>
      </c>
      <c r="N14" s="187">
        <f t="shared" si="35"/>
        <v>1790.0900000000001</v>
      </c>
      <c r="O14" s="188">
        <f t="shared" si="36"/>
        <v>0.10879999999999999</v>
      </c>
      <c r="P14" s="187">
        <f t="shared" si="37"/>
        <v>194.76179200000001</v>
      </c>
      <c r="Q14" s="189">
        <f t="shared" si="38"/>
        <v>158.55000000000001</v>
      </c>
      <c r="R14" s="187">
        <f t="shared" si="39"/>
        <v>353.31179200000003</v>
      </c>
      <c r="S14" s="187">
        <f t="shared" si="40"/>
        <v>0</v>
      </c>
      <c r="T14" s="187">
        <f t="shared" si="41"/>
        <v>353.31</v>
      </c>
      <c r="U14" s="186">
        <f>-IF(T14&gt;0,0,T14)</f>
        <v>0</v>
      </c>
      <c r="V14" s="186">
        <f t="shared" ref="V14" si="43">IF(T14&lt;0,0,T14)</f>
        <v>353.31</v>
      </c>
      <c r="W14" s="186">
        <f>SUM(V14:V14)</f>
        <v>353.31</v>
      </c>
      <c r="X14" s="186">
        <f>J14+U14-W14</f>
        <v>4136.1899999999996</v>
      </c>
      <c r="Y14" s="94"/>
    </row>
    <row r="15" spans="1:25" ht="40.5" customHeight="1" thickBot="1" x14ac:dyDescent="0.3">
      <c r="A15" s="248" t="s">
        <v>45</v>
      </c>
      <c r="B15" s="249"/>
      <c r="C15" s="249"/>
      <c r="D15" s="249"/>
      <c r="E15" s="249"/>
      <c r="F15" s="249"/>
      <c r="G15" s="250"/>
      <c r="H15" s="193">
        <f t="shared" ref="H15:X15" si="44">SUM(H10:H14)</f>
        <v>30043.27</v>
      </c>
      <c r="I15" s="193">
        <f t="shared" si="44"/>
        <v>0</v>
      </c>
      <c r="J15" s="193">
        <f t="shared" si="44"/>
        <v>30043.27</v>
      </c>
      <c r="K15" s="194">
        <f t="shared" si="44"/>
        <v>0</v>
      </c>
      <c r="L15" s="194">
        <f t="shared" si="44"/>
        <v>30043.27</v>
      </c>
      <c r="M15" s="194">
        <f t="shared" si="44"/>
        <v>23031.050000000003</v>
      </c>
      <c r="N15" s="194">
        <f t="shared" si="44"/>
        <v>7012.22</v>
      </c>
      <c r="O15" s="194">
        <f t="shared" si="44"/>
        <v>0.78960000000000008</v>
      </c>
      <c r="P15" s="194">
        <f t="shared" si="44"/>
        <v>1096.2576159999999</v>
      </c>
      <c r="Q15" s="194">
        <f t="shared" si="44"/>
        <v>2024.9999999999998</v>
      </c>
      <c r="R15" s="194">
        <f t="shared" si="44"/>
        <v>3121.2576159999999</v>
      </c>
      <c r="S15" s="194">
        <f t="shared" si="44"/>
        <v>0</v>
      </c>
      <c r="T15" s="194">
        <f t="shared" si="44"/>
        <v>3121.25</v>
      </c>
      <c r="U15" s="193">
        <f t="shared" si="44"/>
        <v>0</v>
      </c>
      <c r="V15" s="193">
        <f t="shared" si="44"/>
        <v>3121.25</v>
      </c>
      <c r="W15" s="193">
        <f t="shared" si="44"/>
        <v>3121.25</v>
      </c>
      <c r="X15" s="193">
        <f t="shared" si="44"/>
        <v>26922.019999999997</v>
      </c>
    </row>
    <row r="16" spans="1:25" ht="18.75" thickTop="1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</sheetData>
  <mergeCells count="7">
    <mergeCell ref="A15:G15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8"/>
  <sheetViews>
    <sheetView tabSelected="1" topLeftCell="B1" zoomScale="80" zoomScaleNormal="80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51" t="s">
        <v>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31" ht="19.5" x14ac:dyDescent="0.25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31" ht="19.5" x14ac:dyDescent="0.25">
      <c r="A3" s="252" t="s">
        <v>306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31" s="52" customFormat="1" ht="15.75" x14ac:dyDescent="0.25">
      <c r="A5" s="48"/>
      <c r="B5" s="130"/>
      <c r="C5" s="130"/>
      <c r="D5" s="130"/>
      <c r="E5" s="130"/>
      <c r="F5" s="131" t="s">
        <v>23</v>
      </c>
      <c r="G5" s="131" t="s">
        <v>6</v>
      </c>
      <c r="H5" s="253" t="s">
        <v>1</v>
      </c>
      <c r="I5" s="254"/>
      <c r="J5" s="255"/>
      <c r="K5" s="132" t="s">
        <v>26</v>
      </c>
      <c r="L5" s="133"/>
      <c r="M5" s="256" t="s">
        <v>9</v>
      </c>
      <c r="N5" s="257"/>
      <c r="O5" s="257"/>
      <c r="P5" s="257"/>
      <c r="Q5" s="257"/>
      <c r="R5" s="258"/>
      <c r="S5" s="132" t="s">
        <v>54</v>
      </c>
      <c r="T5" s="132" t="s">
        <v>10</v>
      </c>
      <c r="U5" s="131" t="s">
        <v>54</v>
      </c>
      <c r="V5" s="259" t="s">
        <v>2</v>
      </c>
      <c r="W5" s="260"/>
      <c r="X5" s="131" t="s">
        <v>0</v>
      </c>
      <c r="Y5" s="48"/>
    </row>
    <row r="6" spans="1:31" s="52" customFormat="1" ht="29.25" customHeight="1" x14ac:dyDescent="0.25">
      <c r="A6" s="53" t="s">
        <v>21</v>
      </c>
      <c r="B6" s="134" t="s">
        <v>104</v>
      </c>
      <c r="C6" s="134" t="s">
        <v>127</v>
      </c>
      <c r="D6" s="135" t="s">
        <v>22</v>
      </c>
      <c r="E6" s="135"/>
      <c r="F6" s="136" t="s">
        <v>24</v>
      </c>
      <c r="G6" s="135" t="s">
        <v>25</v>
      </c>
      <c r="H6" s="131" t="s">
        <v>6</v>
      </c>
      <c r="I6" s="131" t="s">
        <v>59</v>
      </c>
      <c r="J6" s="131" t="s">
        <v>28</v>
      </c>
      <c r="K6" s="137" t="s">
        <v>27</v>
      </c>
      <c r="L6" s="133" t="s">
        <v>32</v>
      </c>
      <c r="M6" s="133" t="s">
        <v>12</v>
      </c>
      <c r="N6" s="133" t="s">
        <v>34</v>
      </c>
      <c r="O6" s="133" t="s">
        <v>36</v>
      </c>
      <c r="P6" s="133" t="s">
        <v>37</v>
      </c>
      <c r="Q6" s="133" t="s">
        <v>14</v>
      </c>
      <c r="R6" s="133" t="s">
        <v>10</v>
      </c>
      <c r="S6" s="137" t="s">
        <v>40</v>
      </c>
      <c r="T6" s="137" t="s">
        <v>41</v>
      </c>
      <c r="U6" s="135" t="s">
        <v>31</v>
      </c>
      <c r="V6" s="131" t="s">
        <v>3</v>
      </c>
      <c r="W6" s="131" t="s">
        <v>7</v>
      </c>
      <c r="X6" s="135" t="s">
        <v>4</v>
      </c>
      <c r="Y6" s="53" t="s">
        <v>58</v>
      </c>
    </row>
    <row r="7" spans="1:31" s="52" customFormat="1" ht="15.75" x14ac:dyDescent="0.25">
      <c r="A7" s="61"/>
      <c r="B7" s="138"/>
      <c r="C7" s="138"/>
      <c r="D7" s="139"/>
      <c r="E7" s="139"/>
      <c r="F7" s="139"/>
      <c r="G7" s="139"/>
      <c r="H7" s="139" t="s">
        <v>47</v>
      </c>
      <c r="I7" s="139" t="s">
        <v>60</v>
      </c>
      <c r="J7" s="139" t="s">
        <v>29</v>
      </c>
      <c r="K7" s="140" t="s">
        <v>43</v>
      </c>
      <c r="L7" s="132" t="s">
        <v>33</v>
      </c>
      <c r="M7" s="132" t="s">
        <v>13</v>
      </c>
      <c r="N7" s="132" t="s">
        <v>35</v>
      </c>
      <c r="O7" s="132" t="s">
        <v>35</v>
      </c>
      <c r="P7" s="132" t="s">
        <v>38</v>
      </c>
      <c r="Q7" s="132" t="s">
        <v>15</v>
      </c>
      <c r="R7" s="132" t="s">
        <v>39</v>
      </c>
      <c r="S7" s="137" t="s">
        <v>53</v>
      </c>
      <c r="T7" s="141" t="s">
        <v>245</v>
      </c>
      <c r="U7" s="139" t="s">
        <v>53</v>
      </c>
      <c r="V7" s="139"/>
      <c r="W7" s="139" t="s">
        <v>44</v>
      </c>
      <c r="X7" s="139" t="s">
        <v>5</v>
      </c>
      <c r="Y7" s="58"/>
    </row>
    <row r="8" spans="1:31" s="52" customFormat="1" ht="43.5" customHeight="1" x14ac:dyDescent="0.25">
      <c r="A8" s="63"/>
      <c r="B8" s="142" t="s">
        <v>104</v>
      </c>
      <c r="C8" s="142" t="s">
        <v>127</v>
      </c>
      <c r="D8" s="143" t="s">
        <v>63</v>
      </c>
      <c r="E8" s="144" t="s">
        <v>62</v>
      </c>
      <c r="F8" s="144"/>
      <c r="G8" s="144"/>
      <c r="H8" s="145">
        <f>SUM(H9:H11)</f>
        <v>46002.5</v>
      </c>
      <c r="I8" s="145">
        <f>SUM(I9:I11)</f>
        <v>0</v>
      </c>
      <c r="J8" s="145">
        <f>SUM(J9:J11)</f>
        <v>46002.5</v>
      </c>
      <c r="K8" s="144"/>
      <c r="L8" s="144"/>
      <c r="M8" s="144"/>
      <c r="N8" s="144"/>
      <c r="O8" s="144"/>
      <c r="P8" s="144"/>
      <c r="Q8" s="144"/>
      <c r="R8" s="144"/>
      <c r="S8" s="144"/>
      <c r="T8" s="146"/>
      <c r="U8" s="145">
        <f>SUM(U9:U11)</f>
        <v>0</v>
      </c>
      <c r="V8" s="145">
        <f>SUM(V9:V11)</f>
        <v>8415.6899999999987</v>
      </c>
      <c r="W8" s="145">
        <f>SUM(W9:W11)</f>
        <v>8415.6899999999987</v>
      </c>
      <c r="X8" s="145">
        <f>SUM(X9:X11)</f>
        <v>37586.81</v>
      </c>
      <c r="Y8" s="64"/>
    </row>
    <row r="9" spans="1:31" s="52" customFormat="1" ht="80.099999999999994" customHeight="1" x14ac:dyDescent="0.25">
      <c r="A9" s="86" t="s">
        <v>86</v>
      </c>
      <c r="B9" s="178" t="s">
        <v>238</v>
      </c>
      <c r="C9" s="179" t="s">
        <v>118</v>
      </c>
      <c r="D9" s="181" t="s">
        <v>239</v>
      </c>
      <c r="E9" s="180" t="s">
        <v>240</v>
      </c>
      <c r="F9" s="182">
        <v>10</v>
      </c>
      <c r="G9" s="183">
        <v>1677.25</v>
      </c>
      <c r="H9" s="184">
        <v>26898</v>
      </c>
      <c r="I9" s="185">
        <v>0</v>
      </c>
      <c r="J9" s="186">
        <f>SUM(H9:I9)</f>
        <v>26898</v>
      </c>
      <c r="K9" s="187">
        <f>IF(H9/15&lt;=SMG,0,I9/2)</f>
        <v>0</v>
      </c>
      <c r="L9" s="187">
        <f>H9+K9</f>
        <v>26898</v>
      </c>
      <c r="M9" s="187">
        <f>VLOOKUP(L9,Tarifa1,1)</f>
        <v>20988.91</v>
      </c>
      <c r="N9" s="187">
        <f>L9-M9</f>
        <v>5909.09</v>
      </c>
      <c r="O9" s="188">
        <f>VLOOKUP(L9,Tarifa1,3)</f>
        <v>0.3</v>
      </c>
      <c r="P9" s="187">
        <f>N9*O9</f>
        <v>1772.7270000000001</v>
      </c>
      <c r="Q9" s="189">
        <f>VLOOKUP(L9,Tarifa1,2)</f>
        <v>3937.8</v>
      </c>
      <c r="R9" s="187">
        <f>P9+Q9</f>
        <v>5710.527</v>
      </c>
      <c r="S9" s="187">
        <f>VLOOKUP(L9,Credito1,2)</f>
        <v>0</v>
      </c>
      <c r="T9" s="187">
        <f>ROUND(R9-S9,2)</f>
        <v>5710.53</v>
      </c>
      <c r="U9" s="186">
        <f>-IF(T9&gt;0,0,T9)</f>
        <v>0</v>
      </c>
      <c r="V9" s="195">
        <f>IF(T9&lt;0,0,T9)</f>
        <v>5710.53</v>
      </c>
      <c r="W9" s="186">
        <f>SUM(V9:V9)</f>
        <v>5710.53</v>
      </c>
      <c r="X9" s="186">
        <f>J9+U9-W9</f>
        <v>21187.47</v>
      </c>
      <c r="Y9" s="59"/>
    </row>
    <row r="10" spans="1:31" s="52" customFormat="1" ht="80.099999999999994" customHeight="1" x14ac:dyDescent="0.25">
      <c r="A10" s="86" t="s">
        <v>87</v>
      </c>
      <c r="B10" s="178" t="s">
        <v>171</v>
      </c>
      <c r="C10" s="179" t="s">
        <v>118</v>
      </c>
      <c r="D10" s="180" t="s">
        <v>160</v>
      </c>
      <c r="E10" s="181" t="s">
        <v>241</v>
      </c>
      <c r="F10" s="182">
        <v>10</v>
      </c>
      <c r="G10" s="183">
        <v>850.15</v>
      </c>
      <c r="H10" s="184">
        <v>13634</v>
      </c>
      <c r="I10" s="185">
        <v>0</v>
      </c>
      <c r="J10" s="186">
        <f>SUM(H10:I10)</f>
        <v>13634</v>
      </c>
      <c r="K10" s="187">
        <f>IF(H10/15&lt;=SMG,0,I10/2)</f>
        <v>0</v>
      </c>
      <c r="L10" s="187">
        <f t="shared" ref="L10" si="0">H10+K10</f>
        <v>13634</v>
      </c>
      <c r="M10" s="187">
        <f>VLOOKUP(L10,Tarifa1,1)</f>
        <v>13316.71</v>
      </c>
      <c r="N10" s="187">
        <f t="shared" ref="N10" si="1">L10-M10</f>
        <v>317.29000000000087</v>
      </c>
      <c r="O10" s="188">
        <f>VLOOKUP(L10,Tarifa1,3)</f>
        <v>0.23519999999999999</v>
      </c>
      <c r="P10" s="187">
        <f t="shared" ref="P10" si="2">N10*O10</f>
        <v>74.626608000000203</v>
      </c>
      <c r="Q10" s="189">
        <f>VLOOKUP(L10,Tarifa1,2)</f>
        <v>2133.3000000000002</v>
      </c>
      <c r="R10" s="187">
        <f t="shared" ref="R10" si="3">P10+Q10</f>
        <v>2207.9266080000002</v>
      </c>
      <c r="S10" s="187">
        <f>VLOOKUP(L10,Credito1,2)</f>
        <v>0</v>
      </c>
      <c r="T10" s="187">
        <f t="shared" ref="T10" si="4">ROUND(R10-S10,2)</f>
        <v>2207.9299999999998</v>
      </c>
      <c r="U10" s="186">
        <f>-IF(T10&gt;0,0,T10)</f>
        <v>0</v>
      </c>
      <c r="V10" s="186">
        <f>IF(T10&lt;0,0,T10)</f>
        <v>2207.9299999999998</v>
      </c>
      <c r="W10" s="186">
        <f>SUM(V10:V10)</f>
        <v>2207.9299999999998</v>
      </c>
      <c r="X10" s="186">
        <f>J10+U10-W10</f>
        <v>11426.07</v>
      </c>
      <c r="Y10" s="59"/>
      <c r="AE10" s="60"/>
    </row>
    <row r="11" spans="1:31" s="52" customFormat="1" ht="80.099999999999994" customHeight="1" x14ac:dyDescent="0.25">
      <c r="A11" s="86"/>
      <c r="B11" s="179" t="s">
        <v>110</v>
      </c>
      <c r="C11" s="178" t="s">
        <v>118</v>
      </c>
      <c r="D11" s="180" t="s">
        <v>66</v>
      </c>
      <c r="E11" s="180" t="s">
        <v>64</v>
      </c>
      <c r="F11" s="182">
        <v>15</v>
      </c>
      <c r="G11" s="183">
        <v>341.11</v>
      </c>
      <c r="H11" s="184">
        <v>5470.5</v>
      </c>
      <c r="I11" s="185">
        <v>0</v>
      </c>
      <c r="J11" s="186">
        <f>SUM(H11:I11)</f>
        <v>5470.5</v>
      </c>
      <c r="K11" s="187">
        <f>IF(H11/15&lt;=SMG,0,I11/2)</f>
        <v>0</v>
      </c>
      <c r="L11" s="187">
        <f t="shared" ref="L11" si="5">H11+K11</f>
        <v>5470.5</v>
      </c>
      <c r="M11" s="187">
        <f>VLOOKUP(L11,Tarifa1,1)</f>
        <v>4744.0600000000004</v>
      </c>
      <c r="N11" s="187">
        <f t="shared" ref="N11" si="6">L11-M11</f>
        <v>726.4399999999996</v>
      </c>
      <c r="O11" s="188">
        <f>VLOOKUP(L11,Tarifa1,3)</f>
        <v>0.16</v>
      </c>
      <c r="P11" s="187">
        <f t="shared" ref="P11" si="7">N11*O11</f>
        <v>116.23039999999993</v>
      </c>
      <c r="Q11" s="189">
        <f>VLOOKUP(L11,Tarifa1,2)</f>
        <v>381</v>
      </c>
      <c r="R11" s="187">
        <f t="shared" ref="R11" si="8">P11+Q11</f>
        <v>497.23039999999992</v>
      </c>
      <c r="S11" s="187">
        <f>VLOOKUP(L11,Credito1,2)</f>
        <v>0</v>
      </c>
      <c r="T11" s="187">
        <f t="shared" ref="T11" si="9">ROUND(R11-S11,2)</f>
        <v>497.23</v>
      </c>
      <c r="U11" s="186">
        <f>-IF(T11&gt;0,0,T11)</f>
        <v>0</v>
      </c>
      <c r="V11" s="186">
        <f>IF(T11&lt;0,0,T11)</f>
        <v>497.23</v>
      </c>
      <c r="W11" s="186">
        <f>SUM(V11:V11)</f>
        <v>497.23</v>
      </c>
      <c r="X11" s="186">
        <f>J11+U11-W11</f>
        <v>4973.2700000000004</v>
      </c>
      <c r="Y11" s="59"/>
      <c r="AE11" s="60"/>
    </row>
    <row r="12" spans="1:31" s="52" customFormat="1" ht="44.25" customHeight="1" x14ac:dyDescent="0.25">
      <c r="A12" s="86"/>
      <c r="B12" s="142" t="s">
        <v>104</v>
      </c>
      <c r="C12" s="142" t="s">
        <v>127</v>
      </c>
      <c r="D12" s="143" t="s">
        <v>122</v>
      </c>
      <c r="E12" s="144" t="s">
        <v>62</v>
      </c>
      <c r="F12" s="144"/>
      <c r="G12" s="144"/>
      <c r="H12" s="145">
        <f>SUM(H13)</f>
        <v>6125.5</v>
      </c>
      <c r="I12" s="145">
        <f>SUM(I13)</f>
        <v>0</v>
      </c>
      <c r="J12" s="145">
        <f>SUM(J13)</f>
        <v>6125.5</v>
      </c>
      <c r="K12" s="144"/>
      <c r="L12" s="144"/>
      <c r="M12" s="144"/>
      <c r="N12" s="144"/>
      <c r="O12" s="144"/>
      <c r="P12" s="144"/>
      <c r="Q12" s="147"/>
      <c r="R12" s="144"/>
      <c r="S12" s="144"/>
      <c r="T12" s="146"/>
      <c r="U12" s="145">
        <f>SUM(U13)</f>
        <v>0</v>
      </c>
      <c r="V12" s="145">
        <f>SUM(V13)</f>
        <v>613.74</v>
      </c>
      <c r="W12" s="145">
        <f>SUM(W13)</f>
        <v>613.74</v>
      </c>
      <c r="X12" s="145">
        <f>SUM(X13)</f>
        <v>5511.76</v>
      </c>
      <c r="Y12" s="64"/>
      <c r="AE12" s="60"/>
    </row>
    <row r="13" spans="1:31" s="52" customFormat="1" ht="80.099999999999994" customHeight="1" x14ac:dyDescent="0.25">
      <c r="A13" s="86" t="s">
        <v>88</v>
      </c>
      <c r="B13" s="178" t="s">
        <v>164</v>
      </c>
      <c r="C13" s="179" t="s">
        <v>118</v>
      </c>
      <c r="D13" s="192" t="s">
        <v>145</v>
      </c>
      <c r="E13" s="181" t="s">
        <v>100</v>
      </c>
      <c r="F13" s="182">
        <v>15</v>
      </c>
      <c r="G13" s="183">
        <v>381.95</v>
      </c>
      <c r="H13" s="184">
        <v>6125.5</v>
      </c>
      <c r="I13" s="185">
        <v>0</v>
      </c>
      <c r="J13" s="186">
        <f>H13</f>
        <v>6125.5</v>
      </c>
      <c r="K13" s="187">
        <f>IF(H13/15&lt;=SMG,0,I13/2)</f>
        <v>0</v>
      </c>
      <c r="L13" s="187">
        <f t="shared" ref="L13" si="10">H13+K13</f>
        <v>6125.5</v>
      </c>
      <c r="M13" s="187">
        <f>VLOOKUP(L13,Tarifa1,1)</f>
        <v>5514.76</v>
      </c>
      <c r="N13" s="187">
        <f t="shared" ref="N13" si="11">L13-M13</f>
        <v>610.73999999999978</v>
      </c>
      <c r="O13" s="188">
        <f>VLOOKUP(L13,Tarifa1,3)</f>
        <v>0.1792</v>
      </c>
      <c r="P13" s="187">
        <f t="shared" ref="P13" si="12">N13*O13</f>
        <v>109.44460799999996</v>
      </c>
      <c r="Q13" s="189">
        <f>VLOOKUP(L13,Tarifa1,2)</f>
        <v>504.3</v>
      </c>
      <c r="R13" s="187">
        <f t="shared" ref="R13" si="13">P13+Q13</f>
        <v>613.74460799999997</v>
      </c>
      <c r="S13" s="187">
        <f>VLOOKUP(L13,Credito1,2)</f>
        <v>0</v>
      </c>
      <c r="T13" s="187">
        <f t="shared" ref="T13" si="14">ROUND(R13-S13,2)</f>
        <v>613.74</v>
      </c>
      <c r="U13" s="186">
        <f>-IF(T13&gt;0,0,T13)</f>
        <v>0</v>
      </c>
      <c r="V13" s="186">
        <f>IF(T13&lt;0,0,T13)</f>
        <v>613.74</v>
      </c>
      <c r="W13" s="186">
        <f>SUM(V13:V13)</f>
        <v>613.74</v>
      </c>
      <c r="X13" s="186">
        <f>J13+U13-W13</f>
        <v>5511.76</v>
      </c>
      <c r="Y13" s="59"/>
      <c r="AE13" s="60"/>
    </row>
    <row r="14" spans="1:31" s="52" customFormat="1" ht="44.25" customHeight="1" x14ac:dyDescent="0.25">
      <c r="A14" s="86"/>
      <c r="B14" s="142" t="s">
        <v>104</v>
      </c>
      <c r="C14" s="142" t="s">
        <v>127</v>
      </c>
      <c r="D14" s="143" t="s">
        <v>123</v>
      </c>
      <c r="E14" s="144" t="s">
        <v>62</v>
      </c>
      <c r="F14" s="144"/>
      <c r="G14" s="144"/>
      <c r="H14" s="145">
        <v>4896.5</v>
      </c>
      <c r="I14" s="145">
        <f>SUM(I15)</f>
        <v>0</v>
      </c>
      <c r="J14" s="145">
        <f>SUM(J15)</f>
        <v>4896.5</v>
      </c>
      <c r="K14" s="144"/>
      <c r="L14" s="144"/>
      <c r="M14" s="144"/>
      <c r="N14" s="144"/>
      <c r="O14" s="144"/>
      <c r="P14" s="144"/>
      <c r="Q14" s="147"/>
      <c r="R14" s="144"/>
      <c r="S14" s="144"/>
      <c r="T14" s="146"/>
      <c r="U14" s="145">
        <f>SUM(U15)</f>
        <v>0</v>
      </c>
      <c r="V14" s="145">
        <f>SUM(V15)</f>
        <v>405.39</v>
      </c>
      <c r="W14" s="145">
        <f>SUM(W15)</f>
        <v>405.39</v>
      </c>
      <c r="X14" s="145">
        <f>SUM(X15)</f>
        <v>4491.1099999999997</v>
      </c>
      <c r="Y14" s="64"/>
      <c r="AE14" s="60"/>
    </row>
    <row r="15" spans="1:31" s="52" customFormat="1" ht="80.099999999999994" customHeight="1" x14ac:dyDescent="0.25">
      <c r="A15" s="86" t="s">
        <v>90</v>
      </c>
      <c r="B15" s="179" t="s">
        <v>111</v>
      </c>
      <c r="C15" s="179" t="s">
        <v>118</v>
      </c>
      <c r="D15" s="181" t="s">
        <v>101</v>
      </c>
      <c r="E15" s="180" t="s">
        <v>67</v>
      </c>
      <c r="F15" s="182">
        <v>15</v>
      </c>
      <c r="G15" s="183">
        <v>305.35000000000002</v>
      </c>
      <c r="H15" s="184">
        <v>4896.5</v>
      </c>
      <c r="I15" s="185">
        <v>0</v>
      </c>
      <c r="J15" s="186">
        <f>SUM(H15:I15)</f>
        <v>4896.5</v>
      </c>
      <c r="K15" s="187">
        <f>IF(H15/15&lt;=SMG,0,I15/2)</f>
        <v>0</v>
      </c>
      <c r="L15" s="187">
        <f t="shared" ref="L15" si="15">H15+K15</f>
        <v>4896.5</v>
      </c>
      <c r="M15" s="187">
        <f>VLOOKUP(L15,Tarifa1,1)</f>
        <v>4744.0600000000004</v>
      </c>
      <c r="N15" s="187">
        <f t="shared" ref="N15" si="16">L15-M15</f>
        <v>152.4399999999996</v>
      </c>
      <c r="O15" s="188">
        <f>VLOOKUP(L15,Tarifa1,3)</f>
        <v>0.16</v>
      </c>
      <c r="P15" s="187">
        <f t="shared" ref="P15" si="17">N15*O15</f>
        <v>24.390399999999936</v>
      </c>
      <c r="Q15" s="189">
        <f>VLOOKUP(L15,Tarifa1,2)</f>
        <v>381</v>
      </c>
      <c r="R15" s="187">
        <f t="shared" ref="R15" si="18">P15+Q15</f>
        <v>405.39039999999994</v>
      </c>
      <c r="S15" s="187">
        <f>VLOOKUP(L15,Credito1,2)</f>
        <v>0</v>
      </c>
      <c r="T15" s="187">
        <f t="shared" ref="T15" si="19">ROUND(R15-S15,2)</f>
        <v>405.39</v>
      </c>
      <c r="U15" s="186">
        <f>-IF(T15&gt;0,0,T15)</f>
        <v>0</v>
      </c>
      <c r="V15" s="186">
        <f>IF(T15&lt;0,0,T15)</f>
        <v>405.39</v>
      </c>
      <c r="W15" s="186">
        <f>SUM(V15:V15)</f>
        <v>405.39</v>
      </c>
      <c r="X15" s="186">
        <f>J15+U15-W15</f>
        <v>4491.1099999999997</v>
      </c>
      <c r="Y15" s="59"/>
      <c r="AE15" s="65"/>
    </row>
    <row r="16" spans="1:31" s="52" customFormat="1" ht="43.5" customHeight="1" x14ac:dyDescent="0.25">
      <c r="A16" s="86"/>
      <c r="B16" s="142" t="s">
        <v>104</v>
      </c>
      <c r="C16" s="142" t="s">
        <v>127</v>
      </c>
      <c r="D16" s="143" t="s">
        <v>124</v>
      </c>
      <c r="E16" s="144" t="s">
        <v>62</v>
      </c>
      <c r="F16" s="144"/>
      <c r="G16" s="144"/>
      <c r="H16" s="145">
        <f>SUM(H17:H18)</f>
        <v>13812.84</v>
      </c>
      <c r="I16" s="145">
        <f>SUM(I17:I18)</f>
        <v>0</v>
      </c>
      <c r="J16" s="145">
        <f>SUM(J17:J18)</f>
        <v>13812.84</v>
      </c>
      <c r="K16" s="144"/>
      <c r="L16" s="144"/>
      <c r="M16" s="144"/>
      <c r="N16" s="144"/>
      <c r="O16" s="144"/>
      <c r="P16" s="144"/>
      <c r="Q16" s="147"/>
      <c r="R16" s="144"/>
      <c r="S16" s="144"/>
      <c r="T16" s="146"/>
      <c r="U16" s="145">
        <f>SUM(U17:U18)</f>
        <v>0</v>
      </c>
      <c r="V16" s="145">
        <f>SUM(V17:V18)</f>
        <v>1708.53</v>
      </c>
      <c r="W16" s="145">
        <f>SUM(W17:W18)</f>
        <v>1708.53</v>
      </c>
      <c r="X16" s="145">
        <f>SUM(X17:X18)</f>
        <v>12104.31</v>
      </c>
      <c r="Y16" s="64"/>
      <c r="AE16" s="65"/>
    </row>
    <row r="17" spans="1:3222" s="52" customFormat="1" ht="80.099999999999994" customHeight="1" x14ac:dyDescent="0.25">
      <c r="A17" s="86" t="s">
        <v>91</v>
      </c>
      <c r="B17" s="178" t="s">
        <v>165</v>
      </c>
      <c r="C17" s="179" t="s">
        <v>118</v>
      </c>
      <c r="D17" s="181" t="s">
        <v>146</v>
      </c>
      <c r="E17" s="181" t="s">
        <v>85</v>
      </c>
      <c r="F17" s="182">
        <v>15</v>
      </c>
      <c r="G17" s="183">
        <v>625.85200000000009</v>
      </c>
      <c r="H17" s="184">
        <v>10037</v>
      </c>
      <c r="I17" s="185">
        <v>0</v>
      </c>
      <c r="J17" s="186">
        <f>H17</f>
        <v>10037</v>
      </c>
      <c r="K17" s="187">
        <f>IF(H17/15&lt;=SMG,0,I17/2)</f>
        <v>0</v>
      </c>
      <c r="L17" s="187">
        <f t="shared" ref="L17:L18" si="20">H17+K17</f>
        <v>10037</v>
      </c>
      <c r="M17" s="187">
        <f>VLOOKUP(L17,Tarifa1,1)</f>
        <v>6602.71</v>
      </c>
      <c r="N17" s="187">
        <f t="shared" ref="N17:N18" si="21">L17-M17</f>
        <v>3434.29</v>
      </c>
      <c r="O17" s="188">
        <f>VLOOKUP(L17,Tarifa1,3)</f>
        <v>0.21360000000000001</v>
      </c>
      <c r="P17" s="187">
        <f t="shared" ref="P17:P18" si="22">N17*O17</f>
        <v>733.56434400000001</v>
      </c>
      <c r="Q17" s="189">
        <f>VLOOKUP(L17,Tarifa1,2)</f>
        <v>699.3</v>
      </c>
      <c r="R17" s="187">
        <f t="shared" ref="R17:R18" si="23">P17+Q17</f>
        <v>1432.8643440000001</v>
      </c>
      <c r="S17" s="187">
        <f>VLOOKUP(L17,Credito1,2)</f>
        <v>0</v>
      </c>
      <c r="T17" s="187">
        <f t="shared" ref="T17:T18" si="24">ROUND(R17-S17,2)</f>
        <v>1432.86</v>
      </c>
      <c r="U17" s="186">
        <f>-IF(T17&gt;0,0,T17)</f>
        <v>0</v>
      </c>
      <c r="V17" s="186">
        <f>IF(T17&lt;0,0,T17)</f>
        <v>1432.86</v>
      </c>
      <c r="W17" s="186">
        <f>SUM(V17:V17)</f>
        <v>1432.86</v>
      </c>
      <c r="X17" s="186">
        <f>J17+U17-W17</f>
        <v>8604.14</v>
      </c>
      <c r="Y17" s="59"/>
      <c r="AE17" s="65"/>
    </row>
    <row r="18" spans="1:3222" s="52" customFormat="1" ht="80.099999999999994" customHeight="1" x14ac:dyDescent="0.25">
      <c r="A18" s="177"/>
      <c r="B18" s="196" t="s">
        <v>291</v>
      </c>
      <c r="C18" s="197" t="s">
        <v>118</v>
      </c>
      <c r="D18" s="198" t="s">
        <v>292</v>
      </c>
      <c r="E18" s="201" t="s">
        <v>293</v>
      </c>
      <c r="F18" s="199"/>
      <c r="G18" s="200"/>
      <c r="H18" s="184">
        <v>3775.84</v>
      </c>
      <c r="I18" s="185">
        <v>0</v>
      </c>
      <c r="J18" s="186">
        <f t="shared" ref="J18" si="25">SUM(H18:I18)</f>
        <v>3775.84</v>
      </c>
      <c r="K18" s="187">
        <f t="shared" ref="K18" si="26">IF(H18/15&lt;=SMG,0,I18/2)</f>
        <v>0</v>
      </c>
      <c r="L18" s="187">
        <f t="shared" si="20"/>
        <v>3775.84</v>
      </c>
      <c r="M18" s="187">
        <f t="shared" ref="M18" si="27">VLOOKUP(L18,Tarifa1,1)</f>
        <v>2699.41</v>
      </c>
      <c r="N18" s="187">
        <f t="shared" si="21"/>
        <v>1076.4300000000003</v>
      </c>
      <c r="O18" s="188">
        <f t="shared" ref="O18" si="28">VLOOKUP(L18,Tarifa1,3)</f>
        <v>0.10879999999999999</v>
      </c>
      <c r="P18" s="187">
        <f t="shared" si="22"/>
        <v>117.11558400000003</v>
      </c>
      <c r="Q18" s="189">
        <f t="shared" ref="Q18" si="29">VLOOKUP(L18,Tarifa1,2)</f>
        <v>158.55000000000001</v>
      </c>
      <c r="R18" s="187">
        <f t="shared" si="23"/>
        <v>275.66558400000002</v>
      </c>
      <c r="S18" s="190">
        <f t="shared" ref="S18" si="30">VLOOKUP(L18,Credito1,2)</f>
        <v>0</v>
      </c>
      <c r="T18" s="187">
        <f t="shared" si="24"/>
        <v>275.67</v>
      </c>
      <c r="U18" s="186">
        <f>-IF(T18&gt;0,0,T18)</f>
        <v>0</v>
      </c>
      <c r="V18" s="186">
        <f>IF(T18&lt;0,0,T18)</f>
        <v>275.67</v>
      </c>
      <c r="W18" s="186">
        <f>SUM(V18:V18)</f>
        <v>275.67</v>
      </c>
      <c r="X18" s="186">
        <f>J18+U18-W18</f>
        <v>3500.17</v>
      </c>
      <c r="Y18" s="57"/>
      <c r="AE18" s="65"/>
    </row>
    <row r="19" spans="1:3222" s="67" customFormat="1" ht="42" customHeight="1" x14ac:dyDescent="0.25">
      <c r="A19" s="148"/>
      <c r="B19" s="142" t="s">
        <v>104</v>
      </c>
      <c r="C19" s="142" t="s">
        <v>127</v>
      </c>
      <c r="D19" s="143" t="s">
        <v>125</v>
      </c>
      <c r="E19" s="144" t="s">
        <v>62</v>
      </c>
      <c r="F19" s="144"/>
      <c r="G19" s="144"/>
      <c r="H19" s="145">
        <f>SUM(H20:H21)</f>
        <v>5735</v>
      </c>
      <c r="I19" s="145">
        <f>SUM(I20:I21)</f>
        <v>0</v>
      </c>
      <c r="J19" s="145">
        <f>SUM(J20:J21)</f>
        <v>5735</v>
      </c>
      <c r="K19" s="144"/>
      <c r="L19" s="144"/>
      <c r="M19" s="144"/>
      <c r="N19" s="144"/>
      <c r="O19" s="144"/>
      <c r="P19" s="144"/>
      <c r="Q19" s="147"/>
      <c r="R19" s="144"/>
      <c r="S19" s="144"/>
      <c r="T19" s="146"/>
      <c r="U19" s="145">
        <f>SUM(U20:U21)</f>
        <v>0</v>
      </c>
      <c r="V19" s="145">
        <f>SUM(V20:V21)</f>
        <v>62.98</v>
      </c>
      <c r="W19" s="145">
        <f>SUM(W20:W21)</f>
        <v>62.98</v>
      </c>
      <c r="X19" s="145">
        <f>SUM(X20:X21)</f>
        <v>5672.02</v>
      </c>
      <c r="Y19" s="64"/>
      <c r="Z19" s="89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  <c r="AOP19" s="52"/>
      <c r="AOQ19" s="52"/>
      <c r="AOR19" s="52"/>
      <c r="AOS19" s="52"/>
      <c r="AOT19" s="52"/>
      <c r="AOU19" s="52"/>
      <c r="AOV19" s="52"/>
      <c r="AOW19" s="52"/>
      <c r="AOX19" s="52"/>
      <c r="AOY19" s="52"/>
      <c r="AOZ19" s="52"/>
      <c r="APA19" s="52"/>
      <c r="APB19" s="52"/>
      <c r="APC19" s="52"/>
      <c r="APD19" s="52"/>
      <c r="APE19" s="52"/>
      <c r="APF19" s="52"/>
      <c r="APG19" s="52"/>
      <c r="APH19" s="52"/>
      <c r="API19" s="52"/>
      <c r="APJ19" s="52"/>
      <c r="APK19" s="52"/>
      <c r="APL19" s="52"/>
      <c r="APM19" s="52"/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52"/>
      <c r="AQE19" s="52"/>
      <c r="AQF19" s="52"/>
      <c r="AQG19" s="52"/>
      <c r="AQH19" s="52"/>
      <c r="AQI19" s="52"/>
      <c r="AQJ19" s="52"/>
      <c r="AQK19" s="52"/>
      <c r="AQL19" s="52"/>
      <c r="AQM19" s="52"/>
      <c r="AQN19" s="52"/>
      <c r="AQO19" s="52"/>
      <c r="AQP19" s="52"/>
      <c r="AQQ19" s="52"/>
      <c r="AQR19" s="52"/>
      <c r="AQS19" s="52"/>
      <c r="AQT19" s="52"/>
      <c r="AQU19" s="52"/>
      <c r="AQV19" s="52"/>
      <c r="AQW19" s="52"/>
      <c r="AQX19" s="52"/>
      <c r="AQY19" s="52"/>
      <c r="AQZ19" s="52"/>
      <c r="ARA19" s="52"/>
      <c r="ARB19" s="52"/>
      <c r="ARC19" s="52"/>
      <c r="ARD19" s="52"/>
      <c r="ARE19" s="52"/>
      <c r="ARF19" s="52"/>
      <c r="ARG19" s="52"/>
      <c r="ARH19" s="52"/>
      <c r="ARI19" s="52"/>
      <c r="ARJ19" s="52"/>
      <c r="ARK19" s="52"/>
      <c r="ARL19" s="52"/>
      <c r="ARM19" s="52"/>
      <c r="ARN19" s="52"/>
      <c r="ARO19" s="52"/>
      <c r="ARP19" s="52"/>
      <c r="ARQ19" s="52"/>
      <c r="ARR19" s="52"/>
      <c r="ARS19" s="52"/>
      <c r="ART19" s="52"/>
      <c r="ARU19" s="52"/>
      <c r="ARV19" s="52"/>
      <c r="ARW19" s="52"/>
      <c r="ARX19" s="52"/>
      <c r="ARY19" s="52"/>
      <c r="ARZ19" s="52"/>
      <c r="ASA19" s="52"/>
      <c r="ASB19" s="52"/>
      <c r="ASC19" s="52"/>
      <c r="ASD19" s="52"/>
      <c r="ASE19" s="52"/>
      <c r="ASF19" s="52"/>
      <c r="ASG19" s="52"/>
      <c r="ASH19" s="52"/>
      <c r="ASI19" s="52"/>
      <c r="ASJ19" s="52"/>
      <c r="ASK19" s="52"/>
      <c r="ASL19" s="52"/>
      <c r="ASM19" s="52"/>
      <c r="ASN19" s="52"/>
      <c r="ASO19" s="52"/>
      <c r="ASP19" s="52"/>
      <c r="ASQ19" s="52"/>
      <c r="ASR19" s="52"/>
      <c r="ASS19" s="52"/>
      <c r="AST19" s="52"/>
      <c r="ASU19" s="52"/>
      <c r="ASV19" s="52"/>
      <c r="ASW19" s="52"/>
      <c r="ASX19" s="52"/>
      <c r="ASY19" s="52"/>
      <c r="ASZ19" s="52"/>
      <c r="ATA19" s="52"/>
      <c r="ATB19" s="52"/>
      <c r="ATC19" s="52"/>
      <c r="ATD19" s="52"/>
      <c r="ATE19" s="52"/>
      <c r="ATF19" s="52"/>
      <c r="ATG19" s="52"/>
      <c r="ATH19" s="52"/>
      <c r="ATI19" s="52"/>
      <c r="ATJ19" s="52"/>
      <c r="ATK19" s="52"/>
      <c r="ATL19" s="52"/>
      <c r="ATM19" s="52"/>
      <c r="ATN19" s="52"/>
      <c r="ATO19" s="52"/>
      <c r="ATP19" s="52"/>
      <c r="ATQ19" s="52"/>
      <c r="ATR19" s="52"/>
      <c r="ATS19" s="52"/>
      <c r="ATT19" s="52"/>
      <c r="ATU19" s="52"/>
      <c r="ATV19" s="52"/>
      <c r="ATW19" s="52"/>
      <c r="ATX19" s="52"/>
      <c r="ATY19" s="52"/>
      <c r="ATZ19" s="52"/>
      <c r="AUA19" s="52"/>
      <c r="AUB19" s="52"/>
      <c r="AUC19" s="52"/>
      <c r="AUD19" s="52"/>
      <c r="AUE19" s="52"/>
      <c r="AUF19" s="52"/>
      <c r="AUG19" s="52"/>
      <c r="AUH19" s="52"/>
      <c r="AUI19" s="52"/>
      <c r="AUJ19" s="52"/>
      <c r="AUK19" s="52"/>
      <c r="AUL19" s="52"/>
      <c r="AUM19" s="52"/>
      <c r="AUN19" s="52"/>
      <c r="AUO19" s="52"/>
      <c r="AUP19" s="52"/>
      <c r="AUQ19" s="52"/>
      <c r="AUR19" s="52"/>
      <c r="AUS19" s="52"/>
      <c r="AUT19" s="52"/>
      <c r="AUU19" s="52"/>
      <c r="AUV19" s="52"/>
      <c r="AUW19" s="52"/>
      <c r="AUX19" s="52"/>
      <c r="AUY19" s="52"/>
      <c r="AUZ19" s="52"/>
      <c r="AVA19" s="52"/>
      <c r="AVB19" s="52"/>
      <c r="AVC19" s="52"/>
      <c r="AVD19" s="52"/>
      <c r="AVE19" s="52"/>
      <c r="AVF19" s="52"/>
      <c r="AVG19" s="52"/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52"/>
      <c r="AVU19" s="52"/>
      <c r="AVV19" s="52"/>
      <c r="AVW19" s="52"/>
      <c r="AVX19" s="52"/>
      <c r="AVY19" s="52"/>
      <c r="AVZ19" s="52"/>
      <c r="AWA19" s="52"/>
      <c r="AWB19" s="52"/>
      <c r="AWC19" s="52"/>
      <c r="AWD19" s="52"/>
      <c r="AWE19" s="52"/>
      <c r="AWF19" s="52"/>
      <c r="AWG19" s="52"/>
      <c r="AWH19" s="52"/>
      <c r="AWI19" s="52"/>
      <c r="AWJ19" s="52"/>
      <c r="AWK19" s="52"/>
      <c r="AWL19" s="52"/>
      <c r="AWM19" s="52"/>
      <c r="AWN19" s="52"/>
      <c r="AWO19" s="52"/>
      <c r="AWP19" s="52"/>
      <c r="AWQ19" s="52"/>
      <c r="AWR19" s="52"/>
      <c r="AWS19" s="52"/>
      <c r="AWT19" s="52"/>
      <c r="AWU19" s="52"/>
      <c r="AWV19" s="52"/>
      <c r="AWW19" s="52"/>
      <c r="AWX19" s="52"/>
      <c r="AWY19" s="52"/>
      <c r="AWZ19" s="52"/>
      <c r="AXA19" s="52"/>
      <c r="AXB19" s="52"/>
      <c r="AXC19" s="52"/>
      <c r="AXD19" s="52"/>
      <c r="AXE19" s="52"/>
      <c r="AXF19" s="52"/>
      <c r="AXG19" s="52"/>
      <c r="AXH19" s="52"/>
      <c r="AXI19" s="52"/>
      <c r="AXJ19" s="52"/>
      <c r="AXK19" s="52"/>
      <c r="AXL19" s="52"/>
      <c r="AXM19" s="52"/>
      <c r="AXN19" s="52"/>
      <c r="AXO19" s="52"/>
      <c r="AXP19" s="52"/>
      <c r="AXQ19" s="52"/>
      <c r="AXR19" s="52"/>
      <c r="AXS19" s="52"/>
      <c r="AXT19" s="52"/>
      <c r="AXU19" s="52"/>
      <c r="AXV19" s="52"/>
      <c r="AXW19" s="52"/>
      <c r="AXX19" s="52"/>
      <c r="AXY19" s="52"/>
      <c r="AXZ19" s="52"/>
      <c r="AYA19" s="52"/>
      <c r="AYB19" s="52"/>
      <c r="AYC19" s="52"/>
      <c r="AYD19" s="52"/>
      <c r="AYE19" s="52"/>
      <c r="AYF19" s="52"/>
      <c r="AYG19" s="52"/>
      <c r="AYH19" s="52"/>
      <c r="AYI19" s="52"/>
      <c r="AYJ19" s="52"/>
      <c r="AYK19" s="52"/>
      <c r="AYL19" s="52"/>
      <c r="AYM19" s="52"/>
      <c r="AYN19" s="52"/>
      <c r="AYO19" s="52"/>
      <c r="AYP19" s="52"/>
      <c r="AYQ19" s="52"/>
      <c r="AYR19" s="52"/>
      <c r="AYS19" s="52"/>
      <c r="AYT19" s="52"/>
      <c r="AYU19" s="52"/>
      <c r="AYV19" s="52"/>
      <c r="AYW19" s="52"/>
      <c r="AYX19" s="52"/>
      <c r="AYY19" s="52"/>
      <c r="AYZ19" s="52"/>
      <c r="AZA19" s="52"/>
      <c r="AZB19" s="52"/>
      <c r="AZC19" s="52"/>
      <c r="AZD19" s="52"/>
      <c r="AZE19" s="52"/>
      <c r="AZF19" s="52"/>
      <c r="AZG19" s="52"/>
      <c r="AZH19" s="52"/>
      <c r="AZI19" s="52"/>
      <c r="AZJ19" s="52"/>
      <c r="AZK19" s="52"/>
      <c r="AZL19" s="52"/>
      <c r="AZM19" s="52"/>
      <c r="AZN19" s="52"/>
      <c r="AZO19" s="52"/>
      <c r="AZP19" s="52"/>
      <c r="AZQ19" s="52"/>
      <c r="AZR19" s="52"/>
      <c r="AZS19" s="52"/>
      <c r="AZT19" s="52"/>
      <c r="AZU19" s="52"/>
      <c r="AZV19" s="52"/>
      <c r="AZW19" s="52"/>
      <c r="AZX19" s="52"/>
      <c r="AZY19" s="52"/>
      <c r="AZZ19" s="52"/>
      <c r="BAA19" s="52"/>
      <c r="BAB19" s="52"/>
      <c r="BAC19" s="52"/>
      <c r="BAD19" s="52"/>
      <c r="BAE19" s="52"/>
      <c r="BAF19" s="52"/>
      <c r="BAG19" s="52"/>
      <c r="BAH19" s="52"/>
      <c r="BAI19" s="52"/>
      <c r="BAJ19" s="52"/>
      <c r="BAK19" s="52"/>
      <c r="BAL19" s="52"/>
      <c r="BAM19" s="52"/>
      <c r="BAN19" s="52"/>
      <c r="BAO19" s="52"/>
      <c r="BAP19" s="52"/>
      <c r="BAQ19" s="52"/>
      <c r="BAR19" s="52"/>
      <c r="BAS19" s="52"/>
      <c r="BAT19" s="52"/>
      <c r="BAU19" s="52"/>
      <c r="BAV19" s="52"/>
      <c r="BAW19" s="52"/>
      <c r="BAX19" s="52"/>
      <c r="BAY19" s="52"/>
      <c r="BAZ19" s="52"/>
      <c r="BBA19" s="52"/>
      <c r="BBB19" s="52"/>
      <c r="BBC19" s="52"/>
      <c r="BBD19" s="52"/>
      <c r="BBE19" s="52"/>
      <c r="BBF19" s="52"/>
      <c r="BBG19" s="52"/>
      <c r="BBH19" s="52"/>
      <c r="BBI19" s="52"/>
      <c r="BBJ19" s="52"/>
      <c r="BBK19" s="52"/>
      <c r="BBL19" s="52"/>
      <c r="BBM19" s="52"/>
      <c r="BBN19" s="52"/>
      <c r="BBO19" s="52"/>
      <c r="BBP19" s="52"/>
      <c r="BBQ19" s="52"/>
      <c r="BBR19" s="52"/>
      <c r="BBS19" s="52"/>
      <c r="BBT19" s="52"/>
      <c r="BBU19" s="52"/>
      <c r="BBV19" s="52"/>
      <c r="BBW19" s="52"/>
      <c r="BBX19" s="52"/>
      <c r="BBY19" s="52"/>
      <c r="BBZ19" s="52"/>
      <c r="BCA19" s="52"/>
      <c r="BCB19" s="52"/>
      <c r="BCC19" s="52"/>
      <c r="BCD19" s="52"/>
      <c r="BCE19" s="52"/>
      <c r="BCF19" s="52"/>
      <c r="BCG19" s="52"/>
      <c r="BCH19" s="52"/>
      <c r="BCI19" s="52"/>
      <c r="BCJ19" s="52"/>
      <c r="BCK19" s="52"/>
      <c r="BCL19" s="52"/>
      <c r="BCM19" s="52"/>
      <c r="BCN19" s="52"/>
      <c r="BCO19" s="52"/>
      <c r="BCP19" s="52"/>
      <c r="BCQ19" s="52"/>
      <c r="BCR19" s="52"/>
      <c r="BCS19" s="52"/>
      <c r="BCT19" s="52"/>
      <c r="BCU19" s="52"/>
      <c r="BCV19" s="52"/>
      <c r="BCW19" s="52"/>
      <c r="BCX19" s="52"/>
      <c r="BCY19" s="52"/>
      <c r="BCZ19" s="52"/>
      <c r="BDA19" s="52"/>
      <c r="BDB19" s="52"/>
      <c r="BDC19" s="52"/>
      <c r="BDD19" s="52"/>
      <c r="BDE19" s="52"/>
      <c r="BDF19" s="52"/>
      <c r="BDG19" s="52"/>
      <c r="BDH19" s="52"/>
      <c r="BDI19" s="52"/>
      <c r="BDJ19" s="52"/>
      <c r="BDK19" s="52"/>
      <c r="BDL19" s="52"/>
      <c r="BDM19" s="52"/>
      <c r="BDN19" s="52"/>
      <c r="BDO19" s="52"/>
      <c r="BDP19" s="52"/>
      <c r="BDQ19" s="52"/>
      <c r="BDR19" s="52"/>
      <c r="BDS19" s="52"/>
      <c r="BDT19" s="52"/>
      <c r="BDU19" s="52"/>
      <c r="BDV19" s="52"/>
      <c r="BDW19" s="52"/>
      <c r="BDX19" s="52"/>
      <c r="BDY19" s="52"/>
      <c r="BDZ19" s="52"/>
      <c r="BEA19" s="52"/>
      <c r="BEB19" s="52"/>
      <c r="BEC19" s="52"/>
      <c r="BED19" s="52"/>
      <c r="BEE19" s="52"/>
      <c r="BEF19" s="52"/>
      <c r="BEG19" s="52"/>
      <c r="BEH19" s="52"/>
      <c r="BEI19" s="52"/>
      <c r="BEJ19" s="52"/>
      <c r="BEK19" s="52"/>
      <c r="BEL19" s="52"/>
      <c r="BEM19" s="52"/>
      <c r="BEN19" s="52"/>
      <c r="BEO19" s="52"/>
      <c r="BEP19" s="52"/>
      <c r="BEQ19" s="52"/>
      <c r="BER19" s="52"/>
      <c r="BES19" s="52"/>
      <c r="BET19" s="52"/>
      <c r="BEU19" s="52"/>
      <c r="BEV19" s="52"/>
      <c r="BEW19" s="52"/>
      <c r="BEX19" s="52"/>
      <c r="BEY19" s="52"/>
      <c r="BEZ19" s="52"/>
      <c r="BFA19" s="52"/>
      <c r="BFB19" s="52"/>
      <c r="BFC19" s="52"/>
      <c r="BFD19" s="52"/>
      <c r="BFE19" s="52"/>
      <c r="BFF19" s="52"/>
      <c r="BFG19" s="52"/>
      <c r="BFH19" s="52"/>
      <c r="BFI19" s="52"/>
      <c r="BFJ19" s="52"/>
      <c r="BFK19" s="52"/>
      <c r="BFL19" s="52"/>
      <c r="BFM19" s="52"/>
      <c r="BFN19" s="52"/>
      <c r="BFO19" s="52"/>
      <c r="BFP19" s="52"/>
      <c r="BFQ19" s="52"/>
      <c r="BFR19" s="52"/>
      <c r="BFS19" s="52"/>
      <c r="BFT19" s="52"/>
      <c r="BFU19" s="52"/>
      <c r="BFV19" s="52"/>
      <c r="BFW19" s="52"/>
      <c r="BFX19" s="52"/>
      <c r="BFY19" s="52"/>
      <c r="BFZ19" s="52"/>
      <c r="BGA19" s="52"/>
      <c r="BGB19" s="52"/>
      <c r="BGC19" s="52"/>
      <c r="BGD19" s="52"/>
      <c r="BGE19" s="52"/>
      <c r="BGF19" s="52"/>
      <c r="BGG19" s="52"/>
      <c r="BGH19" s="52"/>
      <c r="BGI19" s="52"/>
      <c r="BGJ19" s="52"/>
      <c r="BGK19" s="52"/>
      <c r="BGL19" s="52"/>
      <c r="BGM19" s="52"/>
      <c r="BGN19" s="52"/>
      <c r="BGO19" s="52"/>
      <c r="BGP19" s="52"/>
      <c r="BGQ19" s="52"/>
      <c r="BGR19" s="52"/>
      <c r="BGS19" s="52"/>
      <c r="BGT19" s="52"/>
      <c r="BGU19" s="52"/>
      <c r="BGV19" s="52"/>
      <c r="BGW19" s="52"/>
      <c r="BGX19" s="52"/>
      <c r="BGY19" s="52"/>
      <c r="BGZ19" s="52"/>
      <c r="BHA19" s="52"/>
      <c r="BHB19" s="52"/>
      <c r="BHC19" s="52"/>
      <c r="BHD19" s="52"/>
      <c r="BHE19" s="52"/>
      <c r="BHF19" s="52"/>
      <c r="BHG19" s="52"/>
      <c r="BHH19" s="52"/>
      <c r="BHI19" s="52"/>
      <c r="BHJ19" s="52"/>
      <c r="BHK19" s="52"/>
      <c r="BHL19" s="52"/>
      <c r="BHM19" s="52"/>
      <c r="BHN19" s="52"/>
      <c r="BHO19" s="52"/>
      <c r="BHP19" s="52"/>
      <c r="BHQ19" s="52"/>
      <c r="BHR19" s="52"/>
      <c r="BHS19" s="52"/>
      <c r="BHT19" s="52"/>
      <c r="BHU19" s="52"/>
      <c r="BHV19" s="52"/>
      <c r="BHW19" s="52"/>
      <c r="BHX19" s="52"/>
      <c r="BHY19" s="52"/>
      <c r="BHZ19" s="52"/>
      <c r="BIA19" s="52"/>
      <c r="BIB19" s="52"/>
      <c r="BIC19" s="52"/>
      <c r="BID19" s="52"/>
      <c r="BIE19" s="52"/>
      <c r="BIF19" s="52"/>
      <c r="BIG19" s="52"/>
      <c r="BIH19" s="52"/>
      <c r="BII19" s="52"/>
      <c r="BIJ19" s="52"/>
      <c r="BIK19" s="52"/>
      <c r="BIL19" s="52"/>
      <c r="BIM19" s="52"/>
      <c r="BIN19" s="52"/>
      <c r="BIO19" s="52"/>
      <c r="BIP19" s="52"/>
      <c r="BIQ19" s="52"/>
      <c r="BIR19" s="52"/>
      <c r="BIS19" s="52"/>
      <c r="BIT19" s="52"/>
      <c r="BIU19" s="52"/>
      <c r="BIV19" s="52"/>
      <c r="BIW19" s="52"/>
      <c r="BIX19" s="52"/>
      <c r="BIY19" s="52"/>
      <c r="BIZ19" s="52"/>
      <c r="BJA19" s="52"/>
      <c r="BJB19" s="52"/>
      <c r="BJC19" s="52"/>
      <c r="BJD19" s="52"/>
      <c r="BJE19" s="52"/>
      <c r="BJF19" s="52"/>
      <c r="BJG19" s="52"/>
      <c r="BJH19" s="52"/>
      <c r="BJI19" s="52"/>
      <c r="BJJ19" s="52"/>
      <c r="BJK19" s="52"/>
      <c r="BJL19" s="52"/>
      <c r="BJM19" s="52"/>
      <c r="BJN19" s="52"/>
      <c r="BJO19" s="52"/>
      <c r="BJP19" s="52"/>
      <c r="BJQ19" s="52"/>
      <c r="BJR19" s="52"/>
      <c r="BJS19" s="52"/>
      <c r="BJT19" s="52"/>
      <c r="BJU19" s="52"/>
      <c r="BJV19" s="52"/>
      <c r="BJW19" s="52"/>
      <c r="BJX19" s="52"/>
      <c r="BJY19" s="52"/>
      <c r="BJZ19" s="52"/>
      <c r="BKA19" s="52"/>
      <c r="BKB19" s="52"/>
      <c r="BKC19" s="52"/>
      <c r="BKD19" s="52"/>
      <c r="BKE19" s="52"/>
      <c r="BKF19" s="52"/>
      <c r="BKG19" s="52"/>
      <c r="BKH19" s="52"/>
      <c r="BKI19" s="52"/>
      <c r="BKJ19" s="52"/>
      <c r="BKK19" s="52"/>
      <c r="BKL19" s="52"/>
      <c r="BKM19" s="52"/>
      <c r="BKN19" s="52"/>
      <c r="BKO19" s="52"/>
      <c r="BKP19" s="52"/>
      <c r="BKQ19" s="52"/>
      <c r="BKR19" s="52"/>
      <c r="BKS19" s="52"/>
      <c r="BKT19" s="52"/>
      <c r="BKU19" s="52"/>
      <c r="BKV19" s="52"/>
      <c r="BKW19" s="52"/>
      <c r="BKX19" s="52"/>
      <c r="BKY19" s="52"/>
      <c r="BKZ19" s="52"/>
      <c r="BLA19" s="52"/>
      <c r="BLB19" s="52"/>
      <c r="BLC19" s="52"/>
      <c r="BLD19" s="52"/>
      <c r="BLE19" s="52"/>
      <c r="BLF19" s="52"/>
      <c r="BLG19" s="52"/>
      <c r="BLH19" s="52"/>
      <c r="BLI19" s="52"/>
      <c r="BLJ19" s="52"/>
      <c r="BLK19" s="52"/>
      <c r="BLL19" s="52"/>
      <c r="BLM19" s="52"/>
      <c r="BLN19" s="52"/>
      <c r="BLO19" s="52"/>
      <c r="BLP19" s="52"/>
      <c r="BLQ19" s="52"/>
      <c r="BLR19" s="52"/>
      <c r="BLS19" s="52"/>
      <c r="BLT19" s="52"/>
      <c r="BLU19" s="52"/>
      <c r="BLV19" s="52"/>
      <c r="BLW19" s="52"/>
      <c r="BLX19" s="52"/>
      <c r="BLY19" s="52"/>
      <c r="BLZ19" s="52"/>
      <c r="BMA19" s="52"/>
      <c r="BMB19" s="52"/>
      <c r="BMC19" s="52"/>
      <c r="BMD19" s="52"/>
      <c r="BME19" s="52"/>
      <c r="BMF19" s="52"/>
      <c r="BMG19" s="52"/>
      <c r="BMH19" s="52"/>
      <c r="BMI19" s="52"/>
      <c r="BMJ19" s="52"/>
      <c r="BMK19" s="52"/>
      <c r="BML19" s="52"/>
      <c r="BMM19" s="52"/>
      <c r="BMN19" s="52"/>
      <c r="BMO19" s="52"/>
      <c r="BMP19" s="52"/>
      <c r="BMQ19" s="52"/>
      <c r="BMR19" s="52"/>
      <c r="BMS19" s="52"/>
      <c r="BMT19" s="52"/>
      <c r="BMU19" s="52"/>
      <c r="BMV19" s="52"/>
      <c r="BMW19" s="52"/>
      <c r="BMX19" s="52"/>
      <c r="BMY19" s="52"/>
      <c r="BMZ19" s="52"/>
      <c r="BNA19" s="52"/>
      <c r="BNB19" s="52"/>
      <c r="BNC19" s="52"/>
      <c r="BND19" s="52"/>
      <c r="BNE19" s="52"/>
      <c r="BNF19" s="52"/>
      <c r="BNG19" s="52"/>
      <c r="BNH19" s="52"/>
      <c r="BNI19" s="52"/>
      <c r="BNJ19" s="52"/>
      <c r="BNK19" s="52"/>
      <c r="BNL19" s="52"/>
      <c r="BNM19" s="52"/>
      <c r="BNN19" s="52"/>
      <c r="BNO19" s="52"/>
      <c r="BNP19" s="52"/>
      <c r="BNQ19" s="52"/>
      <c r="BNR19" s="52"/>
      <c r="BNS19" s="52"/>
      <c r="BNT19" s="52"/>
      <c r="BNU19" s="52"/>
      <c r="BNV19" s="52"/>
      <c r="BNW19" s="52"/>
      <c r="BNX19" s="52"/>
      <c r="BNY19" s="52"/>
      <c r="BNZ19" s="52"/>
      <c r="BOA19" s="52"/>
      <c r="BOB19" s="52"/>
      <c r="BOC19" s="52"/>
      <c r="BOD19" s="52"/>
      <c r="BOE19" s="52"/>
      <c r="BOF19" s="52"/>
      <c r="BOG19" s="52"/>
      <c r="BOH19" s="52"/>
      <c r="BOI19" s="52"/>
      <c r="BOJ19" s="52"/>
      <c r="BOK19" s="52"/>
      <c r="BOL19" s="52"/>
      <c r="BOM19" s="52"/>
      <c r="BON19" s="52"/>
      <c r="BOO19" s="52"/>
      <c r="BOP19" s="52"/>
      <c r="BOQ19" s="52"/>
      <c r="BOR19" s="52"/>
      <c r="BOS19" s="52"/>
      <c r="BOT19" s="52"/>
      <c r="BOU19" s="52"/>
      <c r="BOV19" s="52"/>
      <c r="BOW19" s="52"/>
      <c r="BOX19" s="52"/>
      <c r="BOY19" s="52"/>
      <c r="BOZ19" s="52"/>
      <c r="BPA19" s="52"/>
      <c r="BPB19" s="52"/>
      <c r="BPC19" s="52"/>
      <c r="BPD19" s="52"/>
      <c r="BPE19" s="52"/>
      <c r="BPF19" s="52"/>
      <c r="BPG19" s="52"/>
      <c r="BPH19" s="52"/>
      <c r="BPI19" s="52"/>
      <c r="BPJ19" s="52"/>
      <c r="BPK19" s="52"/>
      <c r="BPL19" s="52"/>
      <c r="BPM19" s="52"/>
      <c r="BPN19" s="52"/>
      <c r="BPO19" s="52"/>
      <c r="BPP19" s="52"/>
      <c r="BPQ19" s="52"/>
      <c r="BPR19" s="52"/>
      <c r="BPS19" s="52"/>
      <c r="BPT19" s="52"/>
      <c r="BPU19" s="52"/>
      <c r="BPV19" s="52"/>
      <c r="BPW19" s="52"/>
      <c r="BPX19" s="52"/>
      <c r="BPY19" s="52"/>
      <c r="BPZ19" s="52"/>
      <c r="BQA19" s="52"/>
      <c r="BQB19" s="52"/>
      <c r="BQC19" s="52"/>
      <c r="BQD19" s="52"/>
      <c r="BQE19" s="52"/>
      <c r="BQF19" s="52"/>
      <c r="BQG19" s="52"/>
      <c r="BQH19" s="52"/>
      <c r="BQI19" s="52"/>
      <c r="BQJ19" s="52"/>
      <c r="BQK19" s="52"/>
      <c r="BQL19" s="52"/>
      <c r="BQM19" s="52"/>
      <c r="BQN19" s="52"/>
      <c r="BQO19" s="52"/>
      <c r="BQP19" s="52"/>
      <c r="BQQ19" s="52"/>
      <c r="BQR19" s="52"/>
      <c r="BQS19" s="52"/>
      <c r="BQT19" s="52"/>
      <c r="BQU19" s="52"/>
      <c r="BQV19" s="52"/>
      <c r="BQW19" s="52"/>
      <c r="BQX19" s="52"/>
      <c r="BQY19" s="52"/>
      <c r="BQZ19" s="52"/>
      <c r="BRA19" s="52"/>
      <c r="BRB19" s="52"/>
      <c r="BRC19" s="52"/>
      <c r="BRD19" s="52"/>
      <c r="BRE19" s="52"/>
      <c r="BRF19" s="52"/>
      <c r="BRG19" s="52"/>
      <c r="BRH19" s="52"/>
      <c r="BRI19" s="52"/>
      <c r="BRJ19" s="52"/>
      <c r="BRK19" s="52"/>
      <c r="BRL19" s="52"/>
      <c r="BRM19" s="52"/>
      <c r="BRN19" s="52"/>
      <c r="BRO19" s="52"/>
      <c r="BRP19" s="52"/>
      <c r="BRQ19" s="52"/>
      <c r="BRR19" s="52"/>
      <c r="BRS19" s="52"/>
      <c r="BRT19" s="52"/>
      <c r="BRU19" s="52"/>
      <c r="BRV19" s="52"/>
      <c r="BRW19" s="52"/>
      <c r="BRX19" s="52"/>
      <c r="BRY19" s="52"/>
      <c r="BRZ19" s="52"/>
      <c r="BSA19" s="52"/>
      <c r="BSB19" s="52"/>
      <c r="BSC19" s="52"/>
      <c r="BSD19" s="52"/>
      <c r="BSE19" s="52"/>
      <c r="BSF19" s="52"/>
      <c r="BSG19" s="52"/>
      <c r="BSH19" s="52"/>
      <c r="BSI19" s="52"/>
      <c r="BSJ19" s="52"/>
      <c r="BSK19" s="52"/>
      <c r="BSL19" s="52"/>
      <c r="BSM19" s="52"/>
      <c r="BSN19" s="52"/>
      <c r="BSO19" s="52"/>
      <c r="BSP19" s="52"/>
      <c r="BSQ19" s="52"/>
      <c r="BSR19" s="52"/>
      <c r="BSS19" s="52"/>
      <c r="BST19" s="52"/>
      <c r="BSU19" s="52"/>
      <c r="BSV19" s="52"/>
      <c r="BSW19" s="52"/>
      <c r="BSX19" s="52"/>
      <c r="BSY19" s="52"/>
      <c r="BSZ19" s="52"/>
      <c r="BTA19" s="52"/>
      <c r="BTB19" s="52"/>
      <c r="BTC19" s="52"/>
      <c r="BTD19" s="52"/>
      <c r="BTE19" s="52"/>
      <c r="BTF19" s="52"/>
      <c r="BTG19" s="52"/>
      <c r="BTH19" s="52"/>
      <c r="BTI19" s="52"/>
      <c r="BTJ19" s="52"/>
      <c r="BTK19" s="52"/>
      <c r="BTL19" s="52"/>
      <c r="BTM19" s="52"/>
      <c r="BTN19" s="52"/>
      <c r="BTO19" s="52"/>
      <c r="BTP19" s="52"/>
      <c r="BTQ19" s="52"/>
      <c r="BTR19" s="52"/>
      <c r="BTS19" s="52"/>
      <c r="BTT19" s="52"/>
      <c r="BTU19" s="52"/>
      <c r="BTV19" s="52"/>
      <c r="BTW19" s="52"/>
      <c r="BTX19" s="52"/>
      <c r="BTY19" s="52"/>
      <c r="BTZ19" s="52"/>
      <c r="BUA19" s="52"/>
      <c r="BUB19" s="52"/>
      <c r="BUC19" s="52"/>
      <c r="BUD19" s="52"/>
      <c r="BUE19" s="52"/>
      <c r="BUF19" s="52"/>
      <c r="BUG19" s="52"/>
      <c r="BUH19" s="52"/>
      <c r="BUI19" s="52"/>
      <c r="BUJ19" s="52"/>
      <c r="BUK19" s="52"/>
      <c r="BUL19" s="52"/>
      <c r="BUM19" s="52"/>
      <c r="BUN19" s="52"/>
      <c r="BUO19" s="52"/>
      <c r="BUP19" s="52"/>
      <c r="BUQ19" s="52"/>
      <c r="BUR19" s="52"/>
      <c r="BUS19" s="52"/>
      <c r="BUT19" s="52"/>
      <c r="BUU19" s="52"/>
      <c r="BUV19" s="52"/>
      <c r="BUW19" s="52"/>
      <c r="BUX19" s="52"/>
      <c r="BUY19" s="52"/>
      <c r="BUZ19" s="52"/>
      <c r="BVA19" s="52"/>
      <c r="BVB19" s="52"/>
      <c r="BVC19" s="52"/>
      <c r="BVD19" s="52"/>
      <c r="BVE19" s="52"/>
      <c r="BVF19" s="52"/>
      <c r="BVG19" s="52"/>
      <c r="BVH19" s="52"/>
      <c r="BVI19" s="52"/>
      <c r="BVJ19" s="52"/>
      <c r="BVK19" s="52"/>
      <c r="BVL19" s="52"/>
      <c r="BVM19" s="52"/>
      <c r="BVN19" s="52"/>
      <c r="BVO19" s="52"/>
      <c r="BVP19" s="52"/>
      <c r="BVQ19" s="52"/>
      <c r="BVR19" s="52"/>
      <c r="BVS19" s="52"/>
      <c r="BVT19" s="52"/>
      <c r="BVU19" s="52"/>
      <c r="BVV19" s="52"/>
      <c r="BVW19" s="52"/>
      <c r="BVX19" s="52"/>
      <c r="BVY19" s="52"/>
      <c r="BVZ19" s="52"/>
      <c r="BWA19" s="52"/>
      <c r="BWB19" s="52"/>
      <c r="BWC19" s="52"/>
      <c r="BWD19" s="52"/>
      <c r="BWE19" s="52"/>
      <c r="BWF19" s="52"/>
      <c r="BWG19" s="52"/>
      <c r="BWH19" s="52"/>
      <c r="BWI19" s="52"/>
      <c r="BWJ19" s="52"/>
      <c r="BWK19" s="52"/>
      <c r="BWL19" s="52"/>
      <c r="BWM19" s="52"/>
      <c r="BWN19" s="52"/>
      <c r="BWO19" s="52"/>
      <c r="BWP19" s="52"/>
      <c r="BWQ19" s="52"/>
      <c r="BWR19" s="52"/>
      <c r="BWS19" s="52"/>
      <c r="BWT19" s="52"/>
      <c r="BWU19" s="52"/>
      <c r="BWV19" s="52"/>
      <c r="BWW19" s="52"/>
      <c r="BWX19" s="52"/>
      <c r="BWY19" s="52"/>
      <c r="BWZ19" s="52"/>
      <c r="BXA19" s="52"/>
      <c r="BXB19" s="52"/>
      <c r="BXC19" s="52"/>
      <c r="BXD19" s="52"/>
      <c r="BXE19" s="52"/>
      <c r="BXF19" s="52"/>
      <c r="BXG19" s="52"/>
      <c r="BXH19" s="52"/>
      <c r="BXI19" s="52"/>
      <c r="BXJ19" s="52"/>
      <c r="BXK19" s="52"/>
      <c r="BXL19" s="52"/>
      <c r="BXM19" s="52"/>
      <c r="BXN19" s="52"/>
      <c r="BXO19" s="52"/>
      <c r="BXP19" s="52"/>
      <c r="BXQ19" s="52"/>
      <c r="BXR19" s="52"/>
      <c r="BXS19" s="52"/>
      <c r="BXT19" s="52"/>
      <c r="BXU19" s="52"/>
      <c r="BXV19" s="52"/>
      <c r="BXW19" s="52"/>
      <c r="BXX19" s="52"/>
      <c r="BXY19" s="52"/>
      <c r="BXZ19" s="52"/>
      <c r="BYA19" s="52"/>
      <c r="BYB19" s="52"/>
      <c r="BYC19" s="52"/>
      <c r="BYD19" s="52"/>
      <c r="BYE19" s="52"/>
      <c r="BYF19" s="52"/>
      <c r="BYG19" s="52"/>
      <c r="BYH19" s="52"/>
      <c r="BYI19" s="52"/>
      <c r="BYJ19" s="52"/>
      <c r="BYK19" s="52"/>
      <c r="BYL19" s="52"/>
      <c r="BYM19" s="52"/>
      <c r="BYN19" s="52"/>
      <c r="BYO19" s="52"/>
      <c r="BYP19" s="52"/>
      <c r="BYQ19" s="52"/>
      <c r="BYR19" s="52"/>
      <c r="BYS19" s="52"/>
      <c r="BYT19" s="52"/>
      <c r="BYU19" s="52"/>
      <c r="BYV19" s="52"/>
      <c r="BYW19" s="52"/>
      <c r="BYX19" s="52"/>
      <c r="BYY19" s="52"/>
      <c r="BYZ19" s="52"/>
      <c r="BZA19" s="52"/>
      <c r="BZB19" s="52"/>
      <c r="BZC19" s="52"/>
      <c r="BZD19" s="52"/>
      <c r="BZE19" s="52"/>
      <c r="BZF19" s="52"/>
      <c r="BZG19" s="52"/>
      <c r="BZH19" s="52"/>
      <c r="BZI19" s="52"/>
      <c r="BZJ19" s="52"/>
      <c r="BZK19" s="52"/>
      <c r="BZL19" s="52"/>
      <c r="BZM19" s="52"/>
      <c r="BZN19" s="52"/>
      <c r="BZO19" s="52"/>
      <c r="BZP19" s="52"/>
      <c r="BZQ19" s="52"/>
      <c r="BZR19" s="52"/>
      <c r="BZS19" s="52"/>
      <c r="BZT19" s="52"/>
      <c r="BZU19" s="52"/>
      <c r="BZV19" s="52"/>
      <c r="BZW19" s="52"/>
      <c r="BZX19" s="52"/>
      <c r="BZY19" s="52"/>
      <c r="BZZ19" s="52"/>
      <c r="CAA19" s="52"/>
      <c r="CAB19" s="52"/>
      <c r="CAC19" s="52"/>
      <c r="CAD19" s="52"/>
      <c r="CAE19" s="52"/>
      <c r="CAF19" s="52"/>
      <c r="CAG19" s="52"/>
      <c r="CAH19" s="52"/>
      <c r="CAI19" s="52"/>
      <c r="CAJ19" s="52"/>
      <c r="CAK19" s="52"/>
      <c r="CAL19" s="52"/>
      <c r="CAM19" s="52"/>
      <c r="CAN19" s="52"/>
      <c r="CAO19" s="52"/>
      <c r="CAP19" s="52"/>
      <c r="CAQ19" s="52"/>
      <c r="CAR19" s="52"/>
      <c r="CAS19" s="52"/>
      <c r="CAT19" s="52"/>
      <c r="CAU19" s="52"/>
      <c r="CAV19" s="52"/>
      <c r="CAW19" s="52"/>
      <c r="CAX19" s="52"/>
      <c r="CAY19" s="52"/>
      <c r="CAZ19" s="52"/>
      <c r="CBA19" s="52"/>
      <c r="CBB19" s="52"/>
      <c r="CBC19" s="52"/>
      <c r="CBD19" s="52"/>
      <c r="CBE19" s="52"/>
      <c r="CBF19" s="52"/>
      <c r="CBG19" s="52"/>
      <c r="CBH19" s="52"/>
      <c r="CBI19" s="52"/>
      <c r="CBJ19" s="52"/>
      <c r="CBK19" s="52"/>
      <c r="CBL19" s="52"/>
      <c r="CBM19" s="52"/>
      <c r="CBN19" s="52"/>
      <c r="CBO19" s="52"/>
      <c r="CBP19" s="52"/>
      <c r="CBQ19" s="52"/>
      <c r="CBR19" s="52"/>
      <c r="CBS19" s="52"/>
      <c r="CBT19" s="52"/>
      <c r="CBU19" s="52"/>
      <c r="CBV19" s="52"/>
      <c r="CBW19" s="52"/>
      <c r="CBX19" s="52"/>
      <c r="CBY19" s="52"/>
      <c r="CBZ19" s="52"/>
      <c r="CCA19" s="52"/>
      <c r="CCB19" s="52"/>
      <c r="CCC19" s="52"/>
      <c r="CCD19" s="52"/>
      <c r="CCE19" s="52"/>
      <c r="CCF19" s="52"/>
      <c r="CCG19" s="52"/>
      <c r="CCH19" s="52"/>
      <c r="CCI19" s="52"/>
      <c r="CCJ19" s="52"/>
      <c r="CCK19" s="52"/>
      <c r="CCL19" s="52"/>
      <c r="CCM19" s="52"/>
      <c r="CCN19" s="52"/>
      <c r="CCO19" s="52"/>
      <c r="CCP19" s="52"/>
      <c r="CCQ19" s="52"/>
      <c r="CCR19" s="52"/>
      <c r="CCS19" s="52"/>
      <c r="CCT19" s="52"/>
      <c r="CCU19" s="52"/>
      <c r="CCV19" s="52"/>
      <c r="CCW19" s="52"/>
      <c r="CCX19" s="52"/>
      <c r="CCY19" s="52"/>
      <c r="CCZ19" s="52"/>
      <c r="CDA19" s="52"/>
      <c r="CDB19" s="52"/>
      <c r="CDC19" s="52"/>
      <c r="CDD19" s="52"/>
      <c r="CDE19" s="52"/>
      <c r="CDF19" s="52"/>
      <c r="CDG19" s="52"/>
      <c r="CDH19" s="52"/>
      <c r="CDI19" s="52"/>
      <c r="CDJ19" s="52"/>
      <c r="CDK19" s="52"/>
      <c r="CDL19" s="52"/>
      <c r="CDM19" s="52"/>
      <c r="CDN19" s="52"/>
      <c r="CDO19" s="52"/>
      <c r="CDP19" s="52"/>
      <c r="CDQ19" s="52"/>
      <c r="CDR19" s="52"/>
      <c r="CDS19" s="52"/>
      <c r="CDT19" s="52"/>
      <c r="CDU19" s="52"/>
      <c r="CDV19" s="52"/>
      <c r="CDW19" s="52"/>
      <c r="CDX19" s="52"/>
      <c r="CDY19" s="52"/>
      <c r="CDZ19" s="52"/>
      <c r="CEA19" s="52"/>
      <c r="CEB19" s="52"/>
      <c r="CEC19" s="52"/>
      <c r="CED19" s="52"/>
      <c r="CEE19" s="52"/>
      <c r="CEF19" s="52"/>
      <c r="CEG19" s="52"/>
      <c r="CEH19" s="52"/>
      <c r="CEI19" s="52"/>
      <c r="CEJ19" s="52"/>
      <c r="CEK19" s="52"/>
      <c r="CEL19" s="52"/>
      <c r="CEM19" s="52"/>
      <c r="CEN19" s="52"/>
      <c r="CEO19" s="52"/>
      <c r="CEP19" s="52"/>
      <c r="CEQ19" s="52"/>
      <c r="CER19" s="52"/>
      <c r="CES19" s="52"/>
      <c r="CET19" s="52"/>
      <c r="CEU19" s="52"/>
      <c r="CEV19" s="52"/>
      <c r="CEW19" s="52"/>
      <c r="CEX19" s="52"/>
      <c r="CEY19" s="52"/>
      <c r="CEZ19" s="52"/>
      <c r="CFA19" s="52"/>
      <c r="CFB19" s="52"/>
      <c r="CFC19" s="52"/>
      <c r="CFD19" s="52"/>
      <c r="CFE19" s="52"/>
      <c r="CFF19" s="52"/>
      <c r="CFG19" s="52"/>
      <c r="CFH19" s="52"/>
      <c r="CFI19" s="52"/>
      <c r="CFJ19" s="52"/>
      <c r="CFK19" s="52"/>
      <c r="CFL19" s="52"/>
      <c r="CFM19" s="52"/>
      <c r="CFN19" s="52"/>
      <c r="CFO19" s="52"/>
      <c r="CFP19" s="52"/>
      <c r="CFQ19" s="52"/>
      <c r="CFR19" s="52"/>
      <c r="CFS19" s="52"/>
      <c r="CFT19" s="52"/>
      <c r="CFU19" s="52"/>
      <c r="CFV19" s="52"/>
      <c r="CFW19" s="52"/>
      <c r="CFX19" s="52"/>
      <c r="CFY19" s="52"/>
      <c r="CFZ19" s="52"/>
      <c r="CGA19" s="52"/>
      <c r="CGB19" s="52"/>
      <c r="CGC19" s="52"/>
      <c r="CGD19" s="52"/>
      <c r="CGE19" s="52"/>
      <c r="CGF19" s="52"/>
      <c r="CGG19" s="52"/>
      <c r="CGH19" s="52"/>
      <c r="CGI19" s="52"/>
      <c r="CGJ19" s="52"/>
      <c r="CGK19" s="52"/>
      <c r="CGL19" s="52"/>
      <c r="CGM19" s="52"/>
      <c r="CGN19" s="52"/>
      <c r="CGO19" s="52"/>
      <c r="CGP19" s="52"/>
      <c r="CGQ19" s="52"/>
      <c r="CGR19" s="52"/>
      <c r="CGS19" s="52"/>
      <c r="CGT19" s="52"/>
      <c r="CGU19" s="52"/>
      <c r="CGV19" s="52"/>
      <c r="CGW19" s="52"/>
      <c r="CGX19" s="52"/>
      <c r="CGY19" s="52"/>
      <c r="CGZ19" s="52"/>
      <c r="CHA19" s="52"/>
      <c r="CHB19" s="52"/>
      <c r="CHC19" s="52"/>
      <c r="CHD19" s="52"/>
      <c r="CHE19" s="52"/>
      <c r="CHF19" s="52"/>
      <c r="CHG19" s="52"/>
      <c r="CHH19" s="52"/>
      <c r="CHI19" s="52"/>
      <c r="CHJ19" s="52"/>
      <c r="CHK19" s="52"/>
      <c r="CHL19" s="52"/>
      <c r="CHM19" s="52"/>
      <c r="CHN19" s="52"/>
      <c r="CHO19" s="52"/>
      <c r="CHP19" s="52"/>
      <c r="CHQ19" s="52"/>
      <c r="CHR19" s="52"/>
      <c r="CHS19" s="52"/>
      <c r="CHT19" s="52"/>
      <c r="CHU19" s="52"/>
      <c r="CHV19" s="52"/>
      <c r="CHW19" s="52"/>
      <c r="CHX19" s="52"/>
      <c r="CHY19" s="52"/>
      <c r="CHZ19" s="52"/>
      <c r="CIA19" s="52"/>
      <c r="CIB19" s="52"/>
      <c r="CIC19" s="52"/>
      <c r="CID19" s="52"/>
      <c r="CIE19" s="52"/>
      <c r="CIF19" s="52"/>
      <c r="CIG19" s="52"/>
      <c r="CIH19" s="52"/>
      <c r="CII19" s="52"/>
      <c r="CIJ19" s="52"/>
      <c r="CIK19" s="52"/>
      <c r="CIL19" s="52"/>
      <c r="CIM19" s="52"/>
      <c r="CIN19" s="52"/>
      <c r="CIO19" s="52"/>
      <c r="CIP19" s="52"/>
      <c r="CIQ19" s="52"/>
      <c r="CIR19" s="52"/>
      <c r="CIS19" s="52"/>
      <c r="CIT19" s="52"/>
      <c r="CIU19" s="52"/>
      <c r="CIV19" s="52"/>
      <c r="CIW19" s="52"/>
      <c r="CIX19" s="52"/>
      <c r="CIY19" s="52"/>
      <c r="CIZ19" s="52"/>
      <c r="CJA19" s="52"/>
      <c r="CJB19" s="52"/>
      <c r="CJC19" s="52"/>
      <c r="CJD19" s="52"/>
      <c r="CJE19" s="52"/>
      <c r="CJF19" s="52"/>
      <c r="CJG19" s="52"/>
      <c r="CJH19" s="52"/>
      <c r="CJI19" s="52"/>
      <c r="CJJ19" s="52"/>
      <c r="CJK19" s="52"/>
      <c r="CJL19" s="52"/>
      <c r="CJM19" s="52"/>
      <c r="CJN19" s="52"/>
      <c r="CJO19" s="52"/>
      <c r="CJP19" s="52"/>
      <c r="CJQ19" s="52"/>
      <c r="CJR19" s="52"/>
      <c r="CJS19" s="52"/>
      <c r="CJT19" s="52"/>
      <c r="CJU19" s="52"/>
      <c r="CJV19" s="52"/>
      <c r="CJW19" s="52"/>
      <c r="CJX19" s="52"/>
      <c r="CJY19" s="52"/>
      <c r="CJZ19" s="52"/>
      <c r="CKA19" s="52"/>
      <c r="CKB19" s="52"/>
      <c r="CKC19" s="52"/>
      <c r="CKD19" s="52"/>
      <c r="CKE19" s="52"/>
      <c r="CKF19" s="52"/>
      <c r="CKG19" s="52"/>
      <c r="CKH19" s="52"/>
      <c r="CKI19" s="52"/>
      <c r="CKJ19" s="52"/>
      <c r="CKK19" s="52"/>
      <c r="CKL19" s="52"/>
      <c r="CKM19" s="52"/>
      <c r="CKN19" s="52"/>
      <c r="CKO19" s="52"/>
      <c r="CKP19" s="52"/>
      <c r="CKQ19" s="52"/>
      <c r="CKR19" s="52"/>
      <c r="CKS19" s="52"/>
      <c r="CKT19" s="52"/>
      <c r="CKU19" s="52"/>
      <c r="CKV19" s="52"/>
      <c r="CKW19" s="52"/>
      <c r="CKX19" s="52"/>
      <c r="CKY19" s="52"/>
      <c r="CKZ19" s="52"/>
      <c r="CLA19" s="52"/>
      <c r="CLB19" s="52"/>
      <c r="CLC19" s="52"/>
      <c r="CLD19" s="52"/>
      <c r="CLE19" s="52"/>
      <c r="CLF19" s="52"/>
      <c r="CLG19" s="52"/>
      <c r="CLH19" s="52"/>
      <c r="CLI19" s="52"/>
      <c r="CLJ19" s="52"/>
      <c r="CLK19" s="52"/>
      <c r="CLL19" s="52"/>
      <c r="CLM19" s="52"/>
      <c r="CLN19" s="52"/>
      <c r="CLO19" s="52"/>
      <c r="CLP19" s="52"/>
      <c r="CLQ19" s="52"/>
      <c r="CLR19" s="52"/>
      <c r="CLS19" s="52"/>
      <c r="CLT19" s="52"/>
      <c r="CLU19" s="52"/>
      <c r="CLV19" s="52"/>
      <c r="CLW19" s="52"/>
      <c r="CLX19" s="52"/>
      <c r="CLY19" s="52"/>
      <c r="CLZ19" s="52"/>
      <c r="CMA19" s="52"/>
      <c r="CMB19" s="52"/>
      <c r="CMC19" s="52"/>
      <c r="CMD19" s="52"/>
      <c r="CME19" s="52"/>
      <c r="CMF19" s="52"/>
      <c r="CMG19" s="52"/>
      <c r="CMH19" s="52"/>
      <c r="CMI19" s="52"/>
      <c r="CMJ19" s="52"/>
      <c r="CMK19" s="52"/>
      <c r="CML19" s="52"/>
      <c r="CMM19" s="52"/>
      <c r="CMN19" s="52"/>
      <c r="CMO19" s="52"/>
      <c r="CMP19" s="52"/>
      <c r="CMQ19" s="52"/>
      <c r="CMR19" s="52"/>
      <c r="CMS19" s="52"/>
      <c r="CMT19" s="52"/>
      <c r="CMU19" s="52"/>
      <c r="CMV19" s="52"/>
      <c r="CMW19" s="52"/>
      <c r="CMX19" s="52"/>
      <c r="CMY19" s="52"/>
      <c r="CMZ19" s="52"/>
      <c r="CNA19" s="52"/>
      <c r="CNB19" s="52"/>
      <c r="CNC19" s="52"/>
      <c r="CND19" s="52"/>
      <c r="CNE19" s="52"/>
      <c r="CNF19" s="52"/>
      <c r="CNG19" s="52"/>
      <c r="CNH19" s="52"/>
      <c r="CNI19" s="52"/>
      <c r="CNJ19" s="52"/>
      <c r="CNK19" s="52"/>
      <c r="CNL19" s="52"/>
      <c r="CNM19" s="52"/>
      <c r="CNN19" s="52"/>
      <c r="CNO19" s="52"/>
      <c r="CNP19" s="52"/>
      <c r="CNQ19" s="52"/>
      <c r="CNR19" s="52"/>
      <c r="CNS19" s="52"/>
      <c r="CNT19" s="52"/>
      <c r="CNU19" s="52"/>
      <c r="CNV19" s="52"/>
      <c r="CNW19" s="52"/>
      <c r="CNX19" s="52"/>
      <c r="CNY19" s="52"/>
      <c r="CNZ19" s="52"/>
      <c r="COA19" s="52"/>
      <c r="COB19" s="52"/>
      <c r="COC19" s="52"/>
      <c r="COD19" s="52"/>
      <c r="COE19" s="52"/>
      <c r="COF19" s="52"/>
      <c r="COG19" s="52"/>
      <c r="COH19" s="52"/>
      <c r="COI19" s="52"/>
      <c r="COJ19" s="52"/>
      <c r="COK19" s="52"/>
      <c r="COL19" s="52"/>
      <c r="COM19" s="52"/>
      <c r="CON19" s="52"/>
      <c r="COO19" s="52"/>
      <c r="COP19" s="52"/>
      <c r="COQ19" s="52"/>
      <c r="COR19" s="52"/>
      <c r="COS19" s="52"/>
      <c r="COT19" s="52"/>
      <c r="COU19" s="52"/>
      <c r="COV19" s="52"/>
      <c r="COW19" s="52"/>
      <c r="COX19" s="52"/>
      <c r="COY19" s="52"/>
      <c r="COZ19" s="52"/>
      <c r="CPA19" s="52"/>
      <c r="CPB19" s="52"/>
      <c r="CPC19" s="52"/>
      <c r="CPD19" s="52"/>
      <c r="CPE19" s="52"/>
      <c r="CPF19" s="52"/>
      <c r="CPG19" s="52"/>
      <c r="CPH19" s="52"/>
      <c r="CPI19" s="52"/>
      <c r="CPJ19" s="52"/>
      <c r="CPK19" s="52"/>
      <c r="CPL19" s="52"/>
      <c r="CPM19" s="52"/>
      <c r="CPN19" s="52"/>
      <c r="CPO19" s="52"/>
      <c r="CPP19" s="52"/>
      <c r="CPQ19" s="52"/>
      <c r="CPR19" s="52"/>
      <c r="CPS19" s="52"/>
      <c r="CPT19" s="52"/>
      <c r="CPU19" s="52"/>
      <c r="CPV19" s="52"/>
      <c r="CPW19" s="52"/>
      <c r="CPX19" s="52"/>
      <c r="CPY19" s="52"/>
      <c r="CPZ19" s="52"/>
      <c r="CQA19" s="52"/>
      <c r="CQB19" s="52"/>
      <c r="CQC19" s="52"/>
      <c r="CQD19" s="52"/>
      <c r="CQE19" s="52"/>
      <c r="CQF19" s="52"/>
      <c r="CQG19" s="52"/>
      <c r="CQH19" s="52"/>
      <c r="CQI19" s="52"/>
      <c r="CQJ19" s="52"/>
      <c r="CQK19" s="52"/>
      <c r="CQL19" s="52"/>
      <c r="CQM19" s="52"/>
      <c r="CQN19" s="52"/>
      <c r="CQO19" s="52"/>
      <c r="CQP19" s="52"/>
      <c r="CQQ19" s="52"/>
      <c r="CQR19" s="52"/>
      <c r="CQS19" s="52"/>
      <c r="CQT19" s="52"/>
      <c r="CQU19" s="52"/>
      <c r="CQV19" s="52"/>
      <c r="CQW19" s="52"/>
      <c r="CQX19" s="52"/>
      <c r="CQY19" s="52"/>
      <c r="CQZ19" s="52"/>
      <c r="CRA19" s="52"/>
      <c r="CRB19" s="52"/>
      <c r="CRC19" s="52"/>
      <c r="CRD19" s="52"/>
      <c r="CRE19" s="52"/>
      <c r="CRF19" s="52"/>
      <c r="CRG19" s="52"/>
      <c r="CRH19" s="52"/>
      <c r="CRI19" s="52"/>
      <c r="CRJ19" s="52"/>
      <c r="CRK19" s="52"/>
      <c r="CRL19" s="52"/>
      <c r="CRM19" s="52"/>
      <c r="CRN19" s="52"/>
      <c r="CRO19" s="52"/>
      <c r="CRP19" s="52"/>
      <c r="CRQ19" s="52"/>
      <c r="CRR19" s="52"/>
      <c r="CRS19" s="52"/>
      <c r="CRT19" s="52"/>
      <c r="CRU19" s="52"/>
      <c r="CRV19" s="52"/>
      <c r="CRW19" s="52"/>
      <c r="CRX19" s="52"/>
      <c r="CRY19" s="52"/>
      <c r="CRZ19" s="52"/>
      <c r="CSA19" s="52"/>
      <c r="CSB19" s="52"/>
      <c r="CSC19" s="52"/>
      <c r="CSD19" s="52"/>
      <c r="CSE19" s="52"/>
      <c r="CSF19" s="52"/>
      <c r="CSG19" s="52"/>
      <c r="CSH19" s="52"/>
      <c r="CSI19" s="52"/>
      <c r="CSJ19" s="52"/>
      <c r="CSK19" s="52"/>
      <c r="CSL19" s="52"/>
      <c r="CSM19" s="52"/>
      <c r="CSN19" s="52"/>
      <c r="CSO19" s="52"/>
      <c r="CSP19" s="52"/>
      <c r="CSQ19" s="52"/>
      <c r="CSR19" s="52"/>
      <c r="CSS19" s="52"/>
      <c r="CST19" s="52"/>
      <c r="CSU19" s="52"/>
      <c r="CSV19" s="52"/>
      <c r="CSW19" s="52"/>
      <c r="CSX19" s="52"/>
      <c r="CSY19" s="52"/>
      <c r="CSZ19" s="52"/>
      <c r="CTA19" s="52"/>
      <c r="CTB19" s="52"/>
      <c r="CTC19" s="52"/>
      <c r="CTD19" s="52"/>
      <c r="CTE19" s="52"/>
      <c r="CTF19" s="52"/>
      <c r="CTG19" s="52"/>
      <c r="CTH19" s="52"/>
      <c r="CTI19" s="52"/>
      <c r="CTJ19" s="52"/>
      <c r="CTK19" s="52"/>
      <c r="CTL19" s="52"/>
      <c r="CTM19" s="52"/>
      <c r="CTN19" s="52"/>
      <c r="CTO19" s="52"/>
      <c r="CTP19" s="52"/>
      <c r="CTQ19" s="52"/>
      <c r="CTR19" s="52"/>
      <c r="CTS19" s="52"/>
      <c r="CTT19" s="52"/>
      <c r="CTU19" s="52"/>
      <c r="CTV19" s="52"/>
      <c r="CTW19" s="52"/>
      <c r="CTX19" s="52"/>
      <c r="CTY19" s="52"/>
      <c r="CTZ19" s="52"/>
      <c r="CUA19" s="52"/>
      <c r="CUB19" s="52"/>
      <c r="CUC19" s="52"/>
      <c r="CUD19" s="52"/>
      <c r="CUE19" s="52"/>
      <c r="CUF19" s="52"/>
      <c r="CUG19" s="52"/>
      <c r="CUH19" s="52"/>
      <c r="CUI19" s="52"/>
      <c r="CUJ19" s="52"/>
      <c r="CUK19" s="52"/>
      <c r="CUL19" s="52"/>
      <c r="CUM19" s="52"/>
      <c r="CUN19" s="52"/>
      <c r="CUO19" s="52"/>
      <c r="CUP19" s="52"/>
      <c r="CUQ19" s="52"/>
      <c r="CUR19" s="52"/>
      <c r="CUS19" s="52"/>
      <c r="CUT19" s="52"/>
      <c r="CUU19" s="52"/>
      <c r="CUV19" s="52"/>
      <c r="CUW19" s="52"/>
      <c r="CUX19" s="52"/>
      <c r="CUY19" s="52"/>
      <c r="CUZ19" s="52"/>
      <c r="CVA19" s="52"/>
      <c r="CVB19" s="52"/>
      <c r="CVC19" s="52"/>
      <c r="CVD19" s="52"/>
      <c r="CVE19" s="52"/>
      <c r="CVF19" s="52"/>
      <c r="CVG19" s="52"/>
      <c r="CVH19" s="52"/>
      <c r="CVI19" s="52"/>
      <c r="CVJ19" s="52"/>
      <c r="CVK19" s="52"/>
      <c r="CVL19" s="52"/>
      <c r="CVM19" s="52"/>
      <c r="CVN19" s="52"/>
      <c r="CVO19" s="52"/>
      <c r="CVP19" s="52"/>
      <c r="CVQ19" s="52"/>
      <c r="CVR19" s="52"/>
      <c r="CVS19" s="52"/>
      <c r="CVT19" s="52"/>
      <c r="CVU19" s="52"/>
      <c r="CVV19" s="52"/>
      <c r="CVW19" s="52"/>
      <c r="CVX19" s="52"/>
      <c r="CVY19" s="52"/>
      <c r="CVZ19" s="52"/>
      <c r="CWA19" s="52"/>
      <c r="CWB19" s="52"/>
      <c r="CWC19" s="52"/>
      <c r="CWD19" s="52"/>
      <c r="CWE19" s="52"/>
      <c r="CWF19" s="52"/>
      <c r="CWG19" s="52"/>
      <c r="CWH19" s="52"/>
      <c r="CWI19" s="52"/>
      <c r="CWJ19" s="52"/>
      <c r="CWK19" s="52"/>
      <c r="CWL19" s="52"/>
      <c r="CWM19" s="52"/>
      <c r="CWN19" s="52"/>
      <c r="CWO19" s="52"/>
      <c r="CWP19" s="52"/>
      <c r="CWQ19" s="52"/>
      <c r="CWR19" s="52"/>
      <c r="CWS19" s="52"/>
      <c r="CWT19" s="52"/>
      <c r="CWU19" s="52"/>
      <c r="CWV19" s="52"/>
      <c r="CWW19" s="52"/>
      <c r="CWX19" s="52"/>
      <c r="CWY19" s="52"/>
      <c r="CWZ19" s="52"/>
      <c r="CXA19" s="52"/>
      <c r="CXB19" s="52"/>
      <c r="CXC19" s="52"/>
      <c r="CXD19" s="52"/>
      <c r="CXE19" s="52"/>
      <c r="CXF19" s="52"/>
      <c r="CXG19" s="52"/>
      <c r="CXH19" s="52"/>
      <c r="CXI19" s="52"/>
      <c r="CXJ19" s="52"/>
      <c r="CXK19" s="52"/>
      <c r="CXL19" s="52"/>
      <c r="CXM19" s="52"/>
      <c r="CXN19" s="52"/>
      <c r="CXO19" s="52"/>
      <c r="CXP19" s="52"/>
      <c r="CXQ19" s="52"/>
      <c r="CXR19" s="52"/>
      <c r="CXS19" s="52"/>
      <c r="CXT19" s="52"/>
      <c r="CXU19" s="52"/>
      <c r="CXV19" s="52"/>
      <c r="CXW19" s="52"/>
      <c r="CXX19" s="52"/>
      <c r="CXY19" s="52"/>
      <c r="CXZ19" s="52"/>
      <c r="CYA19" s="52"/>
      <c r="CYB19" s="52"/>
      <c r="CYC19" s="52"/>
      <c r="CYD19" s="52"/>
      <c r="CYE19" s="52"/>
      <c r="CYF19" s="52"/>
      <c r="CYG19" s="52"/>
      <c r="CYH19" s="52"/>
      <c r="CYI19" s="52"/>
      <c r="CYJ19" s="52"/>
      <c r="CYK19" s="52"/>
      <c r="CYL19" s="52"/>
      <c r="CYM19" s="52"/>
      <c r="CYN19" s="52"/>
      <c r="CYO19" s="52"/>
      <c r="CYP19" s="52"/>
      <c r="CYQ19" s="52"/>
      <c r="CYR19" s="52"/>
      <c r="CYS19" s="52"/>
      <c r="CYT19" s="52"/>
      <c r="CYU19" s="52"/>
      <c r="CYV19" s="52"/>
      <c r="CYW19" s="52"/>
      <c r="CYX19" s="52"/>
      <c r="CYY19" s="52"/>
      <c r="CYZ19" s="52"/>
      <c r="CZA19" s="52"/>
      <c r="CZB19" s="52"/>
      <c r="CZC19" s="52"/>
      <c r="CZD19" s="52"/>
      <c r="CZE19" s="52"/>
      <c r="CZF19" s="52"/>
      <c r="CZG19" s="52"/>
      <c r="CZH19" s="52"/>
      <c r="CZI19" s="52"/>
      <c r="CZJ19" s="52"/>
      <c r="CZK19" s="52"/>
      <c r="CZL19" s="52"/>
      <c r="CZM19" s="52"/>
      <c r="CZN19" s="52"/>
      <c r="CZO19" s="52"/>
      <c r="CZP19" s="52"/>
      <c r="CZQ19" s="52"/>
      <c r="CZR19" s="52"/>
      <c r="CZS19" s="52"/>
      <c r="CZT19" s="52"/>
      <c r="CZU19" s="52"/>
      <c r="CZV19" s="52"/>
      <c r="CZW19" s="52"/>
      <c r="CZX19" s="52"/>
      <c r="CZY19" s="52"/>
      <c r="CZZ19" s="52"/>
      <c r="DAA19" s="52"/>
      <c r="DAB19" s="52"/>
      <c r="DAC19" s="52"/>
      <c r="DAD19" s="52"/>
      <c r="DAE19" s="52"/>
      <c r="DAF19" s="52"/>
      <c r="DAG19" s="52"/>
      <c r="DAH19" s="52"/>
      <c r="DAI19" s="52"/>
      <c r="DAJ19" s="52"/>
      <c r="DAK19" s="52"/>
      <c r="DAL19" s="52"/>
      <c r="DAM19" s="52"/>
      <c r="DAN19" s="52"/>
      <c r="DAO19" s="52"/>
      <c r="DAP19" s="52"/>
      <c r="DAQ19" s="52"/>
      <c r="DAR19" s="52"/>
      <c r="DAS19" s="52"/>
      <c r="DAT19" s="52"/>
      <c r="DAU19" s="52"/>
      <c r="DAV19" s="52"/>
      <c r="DAW19" s="52"/>
      <c r="DAX19" s="52"/>
      <c r="DAY19" s="52"/>
      <c r="DAZ19" s="52"/>
      <c r="DBA19" s="52"/>
      <c r="DBB19" s="52"/>
      <c r="DBC19" s="52"/>
      <c r="DBD19" s="52"/>
      <c r="DBE19" s="52"/>
      <c r="DBF19" s="52"/>
      <c r="DBG19" s="52"/>
      <c r="DBH19" s="52"/>
      <c r="DBI19" s="52"/>
      <c r="DBJ19" s="52"/>
      <c r="DBK19" s="52"/>
      <c r="DBL19" s="52"/>
      <c r="DBM19" s="52"/>
      <c r="DBN19" s="52"/>
      <c r="DBO19" s="52"/>
      <c r="DBP19" s="52"/>
      <c r="DBQ19" s="52"/>
      <c r="DBR19" s="52"/>
      <c r="DBS19" s="52"/>
      <c r="DBT19" s="52"/>
      <c r="DBU19" s="52"/>
      <c r="DBV19" s="52"/>
      <c r="DBW19" s="52"/>
      <c r="DBX19" s="52"/>
      <c r="DBY19" s="52"/>
      <c r="DBZ19" s="52"/>
      <c r="DCA19" s="52"/>
      <c r="DCB19" s="52"/>
      <c r="DCC19" s="52"/>
      <c r="DCD19" s="52"/>
      <c r="DCE19" s="52"/>
      <c r="DCF19" s="52"/>
      <c r="DCG19" s="52"/>
      <c r="DCH19" s="52"/>
      <c r="DCI19" s="52"/>
      <c r="DCJ19" s="52"/>
      <c r="DCK19" s="52"/>
      <c r="DCL19" s="52"/>
      <c r="DCM19" s="52"/>
      <c r="DCN19" s="52"/>
      <c r="DCO19" s="52"/>
      <c r="DCP19" s="52"/>
      <c r="DCQ19" s="52"/>
      <c r="DCR19" s="52"/>
      <c r="DCS19" s="52"/>
      <c r="DCT19" s="52"/>
      <c r="DCU19" s="52"/>
      <c r="DCV19" s="52"/>
      <c r="DCW19" s="52"/>
      <c r="DCX19" s="52"/>
      <c r="DCY19" s="52"/>
      <c r="DCZ19" s="52"/>
      <c r="DDA19" s="52"/>
      <c r="DDB19" s="52"/>
      <c r="DDC19" s="52"/>
      <c r="DDD19" s="52"/>
      <c r="DDE19" s="52"/>
      <c r="DDF19" s="52"/>
      <c r="DDG19" s="52"/>
      <c r="DDH19" s="52"/>
      <c r="DDI19" s="52"/>
      <c r="DDJ19" s="52"/>
      <c r="DDK19" s="52"/>
      <c r="DDL19" s="52"/>
      <c r="DDM19" s="52"/>
      <c r="DDN19" s="52"/>
      <c r="DDO19" s="52"/>
      <c r="DDP19" s="52"/>
      <c r="DDQ19" s="52"/>
      <c r="DDR19" s="52"/>
      <c r="DDS19" s="52"/>
      <c r="DDT19" s="52"/>
      <c r="DDU19" s="52"/>
      <c r="DDV19" s="52"/>
      <c r="DDW19" s="52"/>
      <c r="DDX19" s="52"/>
      <c r="DDY19" s="52"/>
      <c r="DDZ19" s="52"/>
      <c r="DEA19" s="52"/>
      <c r="DEB19" s="52"/>
      <c r="DEC19" s="52"/>
      <c r="DED19" s="52"/>
      <c r="DEE19" s="52"/>
      <c r="DEF19" s="52"/>
      <c r="DEG19" s="52"/>
      <c r="DEH19" s="52"/>
      <c r="DEI19" s="52"/>
      <c r="DEJ19" s="52"/>
      <c r="DEK19" s="52"/>
      <c r="DEL19" s="52"/>
      <c r="DEM19" s="52"/>
      <c r="DEN19" s="52"/>
      <c r="DEO19" s="52"/>
      <c r="DEP19" s="52"/>
      <c r="DEQ19" s="52"/>
      <c r="DER19" s="52"/>
      <c r="DES19" s="52"/>
      <c r="DET19" s="52"/>
      <c r="DEU19" s="52"/>
      <c r="DEV19" s="52"/>
      <c r="DEW19" s="52"/>
      <c r="DEX19" s="52"/>
      <c r="DEY19" s="52"/>
      <c r="DEZ19" s="52"/>
      <c r="DFA19" s="52"/>
      <c r="DFB19" s="52"/>
      <c r="DFC19" s="52"/>
      <c r="DFD19" s="52"/>
      <c r="DFE19" s="52"/>
      <c r="DFF19" s="52"/>
      <c r="DFG19" s="52"/>
      <c r="DFH19" s="52"/>
      <c r="DFI19" s="52"/>
      <c r="DFJ19" s="52"/>
      <c r="DFK19" s="52"/>
      <c r="DFL19" s="52"/>
      <c r="DFM19" s="52"/>
      <c r="DFN19" s="52"/>
      <c r="DFO19" s="52"/>
      <c r="DFP19" s="52"/>
      <c r="DFQ19" s="52"/>
      <c r="DFR19" s="52"/>
      <c r="DFS19" s="52"/>
      <c r="DFT19" s="52"/>
      <c r="DFU19" s="52"/>
      <c r="DFV19" s="52"/>
      <c r="DFW19" s="52"/>
      <c r="DFX19" s="52"/>
      <c r="DFY19" s="52"/>
      <c r="DFZ19" s="52"/>
      <c r="DGA19" s="52"/>
      <c r="DGB19" s="52"/>
      <c r="DGC19" s="52"/>
      <c r="DGD19" s="52"/>
      <c r="DGE19" s="52"/>
      <c r="DGF19" s="52"/>
      <c r="DGG19" s="52"/>
      <c r="DGH19" s="52"/>
      <c r="DGI19" s="52"/>
      <c r="DGJ19" s="52"/>
      <c r="DGK19" s="52"/>
      <c r="DGL19" s="52"/>
      <c r="DGM19" s="52"/>
      <c r="DGN19" s="52"/>
      <c r="DGO19" s="52"/>
      <c r="DGP19" s="52"/>
      <c r="DGQ19" s="52"/>
      <c r="DGR19" s="52"/>
      <c r="DGS19" s="52"/>
      <c r="DGT19" s="52"/>
      <c r="DGU19" s="52"/>
      <c r="DGV19" s="52"/>
      <c r="DGW19" s="52"/>
      <c r="DGX19" s="52"/>
      <c r="DGY19" s="52"/>
      <c r="DGZ19" s="52"/>
      <c r="DHA19" s="52"/>
      <c r="DHB19" s="52"/>
      <c r="DHC19" s="52"/>
      <c r="DHD19" s="52"/>
      <c r="DHE19" s="52"/>
      <c r="DHF19" s="52"/>
      <c r="DHG19" s="52"/>
      <c r="DHH19" s="52"/>
      <c r="DHI19" s="52"/>
      <c r="DHJ19" s="52"/>
      <c r="DHK19" s="52"/>
      <c r="DHL19" s="52"/>
      <c r="DHM19" s="52"/>
      <c r="DHN19" s="52"/>
      <c r="DHO19" s="52"/>
      <c r="DHP19" s="52"/>
      <c r="DHQ19" s="52"/>
      <c r="DHR19" s="52"/>
      <c r="DHS19" s="52"/>
      <c r="DHT19" s="52"/>
      <c r="DHU19" s="52"/>
      <c r="DHV19" s="52"/>
      <c r="DHW19" s="52"/>
      <c r="DHX19" s="52"/>
      <c r="DHY19" s="52"/>
      <c r="DHZ19" s="52"/>
      <c r="DIA19" s="52"/>
      <c r="DIB19" s="52"/>
      <c r="DIC19" s="52"/>
      <c r="DID19" s="52"/>
      <c r="DIE19" s="52"/>
      <c r="DIF19" s="52"/>
      <c r="DIG19" s="52"/>
      <c r="DIH19" s="52"/>
      <c r="DII19" s="52"/>
      <c r="DIJ19" s="52"/>
      <c r="DIK19" s="52"/>
      <c r="DIL19" s="52"/>
      <c r="DIM19" s="52"/>
      <c r="DIN19" s="52"/>
      <c r="DIO19" s="52"/>
      <c r="DIP19" s="52"/>
      <c r="DIQ19" s="52"/>
      <c r="DIR19" s="52"/>
      <c r="DIS19" s="52"/>
      <c r="DIT19" s="52"/>
      <c r="DIU19" s="52"/>
      <c r="DIV19" s="52"/>
      <c r="DIW19" s="52"/>
      <c r="DIX19" s="52"/>
      <c r="DIY19" s="52"/>
      <c r="DIZ19" s="52"/>
      <c r="DJA19" s="52"/>
      <c r="DJB19" s="52"/>
      <c r="DJC19" s="52"/>
      <c r="DJD19" s="52"/>
      <c r="DJE19" s="52"/>
      <c r="DJF19" s="52"/>
      <c r="DJG19" s="52"/>
      <c r="DJH19" s="52"/>
      <c r="DJI19" s="52"/>
      <c r="DJJ19" s="52"/>
      <c r="DJK19" s="52"/>
      <c r="DJL19" s="52"/>
      <c r="DJM19" s="52"/>
      <c r="DJN19" s="52"/>
      <c r="DJO19" s="52"/>
      <c r="DJP19" s="52"/>
      <c r="DJQ19" s="52"/>
      <c r="DJR19" s="52"/>
      <c r="DJS19" s="52"/>
      <c r="DJT19" s="52"/>
      <c r="DJU19" s="52"/>
      <c r="DJV19" s="52"/>
      <c r="DJW19" s="52"/>
      <c r="DJX19" s="52"/>
      <c r="DJY19" s="52"/>
      <c r="DJZ19" s="52"/>
      <c r="DKA19" s="52"/>
      <c r="DKB19" s="52"/>
      <c r="DKC19" s="52"/>
      <c r="DKD19" s="52"/>
      <c r="DKE19" s="52"/>
      <c r="DKF19" s="52"/>
      <c r="DKG19" s="52"/>
      <c r="DKH19" s="52"/>
      <c r="DKI19" s="52"/>
      <c r="DKJ19" s="52"/>
      <c r="DKK19" s="52"/>
      <c r="DKL19" s="52"/>
      <c r="DKM19" s="52"/>
      <c r="DKN19" s="52"/>
      <c r="DKO19" s="52"/>
      <c r="DKP19" s="52"/>
      <c r="DKQ19" s="52"/>
      <c r="DKR19" s="52"/>
      <c r="DKS19" s="52"/>
      <c r="DKT19" s="52"/>
      <c r="DKU19" s="52"/>
      <c r="DKV19" s="52"/>
      <c r="DKW19" s="52"/>
      <c r="DKX19" s="52"/>
      <c r="DKY19" s="52"/>
      <c r="DKZ19" s="52"/>
      <c r="DLA19" s="52"/>
      <c r="DLB19" s="52"/>
      <c r="DLC19" s="52"/>
      <c r="DLD19" s="52"/>
      <c r="DLE19" s="52"/>
      <c r="DLF19" s="52"/>
      <c r="DLG19" s="52"/>
      <c r="DLH19" s="52"/>
      <c r="DLI19" s="52"/>
      <c r="DLJ19" s="52"/>
      <c r="DLK19" s="52"/>
      <c r="DLL19" s="52"/>
      <c r="DLM19" s="52"/>
      <c r="DLN19" s="52"/>
      <c r="DLO19" s="52"/>
      <c r="DLP19" s="52"/>
      <c r="DLQ19" s="52"/>
      <c r="DLR19" s="52"/>
      <c r="DLS19" s="52"/>
      <c r="DLT19" s="52"/>
      <c r="DLU19" s="52"/>
      <c r="DLV19" s="52"/>
      <c r="DLW19" s="52"/>
      <c r="DLX19" s="52"/>
      <c r="DLY19" s="52"/>
      <c r="DLZ19" s="52"/>
      <c r="DMA19" s="52"/>
      <c r="DMB19" s="52"/>
      <c r="DMC19" s="52"/>
      <c r="DMD19" s="52"/>
      <c r="DME19" s="52"/>
      <c r="DMF19" s="52"/>
      <c r="DMG19" s="52"/>
      <c r="DMH19" s="52"/>
      <c r="DMI19" s="52"/>
      <c r="DMJ19" s="52"/>
      <c r="DMK19" s="52"/>
      <c r="DML19" s="52"/>
      <c r="DMM19" s="52"/>
      <c r="DMN19" s="52"/>
      <c r="DMO19" s="52"/>
      <c r="DMP19" s="52"/>
      <c r="DMQ19" s="52"/>
      <c r="DMR19" s="52"/>
      <c r="DMS19" s="52"/>
      <c r="DMT19" s="52"/>
      <c r="DMU19" s="52"/>
      <c r="DMV19" s="52"/>
      <c r="DMW19" s="52"/>
      <c r="DMX19" s="52"/>
      <c r="DMY19" s="52"/>
      <c r="DMZ19" s="52"/>
      <c r="DNA19" s="52"/>
      <c r="DNB19" s="52"/>
      <c r="DNC19" s="52"/>
      <c r="DND19" s="52"/>
      <c r="DNE19" s="52"/>
      <c r="DNF19" s="52"/>
      <c r="DNG19" s="52"/>
      <c r="DNH19" s="52"/>
      <c r="DNI19" s="52"/>
      <c r="DNJ19" s="52"/>
      <c r="DNK19" s="52"/>
      <c r="DNL19" s="52"/>
      <c r="DNM19" s="52"/>
      <c r="DNN19" s="52"/>
      <c r="DNO19" s="52"/>
      <c r="DNP19" s="52"/>
      <c r="DNQ19" s="52"/>
      <c r="DNR19" s="52"/>
      <c r="DNS19" s="52"/>
      <c r="DNT19" s="52"/>
      <c r="DNU19" s="52"/>
      <c r="DNV19" s="52"/>
      <c r="DNW19" s="52"/>
      <c r="DNX19" s="52"/>
      <c r="DNY19" s="52"/>
      <c r="DNZ19" s="52"/>
      <c r="DOA19" s="52"/>
      <c r="DOB19" s="52"/>
      <c r="DOC19" s="52"/>
      <c r="DOD19" s="52"/>
      <c r="DOE19" s="52"/>
      <c r="DOF19" s="52"/>
      <c r="DOG19" s="52"/>
      <c r="DOH19" s="52"/>
      <c r="DOI19" s="52"/>
      <c r="DOJ19" s="52"/>
      <c r="DOK19" s="52"/>
      <c r="DOL19" s="52"/>
      <c r="DOM19" s="52"/>
      <c r="DON19" s="52"/>
      <c r="DOO19" s="52"/>
      <c r="DOP19" s="52"/>
      <c r="DOQ19" s="52"/>
      <c r="DOR19" s="52"/>
      <c r="DOS19" s="52"/>
      <c r="DOT19" s="52"/>
      <c r="DOU19" s="52"/>
      <c r="DOV19" s="52"/>
      <c r="DOW19" s="52"/>
      <c r="DOX19" s="52"/>
      <c r="DOY19" s="52"/>
      <c r="DOZ19" s="52"/>
      <c r="DPA19" s="52"/>
      <c r="DPB19" s="52"/>
      <c r="DPC19" s="52"/>
      <c r="DPD19" s="52"/>
      <c r="DPE19" s="52"/>
      <c r="DPF19" s="52"/>
      <c r="DPG19" s="52"/>
      <c r="DPH19" s="52"/>
      <c r="DPI19" s="52"/>
      <c r="DPJ19" s="52"/>
      <c r="DPK19" s="52"/>
      <c r="DPL19" s="52"/>
      <c r="DPM19" s="52"/>
      <c r="DPN19" s="52"/>
      <c r="DPO19" s="52"/>
      <c r="DPP19" s="52"/>
      <c r="DPQ19" s="52"/>
      <c r="DPR19" s="52"/>
      <c r="DPS19" s="52"/>
      <c r="DPT19" s="52"/>
      <c r="DPU19" s="52"/>
      <c r="DPV19" s="52"/>
      <c r="DPW19" s="52"/>
      <c r="DPX19" s="52"/>
      <c r="DPY19" s="52"/>
      <c r="DPZ19" s="52"/>
      <c r="DQA19" s="52"/>
      <c r="DQB19" s="52"/>
      <c r="DQC19" s="52"/>
      <c r="DQD19" s="52"/>
      <c r="DQE19" s="52"/>
      <c r="DQF19" s="52"/>
      <c r="DQG19" s="52"/>
      <c r="DQH19" s="52"/>
      <c r="DQI19" s="52"/>
      <c r="DQJ19" s="52"/>
      <c r="DQK19" s="52"/>
      <c r="DQL19" s="52"/>
      <c r="DQM19" s="52"/>
      <c r="DQN19" s="52"/>
      <c r="DQO19" s="52"/>
      <c r="DQP19" s="52"/>
      <c r="DQQ19" s="52"/>
      <c r="DQR19" s="52"/>
      <c r="DQS19" s="52"/>
      <c r="DQT19" s="52"/>
      <c r="DQU19" s="52"/>
      <c r="DQV19" s="52"/>
      <c r="DQW19" s="52"/>
      <c r="DQX19" s="52"/>
      <c r="DQY19" s="52"/>
      <c r="DQZ19" s="52"/>
      <c r="DRA19" s="52"/>
      <c r="DRB19" s="52"/>
      <c r="DRC19" s="52"/>
      <c r="DRD19" s="52"/>
      <c r="DRE19" s="52"/>
      <c r="DRF19" s="52"/>
      <c r="DRG19" s="52"/>
      <c r="DRH19" s="52"/>
      <c r="DRI19" s="52"/>
      <c r="DRJ19" s="52"/>
      <c r="DRK19" s="52"/>
      <c r="DRL19" s="52"/>
      <c r="DRM19" s="52"/>
      <c r="DRN19" s="52"/>
      <c r="DRO19" s="52"/>
      <c r="DRP19" s="52"/>
      <c r="DRQ19" s="52"/>
      <c r="DRR19" s="52"/>
      <c r="DRS19" s="52"/>
      <c r="DRT19" s="52"/>
      <c r="DRU19" s="52"/>
      <c r="DRV19" s="52"/>
      <c r="DRW19" s="52"/>
      <c r="DRX19" s="52"/>
      <c r="DRY19" s="52"/>
      <c r="DRZ19" s="52"/>
      <c r="DSA19" s="52"/>
      <c r="DSB19" s="52"/>
      <c r="DSC19" s="52"/>
      <c r="DSD19" s="52"/>
      <c r="DSE19" s="52"/>
      <c r="DSF19" s="52"/>
      <c r="DSG19" s="52"/>
      <c r="DSH19" s="52"/>
      <c r="DSI19" s="52"/>
      <c r="DSJ19" s="52"/>
      <c r="DSK19" s="52"/>
      <c r="DSL19" s="52"/>
      <c r="DSM19" s="52"/>
      <c r="DSN19" s="52"/>
      <c r="DSO19" s="52"/>
      <c r="DSP19" s="52"/>
      <c r="DSQ19" s="52"/>
      <c r="DSR19" s="52"/>
      <c r="DSS19" s="52"/>
      <c r="DST19" s="52"/>
      <c r="DSU19" s="52"/>
      <c r="DSV19" s="52"/>
      <c r="DSW19" s="52"/>
      <c r="DSX19" s="52"/>
    </row>
    <row r="20" spans="1:3222" s="67" customFormat="1" ht="80.099999999999994" customHeight="1" x14ac:dyDescent="0.25">
      <c r="A20" s="148"/>
      <c r="B20" s="179" t="s">
        <v>112</v>
      </c>
      <c r="C20" s="179" t="s">
        <v>118</v>
      </c>
      <c r="D20" s="206" t="s">
        <v>95</v>
      </c>
      <c r="E20" s="206" t="s">
        <v>157</v>
      </c>
      <c r="F20" s="203">
        <v>15</v>
      </c>
      <c r="G20" s="183">
        <v>178.81533333333334</v>
      </c>
      <c r="H20" s="204">
        <v>2867.5</v>
      </c>
      <c r="I20" s="205">
        <v>0</v>
      </c>
      <c r="J20" s="204">
        <f>SUM(H20:I20)</f>
        <v>2867.5</v>
      </c>
      <c r="K20" s="187">
        <f>IF(H20/15&lt;=SMG,0,I20/2)</f>
        <v>0</v>
      </c>
      <c r="L20" s="187">
        <f t="shared" ref="L20:L21" si="31">H20+K20</f>
        <v>2867.5</v>
      </c>
      <c r="M20" s="187">
        <f>VLOOKUP(L20,Tarifa1,1)</f>
        <v>2699.41</v>
      </c>
      <c r="N20" s="187">
        <f t="shared" ref="N20:N21" si="32">L20-M20</f>
        <v>168.09000000000015</v>
      </c>
      <c r="O20" s="188">
        <f>VLOOKUP(L20,Tarifa1,3)</f>
        <v>0.10879999999999999</v>
      </c>
      <c r="P20" s="187">
        <f t="shared" ref="P20:P21" si="33">N20*O20</f>
        <v>18.288192000000016</v>
      </c>
      <c r="Q20" s="189">
        <f>VLOOKUP(L20,Tarifa1,2)</f>
        <v>158.55000000000001</v>
      </c>
      <c r="R20" s="187">
        <f t="shared" ref="R20:R21" si="34">P20+Q20</f>
        <v>176.83819200000002</v>
      </c>
      <c r="S20" s="187">
        <f>VLOOKUP(L20,Credito1,2)</f>
        <v>145.35</v>
      </c>
      <c r="T20" s="187">
        <f t="shared" ref="T20:T21" si="35">ROUND(R20-S20,2)</f>
        <v>31.49</v>
      </c>
      <c r="U20" s="204">
        <f>-IF(T20&gt;0,0,T20)</f>
        <v>0</v>
      </c>
      <c r="V20" s="204">
        <f>IF(T20&lt;0,0,T20)</f>
        <v>31.49</v>
      </c>
      <c r="W20" s="204">
        <f>SUM(V20:V20)</f>
        <v>31.49</v>
      </c>
      <c r="X20" s="204">
        <f>J20+U20-W20</f>
        <v>2836.01</v>
      </c>
      <c r="Y20" s="66"/>
      <c r="Z20" s="89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  <c r="AWW20" s="52"/>
      <c r="AWX20" s="52"/>
      <c r="AWY20" s="52"/>
      <c r="AWZ20" s="52"/>
      <c r="AXA20" s="52"/>
      <c r="AXB20" s="52"/>
      <c r="AXC20" s="52"/>
      <c r="AXD20" s="52"/>
      <c r="AXE20" s="52"/>
      <c r="AXF20" s="52"/>
      <c r="AXG20" s="52"/>
      <c r="AXH20" s="52"/>
      <c r="AXI20" s="52"/>
      <c r="AXJ20" s="52"/>
      <c r="AXK20" s="52"/>
      <c r="AXL20" s="52"/>
      <c r="AXM20" s="52"/>
      <c r="AXN20" s="52"/>
      <c r="AXO20" s="52"/>
      <c r="AXP20" s="52"/>
      <c r="AXQ20" s="52"/>
      <c r="AXR20" s="52"/>
      <c r="AXS20" s="52"/>
      <c r="AXT20" s="52"/>
      <c r="AXU20" s="52"/>
      <c r="AXV20" s="52"/>
      <c r="AXW20" s="52"/>
      <c r="AXX20" s="52"/>
      <c r="AXY20" s="52"/>
      <c r="AXZ20" s="52"/>
      <c r="AYA20" s="52"/>
      <c r="AYB20" s="52"/>
      <c r="AYC20" s="52"/>
      <c r="AYD20" s="52"/>
      <c r="AYE20" s="52"/>
      <c r="AYF20" s="52"/>
      <c r="AYG20" s="52"/>
      <c r="AYH20" s="52"/>
      <c r="AYI20" s="52"/>
      <c r="AYJ20" s="52"/>
      <c r="AYK20" s="52"/>
      <c r="AYL20" s="52"/>
      <c r="AYM20" s="52"/>
      <c r="AYN20" s="52"/>
      <c r="AYO20" s="52"/>
      <c r="AYP20" s="52"/>
      <c r="AYQ20" s="52"/>
      <c r="AYR20" s="52"/>
      <c r="AYS20" s="52"/>
      <c r="AYT20" s="52"/>
      <c r="AYU20" s="52"/>
      <c r="AYV20" s="52"/>
      <c r="AYW20" s="52"/>
      <c r="AYX20" s="52"/>
      <c r="AYY20" s="52"/>
      <c r="AYZ20" s="52"/>
      <c r="AZA20" s="52"/>
      <c r="AZB20" s="52"/>
      <c r="AZC20" s="52"/>
      <c r="AZD20" s="52"/>
      <c r="AZE20" s="52"/>
      <c r="AZF20" s="52"/>
      <c r="AZG20" s="52"/>
      <c r="AZH20" s="52"/>
      <c r="AZI20" s="52"/>
      <c r="AZJ20" s="52"/>
      <c r="AZK20" s="52"/>
      <c r="AZL20" s="52"/>
      <c r="AZM20" s="52"/>
      <c r="AZN20" s="52"/>
      <c r="AZO20" s="52"/>
      <c r="AZP20" s="52"/>
      <c r="AZQ20" s="52"/>
      <c r="AZR20" s="52"/>
      <c r="AZS20" s="52"/>
      <c r="AZT20" s="52"/>
      <c r="AZU20" s="52"/>
      <c r="AZV20" s="52"/>
      <c r="AZW20" s="52"/>
      <c r="AZX20" s="52"/>
      <c r="AZY20" s="52"/>
      <c r="AZZ20" s="52"/>
      <c r="BAA20" s="52"/>
      <c r="BAB20" s="52"/>
      <c r="BAC20" s="52"/>
      <c r="BAD20" s="52"/>
      <c r="BAE20" s="52"/>
      <c r="BAF20" s="52"/>
      <c r="BAG20" s="52"/>
      <c r="BAH20" s="52"/>
      <c r="BAI20" s="52"/>
      <c r="BAJ20" s="52"/>
      <c r="BAK20" s="52"/>
      <c r="BAL20" s="52"/>
      <c r="BAM20" s="52"/>
      <c r="BAN20" s="52"/>
      <c r="BAO20" s="52"/>
      <c r="BAP20" s="52"/>
      <c r="BAQ20" s="52"/>
      <c r="BAR20" s="52"/>
      <c r="BAS20" s="52"/>
      <c r="BAT20" s="52"/>
      <c r="BAU20" s="52"/>
      <c r="BAV20" s="52"/>
      <c r="BAW20" s="52"/>
      <c r="BAX20" s="52"/>
      <c r="BAY20" s="52"/>
      <c r="BAZ20" s="52"/>
      <c r="BBA20" s="52"/>
      <c r="BBB20" s="52"/>
      <c r="BBC20" s="52"/>
      <c r="BBD20" s="52"/>
      <c r="BBE20" s="52"/>
      <c r="BBF20" s="52"/>
      <c r="BBG20" s="52"/>
      <c r="BBH20" s="52"/>
      <c r="BBI20" s="52"/>
      <c r="BBJ20" s="52"/>
      <c r="BBK20" s="52"/>
      <c r="BBL20" s="52"/>
      <c r="BBM20" s="52"/>
      <c r="BBN20" s="52"/>
      <c r="BBO20" s="52"/>
      <c r="BBP20" s="52"/>
      <c r="BBQ20" s="52"/>
      <c r="BBR20" s="52"/>
      <c r="BBS20" s="52"/>
      <c r="BBT20" s="52"/>
      <c r="BBU20" s="52"/>
      <c r="BBV20" s="52"/>
      <c r="BBW20" s="52"/>
      <c r="BBX20" s="52"/>
      <c r="BBY20" s="52"/>
      <c r="BBZ20" s="52"/>
      <c r="BCA20" s="52"/>
      <c r="BCB20" s="52"/>
      <c r="BCC20" s="52"/>
      <c r="BCD20" s="52"/>
      <c r="BCE20" s="52"/>
      <c r="BCF20" s="52"/>
      <c r="BCG20" s="52"/>
      <c r="BCH20" s="52"/>
      <c r="BCI20" s="52"/>
      <c r="BCJ20" s="52"/>
      <c r="BCK20" s="52"/>
      <c r="BCL20" s="52"/>
      <c r="BCM20" s="52"/>
      <c r="BCN20" s="52"/>
      <c r="BCO20" s="52"/>
      <c r="BCP20" s="52"/>
      <c r="BCQ20" s="52"/>
      <c r="BCR20" s="52"/>
      <c r="BCS20" s="52"/>
      <c r="BCT20" s="52"/>
      <c r="BCU20" s="52"/>
      <c r="BCV20" s="52"/>
      <c r="BCW20" s="52"/>
      <c r="BCX20" s="52"/>
      <c r="BCY20" s="52"/>
      <c r="BCZ20" s="52"/>
      <c r="BDA20" s="52"/>
      <c r="BDB20" s="52"/>
      <c r="BDC20" s="52"/>
      <c r="BDD20" s="52"/>
      <c r="BDE20" s="52"/>
      <c r="BDF20" s="52"/>
      <c r="BDG20" s="52"/>
      <c r="BDH20" s="52"/>
      <c r="BDI20" s="52"/>
      <c r="BDJ20" s="52"/>
      <c r="BDK20" s="52"/>
      <c r="BDL20" s="52"/>
      <c r="BDM20" s="52"/>
      <c r="BDN20" s="52"/>
      <c r="BDO20" s="52"/>
      <c r="BDP20" s="52"/>
      <c r="BDQ20" s="52"/>
      <c r="BDR20" s="52"/>
      <c r="BDS20" s="52"/>
      <c r="BDT20" s="52"/>
      <c r="BDU20" s="52"/>
      <c r="BDV20" s="52"/>
      <c r="BDW20" s="52"/>
      <c r="BDX20" s="52"/>
      <c r="BDY20" s="52"/>
      <c r="BDZ20" s="52"/>
      <c r="BEA20" s="52"/>
      <c r="BEB20" s="52"/>
      <c r="BEC20" s="52"/>
      <c r="BED20" s="52"/>
      <c r="BEE20" s="52"/>
      <c r="BEF20" s="52"/>
      <c r="BEG20" s="52"/>
      <c r="BEH20" s="52"/>
      <c r="BEI20" s="52"/>
      <c r="BEJ20" s="52"/>
      <c r="BEK20" s="52"/>
      <c r="BEL20" s="52"/>
      <c r="BEM20" s="52"/>
      <c r="BEN20" s="52"/>
      <c r="BEO20" s="52"/>
      <c r="BEP20" s="52"/>
      <c r="BEQ20" s="52"/>
      <c r="BER20" s="52"/>
      <c r="BES20" s="52"/>
      <c r="BET20" s="52"/>
      <c r="BEU20" s="52"/>
      <c r="BEV20" s="52"/>
      <c r="BEW20" s="52"/>
      <c r="BEX20" s="52"/>
      <c r="BEY20" s="52"/>
      <c r="BEZ20" s="52"/>
      <c r="BFA20" s="52"/>
      <c r="BFB20" s="52"/>
      <c r="BFC20" s="52"/>
      <c r="BFD20" s="52"/>
      <c r="BFE20" s="52"/>
      <c r="BFF20" s="52"/>
      <c r="BFG20" s="52"/>
      <c r="BFH20" s="52"/>
      <c r="BFI20" s="52"/>
      <c r="BFJ20" s="52"/>
      <c r="BFK20" s="52"/>
      <c r="BFL20" s="52"/>
      <c r="BFM20" s="52"/>
      <c r="BFN20" s="52"/>
      <c r="BFO20" s="52"/>
      <c r="BFP20" s="52"/>
      <c r="BFQ20" s="52"/>
      <c r="BFR20" s="52"/>
      <c r="BFS20" s="52"/>
      <c r="BFT20" s="52"/>
      <c r="BFU20" s="52"/>
      <c r="BFV20" s="52"/>
      <c r="BFW20" s="52"/>
      <c r="BFX20" s="52"/>
      <c r="BFY20" s="52"/>
      <c r="BFZ20" s="52"/>
      <c r="BGA20" s="52"/>
      <c r="BGB20" s="52"/>
      <c r="BGC20" s="52"/>
      <c r="BGD20" s="52"/>
      <c r="BGE20" s="52"/>
      <c r="BGF20" s="52"/>
      <c r="BGG20" s="52"/>
      <c r="BGH20" s="52"/>
      <c r="BGI20" s="52"/>
      <c r="BGJ20" s="52"/>
      <c r="BGK20" s="52"/>
      <c r="BGL20" s="52"/>
      <c r="BGM20" s="52"/>
      <c r="BGN20" s="52"/>
      <c r="BGO20" s="52"/>
      <c r="BGP20" s="52"/>
      <c r="BGQ20" s="52"/>
      <c r="BGR20" s="52"/>
      <c r="BGS20" s="52"/>
      <c r="BGT20" s="52"/>
      <c r="BGU20" s="52"/>
      <c r="BGV20" s="52"/>
      <c r="BGW20" s="52"/>
      <c r="BGX20" s="52"/>
      <c r="BGY20" s="52"/>
      <c r="BGZ20" s="52"/>
      <c r="BHA20" s="52"/>
      <c r="BHB20" s="52"/>
      <c r="BHC20" s="52"/>
      <c r="BHD20" s="52"/>
      <c r="BHE20" s="52"/>
      <c r="BHF20" s="52"/>
      <c r="BHG20" s="52"/>
      <c r="BHH20" s="52"/>
      <c r="BHI20" s="52"/>
      <c r="BHJ20" s="52"/>
      <c r="BHK20" s="52"/>
      <c r="BHL20" s="52"/>
      <c r="BHM20" s="52"/>
      <c r="BHN20" s="52"/>
      <c r="BHO20" s="52"/>
      <c r="BHP20" s="52"/>
      <c r="BHQ20" s="52"/>
      <c r="BHR20" s="52"/>
      <c r="BHS20" s="52"/>
      <c r="BHT20" s="52"/>
      <c r="BHU20" s="52"/>
      <c r="BHV20" s="52"/>
      <c r="BHW20" s="52"/>
      <c r="BHX20" s="52"/>
      <c r="BHY20" s="52"/>
      <c r="BHZ20" s="52"/>
      <c r="BIA20" s="52"/>
      <c r="BIB20" s="52"/>
      <c r="BIC20" s="52"/>
      <c r="BID20" s="52"/>
      <c r="BIE20" s="52"/>
      <c r="BIF20" s="52"/>
      <c r="BIG20" s="52"/>
      <c r="BIH20" s="52"/>
      <c r="BII20" s="52"/>
      <c r="BIJ20" s="52"/>
      <c r="BIK20" s="52"/>
      <c r="BIL20" s="52"/>
      <c r="BIM20" s="52"/>
      <c r="BIN20" s="52"/>
      <c r="BIO20" s="52"/>
      <c r="BIP20" s="52"/>
      <c r="BIQ20" s="52"/>
      <c r="BIR20" s="52"/>
      <c r="BIS20" s="52"/>
      <c r="BIT20" s="52"/>
      <c r="BIU20" s="52"/>
      <c r="BIV20" s="52"/>
      <c r="BIW20" s="52"/>
      <c r="BIX20" s="52"/>
      <c r="BIY20" s="52"/>
      <c r="BIZ20" s="52"/>
      <c r="BJA20" s="52"/>
      <c r="BJB20" s="52"/>
      <c r="BJC20" s="52"/>
      <c r="BJD20" s="52"/>
      <c r="BJE20" s="52"/>
      <c r="BJF20" s="52"/>
      <c r="BJG20" s="52"/>
      <c r="BJH20" s="52"/>
      <c r="BJI20" s="52"/>
      <c r="BJJ20" s="52"/>
      <c r="BJK20" s="52"/>
      <c r="BJL20" s="52"/>
      <c r="BJM20" s="52"/>
      <c r="BJN20" s="52"/>
      <c r="BJO20" s="52"/>
      <c r="BJP20" s="52"/>
      <c r="BJQ20" s="52"/>
      <c r="BJR20" s="52"/>
      <c r="BJS20" s="52"/>
      <c r="BJT20" s="52"/>
      <c r="BJU20" s="52"/>
      <c r="BJV20" s="52"/>
      <c r="BJW20" s="52"/>
      <c r="BJX20" s="52"/>
      <c r="BJY20" s="52"/>
      <c r="BJZ20" s="52"/>
      <c r="BKA20" s="52"/>
      <c r="BKB20" s="52"/>
      <c r="BKC20" s="52"/>
      <c r="BKD20" s="52"/>
      <c r="BKE20" s="52"/>
      <c r="BKF20" s="52"/>
      <c r="BKG20" s="52"/>
      <c r="BKH20" s="52"/>
      <c r="BKI20" s="52"/>
      <c r="BKJ20" s="52"/>
      <c r="BKK20" s="52"/>
      <c r="BKL20" s="52"/>
      <c r="BKM20" s="52"/>
      <c r="BKN20" s="52"/>
      <c r="BKO20" s="52"/>
      <c r="BKP20" s="52"/>
      <c r="BKQ20" s="52"/>
      <c r="BKR20" s="52"/>
      <c r="BKS20" s="52"/>
      <c r="BKT20" s="52"/>
      <c r="BKU20" s="52"/>
      <c r="BKV20" s="52"/>
      <c r="BKW20" s="52"/>
      <c r="BKX20" s="52"/>
      <c r="BKY20" s="52"/>
      <c r="BKZ20" s="52"/>
      <c r="BLA20" s="52"/>
      <c r="BLB20" s="52"/>
      <c r="BLC20" s="52"/>
      <c r="BLD20" s="52"/>
      <c r="BLE20" s="52"/>
      <c r="BLF20" s="52"/>
      <c r="BLG20" s="52"/>
      <c r="BLH20" s="52"/>
      <c r="BLI20" s="52"/>
      <c r="BLJ20" s="52"/>
      <c r="BLK20" s="52"/>
      <c r="BLL20" s="52"/>
      <c r="BLM20" s="52"/>
      <c r="BLN20" s="52"/>
      <c r="BLO20" s="52"/>
      <c r="BLP20" s="52"/>
      <c r="BLQ20" s="52"/>
      <c r="BLR20" s="52"/>
      <c r="BLS20" s="52"/>
      <c r="BLT20" s="52"/>
      <c r="BLU20" s="52"/>
      <c r="BLV20" s="52"/>
      <c r="BLW20" s="52"/>
      <c r="BLX20" s="52"/>
      <c r="BLY20" s="52"/>
      <c r="BLZ20" s="52"/>
      <c r="BMA20" s="52"/>
      <c r="BMB20" s="52"/>
      <c r="BMC20" s="52"/>
      <c r="BMD20" s="52"/>
      <c r="BME20" s="52"/>
      <c r="BMF20" s="52"/>
      <c r="BMG20" s="52"/>
      <c r="BMH20" s="52"/>
      <c r="BMI20" s="52"/>
      <c r="BMJ20" s="52"/>
      <c r="BMK20" s="52"/>
      <c r="BML20" s="52"/>
      <c r="BMM20" s="52"/>
      <c r="BMN20" s="52"/>
      <c r="BMO20" s="52"/>
      <c r="BMP20" s="52"/>
      <c r="BMQ20" s="52"/>
      <c r="BMR20" s="52"/>
      <c r="BMS20" s="52"/>
      <c r="BMT20" s="52"/>
      <c r="BMU20" s="52"/>
      <c r="BMV20" s="52"/>
      <c r="BMW20" s="52"/>
      <c r="BMX20" s="52"/>
      <c r="BMY20" s="52"/>
      <c r="BMZ20" s="52"/>
      <c r="BNA20" s="52"/>
      <c r="BNB20" s="52"/>
      <c r="BNC20" s="52"/>
      <c r="BND20" s="52"/>
      <c r="BNE20" s="52"/>
      <c r="BNF20" s="52"/>
      <c r="BNG20" s="52"/>
      <c r="BNH20" s="52"/>
      <c r="BNI20" s="52"/>
      <c r="BNJ20" s="52"/>
      <c r="BNK20" s="52"/>
      <c r="BNL20" s="52"/>
      <c r="BNM20" s="52"/>
      <c r="BNN20" s="52"/>
      <c r="BNO20" s="52"/>
      <c r="BNP20" s="52"/>
      <c r="BNQ20" s="52"/>
      <c r="BNR20" s="52"/>
      <c r="BNS20" s="52"/>
      <c r="BNT20" s="52"/>
      <c r="BNU20" s="52"/>
      <c r="BNV20" s="52"/>
      <c r="BNW20" s="52"/>
      <c r="BNX20" s="52"/>
      <c r="BNY20" s="52"/>
      <c r="BNZ20" s="52"/>
      <c r="BOA20" s="52"/>
      <c r="BOB20" s="52"/>
      <c r="BOC20" s="52"/>
      <c r="BOD20" s="52"/>
      <c r="BOE20" s="52"/>
      <c r="BOF20" s="52"/>
      <c r="BOG20" s="52"/>
      <c r="BOH20" s="52"/>
      <c r="BOI20" s="52"/>
      <c r="BOJ20" s="52"/>
      <c r="BOK20" s="52"/>
      <c r="BOL20" s="52"/>
      <c r="BOM20" s="52"/>
      <c r="BON20" s="52"/>
      <c r="BOO20" s="52"/>
      <c r="BOP20" s="52"/>
      <c r="BOQ20" s="52"/>
      <c r="BOR20" s="52"/>
      <c r="BOS20" s="52"/>
      <c r="BOT20" s="52"/>
      <c r="BOU20" s="52"/>
      <c r="BOV20" s="52"/>
      <c r="BOW20" s="52"/>
      <c r="BOX20" s="52"/>
      <c r="BOY20" s="52"/>
      <c r="BOZ20" s="52"/>
      <c r="BPA20" s="52"/>
      <c r="BPB20" s="52"/>
      <c r="BPC20" s="52"/>
      <c r="BPD20" s="52"/>
      <c r="BPE20" s="52"/>
      <c r="BPF20" s="52"/>
      <c r="BPG20" s="52"/>
      <c r="BPH20" s="52"/>
      <c r="BPI20" s="52"/>
      <c r="BPJ20" s="52"/>
      <c r="BPK20" s="52"/>
      <c r="BPL20" s="52"/>
      <c r="BPM20" s="52"/>
      <c r="BPN20" s="52"/>
      <c r="BPO20" s="52"/>
      <c r="BPP20" s="52"/>
      <c r="BPQ20" s="52"/>
      <c r="BPR20" s="52"/>
      <c r="BPS20" s="52"/>
      <c r="BPT20" s="52"/>
      <c r="BPU20" s="52"/>
      <c r="BPV20" s="52"/>
      <c r="BPW20" s="52"/>
      <c r="BPX20" s="52"/>
      <c r="BPY20" s="52"/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</row>
    <row r="21" spans="1:3222" s="52" customFormat="1" ht="80.099999999999994" customHeight="1" x14ac:dyDescent="0.25">
      <c r="A21" s="116"/>
      <c r="B21" s="179" t="s">
        <v>250</v>
      </c>
      <c r="C21" s="179" t="s">
        <v>118</v>
      </c>
      <c r="D21" s="181" t="s">
        <v>266</v>
      </c>
      <c r="E21" s="206" t="s">
        <v>157</v>
      </c>
      <c r="F21" s="182">
        <v>15</v>
      </c>
      <c r="G21" s="183">
        <v>178.81533333333334</v>
      </c>
      <c r="H21" s="204">
        <v>2867.5</v>
      </c>
      <c r="I21" s="205">
        <v>0</v>
      </c>
      <c r="J21" s="204">
        <f>SUM(H21:I21)</f>
        <v>2867.5</v>
      </c>
      <c r="K21" s="187">
        <f>IF(H21/15&lt;=SMG,0,I21/2)</f>
        <v>0</v>
      </c>
      <c r="L21" s="187">
        <f t="shared" si="31"/>
        <v>2867.5</v>
      </c>
      <c r="M21" s="187">
        <f>VLOOKUP(L21,Tarifa1,1)</f>
        <v>2699.41</v>
      </c>
      <c r="N21" s="187">
        <f t="shared" si="32"/>
        <v>168.09000000000015</v>
      </c>
      <c r="O21" s="188">
        <f>VLOOKUP(L21,Tarifa1,3)</f>
        <v>0.10879999999999999</v>
      </c>
      <c r="P21" s="187">
        <f t="shared" si="33"/>
        <v>18.288192000000016</v>
      </c>
      <c r="Q21" s="189">
        <f>VLOOKUP(L21,Tarifa1,2)</f>
        <v>158.55000000000001</v>
      </c>
      <c r="R21" s="187">
        <f t="shared" si="34"/>
        <v>176.83819200000002</v>
      </c>
      <c r="S21" s="187">
        <f>VLOOKUP(L21,Credito1,2)</f>
        <v>145.35</v>
      </c>
      <c r="T21" s="187">
        <f t="shared" si="35"/>
        <v>31.49</v>
      </c>
      <c r="U21" s="204">
        <f>-IF(T21&gt;0,0,T21)</f>
        <v>0</v>
      </c>
      <c r="V21" s="204">
        <f>IF(T21&lt;0,0,T21)</f>
        <v>31.49</v>
      </c>
      <c r="W21" s="204">
        <f>SUM(V21:V21)</f>
        <v>31.49</v>
      </c>
      <c r="X21" s="204">
        <f>J21+U21-W21</f>
        <v>2836.01</v>
      </c>
      <c r="Y21" s="57"/>
    </row>
    <row r="22" spans="1:3222" s="52" customFormat="1" ht="21.75" customHeight="1" x14ac:dyDescent="0.2">
      <c r="A22" s="148"/>
      <c r="B22" s="149"/>
      <c r="C22" s="149"/>
      <c r="D22" s="150"/>
      <c r="E22" s="150"/>
      <c r="F22" s="122"/>
      <c r="G22" s="151"/>
      <c r="H22" s="152"/>
      <c r="I22" s="153"/>
      <c r="J22" s="154"/>
      <c r="K22" s="155"/>
      <c r="L22" s="155"/>
      <c r="M22" s="155"/>
      <c r="N22" s="155"/>
      <c r="O22" s="156"/>
      <c r="P22" s="155"/>
      <c r="Q22" s="155"/>
      <c r="R22" s="155"/>
      <c r="S22" s="155"/>
      <c r="T22" s="155"/>
      <c r="U22" s="154"/>
      <c r="V22" s="154"/>
      <c r="W22" s="154"/>
      <c r="X22" s="154"/>
      <c r="Y22" s="59"/>
    </row>
    <row r="23" spans="1:3222" s="52" customFormat="1" ht="41.25" customHeight="1" thickBot="1" x14ac:dyDescent="0.3">
      <c r="A23" s="248" t="s">
        <v>45</v>
      </c>
      <c r="B23" s="249"/>
      <c r="C23" s="249"/>
      <c r="D23" s="249"/>
      <c r="E23" s="249"/>
      <c r="F23" s="249"/>
      <c r="G23" s="250"/>
      <c r="H23" s="193">
        <f>H8+H12+H14+H16+H19</f>
        <v>76572.34</v>
      </c>
      <c r="I23" s="193">
        <f>I8+I12+I14+I16+I19</f>
        <v>0</v>
      </c>
      <c r="J23" s="193">
        <f>J8+J12+J14+J16+J19</f>
        <v>76572.34</v>
      </c>
      <c r="K23" s="194">
        <f t="shared" ref="K23:T23" si="36">SUM(K9:K21)</f>
        <v>0</v>
      </c>
      <c r="L23" s="194">
        <f t="shared" si="36"/>
        <v>76572.34</v>
      </c>
      <c r="M23" s="194">
        <f t="shared" si="36"/>
        <v>64009.440000000002</v>
      </c>
      <c r="N23" s="194">
        <f t="shared" si="36"/>
        <v>12562.900000000001</v>
      </c>
      <c r="O23" s="194">
        <f t="shared" si="36"/>
        <v>1.5744</v>
      </c>
      <c r="P23" s="194">
        <f t="shared" si="36"/>
        <v>2984.6753279999998</v>
      </c>
      <c r="Q23" s="194">
        <f t="shared" si="36"/>
        <v>8512.3499999999985</v>
      </c>
      <c r="R23" s="194">
        <f t="shared" si="36"/>
        <v>11497.025328</v>
      </c>
      <c r="S23" s="194">
        <f t="shared" si="36"/>
        <v>290.7</v>
      </c>
      <c r="T23" s="194">
        <f t="shared" si="36"/>
        <v>11206.329999999998</v>
      </c>
      <c r="U23" s="193">
        <f>U8+U12+U14+U16+U19</f>
        <v>0</v>
      </c>
      <c r="V23" s="193">
        <f>V8+V12+V14+V16+V19</f>
        <v>11206.329999999998</v>
      </c>
      <c r="W23" s="193">
        <f>W8+W12+W14+W16+W19</f>
        <v>11206.329999999998</v>
      </c>
      <c r="X23" s="193">
        <f>X8+X12+X14+X16+X19</f>
        <v>65366.009999999995</v>
      </c>
    </row>
    <row r="24" spans="1:3222" s="52" customFormat="1" ht="12" customHeight="1" thickTop="1" x14ac:dyDescent="0.2"/>
    <row r="25" spans="1:3222" s="52" customFormat="1" ht="12" customHeight="1" x14ac:dyDescent="0.2"/>
    <row r="26" spans="1:3222" s="52" customFormat="1" ht="12" customHeight="1" x14ac:dyDescent="0.2"/>
    <row r="27" spans="1:3222" s="52" customFormat="1" ht="12" customHeight="1" x14ac:dyDescent="0.2"/>
    <row r="28" spans="1:3222" s="52" customFormat="1" ht="12" x14ac:dyDescent="0.2"/>
    <row r="38" spans="10:10" x14ac:dyDescent="0.2">
      <c r="J38" s="4" t="s">
        <v>279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27559055118110237" right="0.27559055118110237" top="0.74803149606299213" bottom="0.35433070866141736" header="0.31496062992125984" footer="0.31496062992125984"/>
  <pageSetup scale="42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0" zoomScaleNormal="10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54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4"/>
      <c r="B9" s="144"/>
      <c r="C9" s="144"/>
      <c r="D9" s="143" t="s">
        <v>79</v>
      </c>
      <c r="E9" s="144" t="s">
        <v>62</v>
      </c>
      <c r="F9" s="144"/>
      <c r="G9" s="14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57"/>
    </row>
    <row r="10" spans="1:25" s="95" customFormat="1" ht="111" customHeight="1" x14ac:dyDescent="0.25">
      <c r="A10" s="207">
        <v>1</v>
      </c>
      <c r="B10" s="208">
        <v>290</v>
      </c>
      <c r="C10" s="178" t="s">
        <v>118</v>
      </c>
      <c r="D10" s="181" t="s">
        <v>305</v>
      </c>
      <c r="E10" s="180" t="s">
        <v>79</v>
      </c>
      <c r="F10" s="209">
        <v>15</v>
      </c>
      <c r="G10" s="210">
        <f>H10/F10</f>
        <v>782.73333333333335</v>
      </c>
      <c r="H10" s="211">
        <v>11741</v>
      </c>
      <c r="I10" s="212">
        <v>0</v>
      </c>
      <c r="J10" s="213">
        <f>SUM(H10:I10)</f>
        <v>11741</v>
      </c>
      <c r="K10" s="187">
        <f>IF(H10/15&lt;=SMG,0,I10/2)</f>
        <v>0</v>
      </c>
      <c r="L10" s="187">
        <f>H10+K10</f>
        <v>11741</v>
      </c>
      <c r="M10" s="187">
        <f>VLOOKUP(L10,Tarifa1,1)</f>
        <v>6602.71</v>
      </c>
      <c r="N10" s="187">
        <f>L10-M10</f>
        <v>5138.29</v>
      </c>
      <c r="O10" s="188">
        <f>VLOOKUP(L10,Tarifa1,3)</f>
        <v>0.21360000000000001</v>
      </c>
      <c r="P10" s="187">
        <f>N10*O10</f>
        <v>1097.538744</v>
      </c>
      <c r="Q10" s="189">
        <f>VLOOKUP(L10,Tarifa1,2)</f>
        <v>699.3</v>
      </c>
      <c r="R10" s="187">
        <f>P10+Q10</f>
        <v>1796.8387439999999</v>
      </c>
      <c r="S10" s="187">
        <f>VLOOKUP(L10,Credito1,2)</f>
        <v>0</v>
      </c>
      <c r="T10" s="187">
        <f>ROUND(R10-S10,2)</f>
        <v>1796.84</v>
      </c>
      <c r="U10" s="186">
        <f>-IF(T10&gt;0,0,T10)</f>
        <v>0</v>
      </c>
      <c r="V10" s="195">
        <f>IF(T10&lt;0,0,T10)</f>
        <v>1796.84</v>
      </c>
      <c r="W10" s="186">
        <f>SUM(V10:V10)</f>
        <v>1796.84</v>
      </c>
      <c r="X10" s="186">
        <f>J10+U10-W10</f>
        <v>9944.16</v>
      </c>
      <c r="Y10" s="117"/>
    </row>
    <row r="11" spans="1:25" ht="30" customHeight="1" x14ac:dyDescent="0.25">
      <c r="A11" s="214"/>
      <c r="B11" s="214"/>
      <c r="C11" s="214"/>
      <c r="D11" s="214"/>
      <c r="E11" s="214"/>
      <c r="F11" s="215"/>
      <c r="G11" s="214"/>
      <c r="H11" s="216"/>
      <c r="I11" s="216"/>
      <c r="J11" s="216"/>
      <c r="K11" s="217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158"/>
    </row>
    <row r="12" spans="1:25" ht="40.5" customHeight="1" thickBot="1" x14ac:dyDescent="0.3">
      <c r="A12" s="248" t="s">
        <v>45</v>
      </c>
      <c r="B12" s="249"/>
      <c r="C12" s="249"/>
      <c r="D12" s="249"/>
      <c r="E12" s="249"/>
      <c r="F12" s="249"/>
      <c r="G12" s="250"/>
      <c r="H12" s="193">
        <f t="shared" ref="H12:X12" si="0">SUM(H10:H11)</f>
        <v>11741</v>
      </c>
      <c r="I12" s="193">
        <f t="shared" si="0"/>
        <v>0</v>
      </c>
      <c r="J12" s="193">
        <f t="shared" si="0"/>
        <v>11741</v>
      </c>
      <c r="K12" s="194">
        <f t="shared" si="0"/>
        <v>0</v>
      </c>
      <c r="L12" s="194">
        <f t="shared" si="0"/>
        <v>11741</v>
      </c>
      <c r="M12" s="194">
        <f t="shared" si="0"/>
        <v>6602.71</v>
      </c>
      <c r="N12" s="194">
        <f t="shared" si="0"/>
        <v>5138.29</v>
      </c>
      <c r="O12" s="194">
        <f t="shared" si="0"/>
        <v>0.21360000000000001</v>
      </c>
      <c r="P12" s="194">
        <f t="shared" si="0"/>
        <v>1097.538744</v>
      </c>
      <c r="Q12" s="194">
        <f t="shared" si="0"/>
        <v>699.3</v>
      </c>
      <c r="R12" s="194">
        <f t="shared" si="0"/>
        <v>1796.8387439999999</v>
      </c>
      <c r="S12" s="194">
        <f t="shared" si="0"/>
        <v>0</v>
      </c>
      <c r="T12" s="194">
        <f t="shared" si="0"/>
        <v>1796.84</v>
      </c>
      <c r="U12" s="193">
        <f t="shared" si="0"/>
        <v>0</v>
      </c>
      <c r="V12" s="193">
        <f t="shared" si="0"/>
        <v>1796.84</v>
      </c>
      <c r="W12" s="193">
        <f t="shared" si="0"/>
        <v>1796.84</v>
      </c>
      <c r="X12" s="193">
        <f t="shared" si="0"/>
        <v>9944.16</v>
      </c>
      <c r="Y12" s="158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2" zoomScaleNormal="100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31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7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234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9" t="s">
        <v>104</v>
      </c>
      <c r="C9" s="159" t="s">
        <v>127</v>
      </c>
      <c r="D9" s="143" t="s">
        <v>296</v>
      </c>
      <c r="E9" s="144" t="s">
        <v>62</v>
      </c>
      <c r="F9" s="126"/>
      <c r="G9" s="144"/>
      <c r="H9" s="127">
        <f>H10</f>
        <v>8892</v>
      </c>
      <c r="I9" s="127">
        <f>I10</f>
        <v>0</v>
      </c>
      <c r="J9" s="127">
        <f>J10</f>
        <v>8892</v>
      </c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>
        <f>U10</f>
        <v>0</v>
      </c>
      <c r="V9" s="127">
        <f>V10</f>
        <v>1188.29</v>
      </c>
      <c r="W9" s="127">
        <f>W10</f>
        <v>1188.29</v>
      </c>
      <c r="X9" s="127">
        <f>X10</f>
        <v>7703.71</v>
      </c>
      <c r="Y9" s="157"/>
    </row>
    <row r="10" spans="1:25" ht="99" customHeight="1" x14ac:dyDescent="0.25">
      <c r="A10" s="26"/>
      <c r="B10" s="208">
        <v>161</v>
      </c>
      <c r="C10" s="178" t="s">
        <v>118</v>
      </c>
      <c r="D10" s="181" t="s">
        <v>297</v>
      </c>
      <c r="E10" s="181" t="s">
        <v>298</v>
      </c>
      <c r="F10" s="209">
        <v>15</v>
      </c>
      <c r="G10" s="210">
        <f>H10/F10</f>
        <v>592.79999999999995</v>
      </c>
      <c r="H10" s="184">
        <v>8892</v>
      </c>
      <c r="I10" s="185">
        <v>0</v>
      </c>
      <c r="J10" s="186">
        <f>H10</f>
        <v>8892</v>
      </c>
      <c r="K10" s="187">
        <f>IF(H10/15&lt;=SMG,0,I10/2)</f>
        <v>0</v>
      </c>
      <c r="L10" s="187">
        <f t="shared" ref="L10" si="0">H10+K10</f>
        <v>8892</v>
      </c>
      <c r="M10" s="187">
        <f>VLOOKUP(L10,Tarifa1,1)</f>
        <v>6602.71</v>
      </c>
      <c r="N10" s="187">
        <f t="shared" ref="N10" si="1">L10-M10</f>
        <v>2289.29</v>
      </c>
      <c r="O10" s="188">
        <f>VLOOKUP(L10,Tarifa1,3)</f>
        <v>0.21360000000000001</v>
      </c>
      <c r="P10" s="187">
        <f t="shared" ref="P10" si="2">N10*O10</f>
        <v>488.992344</v>
      </c>
      <c r="Q10" s="189">
        <f>VLOOKUP(L10,Tarifa1,2)</f>
        <v>699.3</v>
      </c>
      <c r="R10" s="187">
        <f t="shared" ref="R10" si="3">P10+Q10</f>
        <v>1188.292344</v>
      </c>
      <c r="S10" s="190">
        <f>VLOOKUP(L10,Credito1,2)</f>
        <v>0</v>
      </c>
      <c r="T10" s="187">
        <f t="shared" ref="T10" si="4">ROUND(R10-S10,2)</f>
        <v>1188.29</v>
      </c>
      <c r="U10" s="186">
        <f>-IF(T10&gt;0,0,T10)</f>
        <v>0</v>
      </c>
      <c r="V10" s="186">
        <f>IF(T10&lt;0,0,T10)</f>
        <v>1188.29</v>
      </c>
      <c r="W10" s="186">
        <f>SUM(V10:V10)</f>
        <v>1188.29</v>
      </c>
      <c r="X10" s="186">
        <f>J10+U10-W10</f>
        <v>7703.71</v>
      </c>
      <c r="Y10" s="117"/>
    </row>
    <row r="11" spans="1:25" ht="47.25" customHeight="1" x14ac:dyDescent="0.25">
      <c r="A11" s="144"/>
      <c r="B11" s="159" t="s">
        <v>104</v>
      </c>
      <c r="C11" s="159" t="s">
        <v>127</v>
      </c>
      <c r="D11" s="143" t="s">
        <v>129</v>
      </c>
      <c r="E11" s="144" t="s">
        <v>62</v>
      </c>
      <c r="F11" s="126"/>
      <c r="G11" s="144"/>
      <c r="H11" s="127">
        <f>H12</f>
        <v>6930.5</v>
      </c>
      <c r="I11" s="127">
        <f>I12</f>
        <v>0</v>
      </c>
      <c r="J11" s="127">
        <f>J12</f>
        <v>6930.5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7">
        <f>U12</f>
        <v>0</v>
      </c>
      <c r="V11" s="127">
        <f>V12</f>
        <v>769.32</v>
      </c>
      <c r="W11" s="127">
        <f>W12</f>
        <v>769.32</v>
      </c>
      <c r="X11" s="127">
        <f>X12</f>
        <v>6161.18</v>
      </c>
      <c r="Y11" s="157"/>
    </row>
    <row r="12" spans="1:25" ht="99" customHeight="1" x14ac:dyDescent="0.25">
      <c r="A12" s="129"/>
      <c r="B12" s="178" t="s">
        <v>287</v>
      </c>
      <c r="C12" s="179" t="s">
        <v>118</v>
      </c>
      <c r="D12" s="181" t="s">
        <v>288</v>
      </c>
      <c r="E12" s="181" t="s">
        <v>290</v>
      </c>
      <c r="F12" s="182">
        <v>13</v>
      </c>
      <c r="G12" s="183">
        <f t="shared" ref="G12" si="5">H12/F12</f>
        <v>533.11538461538464</v>
      </c>
      <c r="H12" s="184">
        <v>6930.5</v>
      </c>
      <c r="I12" s="185">
        <v>0</v>
      </c>
      <c r="J12" s="186">
        <f>SUM(H12:I12)</f>
        <v>6930.5</v>
      </c>
      <c r="K12" s="187">
        <f>IF(H12/15&lt;=SMG,0,I12/2)</f>
        <v>0</v>
      </c>
      <c r="L12" s="187">
        <f>H12+K12</f>
        <v>6930.5</v>
      </c>
      <c r="M12" s="187">
        <f>VLOOKUP(L12,Tarifa1,1)</f>
        <v>6602.71</v>
      </c>
      <c r="N12" s="187">
        <f>L12-M12</f>
        <v>327.78999999999996</v>
      </c>
      <c r="O12" s="188">
        <f>VLOOKUP(L12,Tarifa1,3)</f>
        <v>0.21360000000000001</v>
      </c>
      <c r="P12" s="187">
        <f>N12*O12</f>
        <v>70.01594399999999</v>
      </c>
      <c r="Q12" s="189">
        <f>VLOOKUP(L12,Tarifa1,2)</f>
        <v>699.3</v>
      </c>
      <c r="R12" s="187">
        <f>P12+Q12</f>
        <v>769.31594399999994</v>
      </c>
      <c r="S12" s="187">
        <f>VLOOKUP(L12,Credito1,2)</f>
        <v>0</v>
      </c>
      <c r="T12" s="187">
        <f>ROUND(R12-S12,2)</f>
        <v>769.32</v>
      </c>
      <c r="U12" s="186">
        <f>-IF(T12&gt;0,0,T12)</f>
        <v>0</v>
      </c>
      <c r="V12" s="186">
        <f>IF(T12&lt;0,0,T12)</f>
        <v>769.32</v>
      </c>
      <c r="W12" s="186">
        <f>SUM(V12:V12)</f>
        <v>769.32</v>
      </c>
      <c r="X12" s="186">
        <f>J12+U12-W12</f>
        <v>6161.18</v>
      </c>
      <c r="Y12" s="117"/>
    </row>
    <row r="13" spans="1:25" ht="30" customHeight="1" x14ac:dyDescent="0.2">
      <c r="A13" s="129"/>
      <c r="B13" s="160"/>
      <c r="C13" s="149"/>
      <c r="D13" s="150"/>
      <c r="E13" s="150"/>
      <c r="F13" s="122"/>
      <c r="G13" s="151"/>
      <c r="H13" s="152"/>
      <c r="I13" s="153"/>
      <c r="J13" s="154"/>
      <c r="K13" s="155"/>
      <c r="L13" s="155"/>
      <c r="M13" s="155"/>
      <c r="N13" s="155"/>
      <c r="O13" s="156"/>
      <c r="P13" s="155"/>
      <c r="Q13" s="161"/>
      <c r="R13" s="155"/>
      <c r="S13" s="155"/>
      <c r="T13" s="155"/>
      <c r="U13" s="154"/>
      <c r="V13" s="154"/>
      <c r="W13" s="154"/>
      <c r="X13" s="154"/>
      <c r="Y13" s="158"/>
    </row>
    <row r="14" spans="1:25" ht="40.5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84">
        <v>5818</v>
      </c>
      <c r="I14" s="184">
        <f>SUM(I12)</f>
        <v>0</v>
      </c>
      <c r="J14" s="184">
        <f>SUM(J12)</f>
        <v>6930.5</v>
      </c>
      <c r="K14" s="194">
        <f t="shared" ref="K14:T14" si="6">SUM(K12:K12)</f>
        <v>0</v>
      </c>
      <c r="L14" s="194">
        <f t="shared" si="6"/>
        <v>6930.5</v>
      </c>
      <c r="M14" s="194">
        <f t="shared" si="6"/>
        <v>6602.71</v>
      </c>
      <c r="N14" s="194">
        <f t="shared" si="6"/>
        <v>327.78999999999996</v>
      </c>
      <c r="O14" s="194">
        <f t="shared" si="6"/>
        <v>0.21360000000000001</v>
      </c>
      <c r="P14" s="194">
        <f t="shared" si="6"/>
        <v>70.01594399999999</v>
      </c>
      <c r="Q14" s="194">
        <f t="shared" si="6"/>
        <v>699.3</v>
      </c>
      <c r="R14" s="194">
        <f t="shared" si="6"/>
        <v>769.31594399999994</v>
      </c>
      <c r="S14" s="194">
        <f t="shared" si="6"/>
        <v>0</v>
      </c>
      <c r="T14" s="194">
        <f t="shared" si="6"/>
        <v>769.32</v>
      </c>
      <c r="U14" s="184">
        <f>SUM(U12)</f>
        <v>0</v>
      </c>
      <c r="V14" s="184">
        <f>SUM(V12)</f>
        <v>769.32</v>
      </c>
      <c r="W14" s="184">
        <f>SUM(W12)</f>
        <v>769.32</v>
      </c>
      <c r="X14" s="184">
        <f>SUM(X12)</f>
        <v>6161.18</v>
      </c>
      <c r="Y14" s="158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4"/>
  <sheetViews>
    <sheetView topLeftCell="B17" zoomScale="66" zoomScaleNormal="66" workbookViewId="0">
      <selection activeCell="W1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51" t="s">
        <v>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31" ht="19.5" x14ac:dyDescent="0.25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31" ht="19.5" x14ac:dyDescent="0.25">
      <c r="A3" s="252" t="s">
        <v>306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70" t="s">
        <v>119</v>
      </c>
      <c r="D5" s="48"/>
      <c r="E5" s="48"/>
      <c r="F5" s="49" t="s">
        <v>23</v>
      </c>
      <c r="G5" s="49" t="s">
        <v>6</v>
      </c>
      <c r="H5" s="273" t="s">
        <v>1</v>
      </c>
      <c r="I5" s="274"/>
      <c r="J5" s="275"/>
      <c r="K5" s="50" t="s">
        <v>26</v>
      </c>
      <c r="L5" s="51"/>
      <c r="M5" s="276" t="s">
        <v>9</v>
      </c>
      <c r="N5" s="277"/>
      <c r="O5" s="277"/>
      <c r="P5" s="277"/>
      <c r="Q5" s="277"/>
      <c r="R5" s="278"/>
      <c r="S5" s="50" t="s">
        <v>30</v>
      </c>
      <c r="T5" s="50" t="s">
        <v>10</v>
      </c>
      <c r="U5" s="49" t="s">
        <v>54</v>
      </c>
      <c r="V5" s="279" t="s">
        <v>2</v>
      </c>
      <c r="W5" s="280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104</v>
      </c>
      <c r="C6" s="271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59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51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58</v>
      </c>
    </row>
    <row r="7" spans="1:31" s="52" customFormat="1" ht="12" x14ac:dyDescent="0.2">
      <c r="A7" s="61"/>
      <c r="B7" s="61"/>
      <c r="C7" s="272"/>
      <c r="D7" s="61"/>
      <c r="E7" s="61"/>
      <c r="F7" s="61"/>
      <c r="G7" s="61"/>
      <c r="H7" s="61" t="s">
        <v>47</v>
      </c>
      <c r="I7" s="61" t="s">
        <v>60</v>
      </c>
      <c r="J7" s="61" t="s">
        <v>29</v>
      </c>
      <c r="K7" s="62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50" t="s">
        <v>15</v>
      </c>
      <c r="R7" s="50" t="s">
        <v>39</v>
      </c>
      <c r="S7" s="55" t="s">
        <v>19</v>
      </c>
      <c r="T7" s="56" t="s">
        <v>128</v>
      </c>
      <c r="U7" s="61" t="s">
        <v>53</v>
      </c>
      <c r="V7" s="61"/>
      <c r="W7" s="61" t="s">
        <v>44</v>
      </c>
      <c r="X7" s="61" t="s">
        <v>5</v>
      </c>
      <c r="Y7" s="58"/>
    </row>
    <row r="8" spans="1:31" s="52" customFormat="1" ht="15.75" x14ac:dyDescent="0.25">
      <c r="A8" s="63"/>
      <c r="B8" s="144"/>
      <c r="C8" s="144"/>
      <c r="D8" s="143" t="s">
        <v>71</v>
      </c>
      <c r="E8" s="144" t="s">
        <v>62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6"/>
      <c r="U8" s="144"/>
      <c r="V8" s="144"/>
      <c r="W8" s="144"/>
      <c r="X8" s="144"/>
      <c r="Y8" s="64"/>
    </row>
    <row r="9" spans="1:31" s="95" customFormat="1" ht="99" customHeight="1" x14ac:dyDescent="0.25">
      <c r="A9" s="118" t="s">
        <v>88</v>
      </c>
      <c r="B9" s="178" t="s">
        <v>189</v>
      </c>
      <c r="C9" s="179" t="s">
        <v>118</v>
      </c>
      <c r="D9" s="180" t="s">
        <v>186</v>
      </c>
      <c r="E9" s="181" t="s">
        <v>223</v>
      </c>
      <c r="F9" s="182">
        <v>15</v>
      </c>
      <c r="G9" s="183">
        <f t="shared" ref="G9:G11" si="0">H9/F9</f>
        <v>667.23333333333335</v>
      </c>
      <c r="H9" s="184">
        <v>10008.5</v>
      </c>
      <c r="I9" s="185">
        <v>0</v>
      </c>
      <c r="J9" s="186">
        <f t="shared" ref="J9" si="1">SUM(H9:I9)</f>
        <v>10008.5</v>
      </c>
      <c r="K9" s="187">
        <f t="shared" ref="K9:K16" si="2">IF(H9/15&lt;=SMG,0,I9/2)</f>
        <v>0</v>
      </c>
      <c r="L9" s="187">
        <f>H9+K9</f>
        <v>10008.5</v>
      </c>
      <c r="M9" s="187">
        <f t="shared" ref="M9:M16" si="3">VLOOKUP(L9,Tarifa1,1)</f>
        <v>6602.71</v>
      </c>
      <c r="N9" s="187">
        <f>L9-M9</f>
        <v>3405.79</v>
      </c>
      <c r="O9" s="188">
        <f t="shared" ref="O9:O16" si="4">VLOOKUP(L9,Tarifa1,3)</f>
        <v>0.21360000000000001</v>
      </c>
      <c r="P9" s="187">
        <f>N9*O9</f>
        <v>727.47674400000005</v>
      </c>
      <c r="Q9" s="189">
        <f t="shared" ref="Q9:Q16" si="5">VLOOKUP(L9,Tarifa1,2)</f>
        <v>699.3</v>
      </c>
      <c r="R9" s="187">
        <f>P9+Q9</f>
        <v>1426.776744</v>
      </c>
      <c r="S9" s="190">
        <f t="shared" ref="S9:S16" si="6">VLOOKUP(L9,Credito1,2)</f>
        <v>0</v>
      </c>
      <c r="T9" s="187">
        <f>ROUND(R9-S9,2)</f>
        <v>1426.78</v>
      </c>
      <c r="U9" s="186">
        <f t="shared" ref="U9" si="7">-IF(T9&gt;0,0,T9)</f>
        <v>0</v>
      </c>
      <c r="V9" s="186">
        <f t="shared" ref="V9" si="8">IF(T9&lt;0,0,T9)</f>
        <v>1426.78</v>
      </c>
      <c r="W9" s="186">
        <f>SUM(V9:V9)</f>
        <v>1426.78</v>
      </c>
      <c r="X9" s="186">
        <f>J9+U9-W9</f>
        <v>8581.7199999999993</v>
      </c>
      <c r="Y9" s="119"/>
      <c r="Z9" s="97"/>
      <c r="AE9" s="98"/>
    </row>
    <row r="10" spans="1:31" s="95" customFormat="1" ht="99" customHeight="1" x14ac:dyDescent="0.25">
      <c r="A10" s="118"/>
      <c r="B10" s="178" t="s">
        <v>294</v>
      </c>
      <c r="C10" s="179" t="s">
        <v>118</v>
      </c>
      <c r="D10" s="181" t="s">
        <v>295</v>
      </c>
      <c r="E10" s="181" t="s">
        <v>299</v>
      </c>
      <c r="F10" s="182"/>
      <c r="G10" s="183"/>
      <c r="H10" s="184">
        <v>5177</v>
      </c>
      <c r="I10" s="185">
        <v>0</v>
      </c>
      <c r="J10" s="186">
        <f>SUM(H10:I10)</f>
        <v>5177</v>
      </c>
      <c r="K10" s="187">
        <f>IF(H10/15&lt;=SMG,0,I10/2)</f>
        <v>0</v>
      </c>
      <c r="L10" s="187">
        <f t="shared" ref="L10" si="9">H10+K10</f>
        <v>5177</v>
      </c>
      <c r="M10" s="187">
        <f>VLOOKUP(L10,Tarifa1,1)</f>
        <v>4744.0600000000004</v>
      </c>
      <c r="N10" s="187">
        <f t="shared" ref="N10" si="10">L10-M10</f>
        <v>432.9399999999996</v>
      </c>
      <c r="O10" s="188">
        <f>VLOOKUP(L10,Tarifa1,3)</f>
        <v>0.16</v>
      </c>
      <c r="P10" s="187">
        <f t="shared" ref="P10" si="11">N10*O10</f>
        <v>69.270399999999938</v>
      </c>
      <c r="Q10" s="189">
        <f>VLOOKUP(L10,Tarifa1,2)</f>
        <v>381</v>
      </c>
      <c r="R10" s="187">
        <f t="shared" ref="R10" si="12">P10+Q10</f>
        <v>450.27039999999994</v>
      </c>
      <c r="S10" s="190">
        <f>VLOOKUP(L10,Credito1,2)</f>
        <v>0</v>
      </c>
      <c r="T10" s="187">
        <f t="shared" ref="T10" si="13">ROUND(R10-S10,2)</f>
        <v>450.27</v>
      </c>
      <c r="U10" s="186">
        <f>-IF(T10&gt;0,0,T10)</f>
        <v>0</v>
      </c>
      <c r="V10" s="186">
        <f>IF(T10&lt;0,0,T10)</f>
        <v>450.27</v>
      </c>
      <c r="W10" s="186">
        <f>SUM(V10:V10)</f>
        <v>450.27</v>
      </c>
      <c r="X10" s="186">
        <f>J10+U10-W10</f>
        <v>4726.7299999999996</v>
      </c>
      <c r="Y10" s="119"/>
      <c r="Z10" s="97"/>
      <c r="AE10" s="98"/>
    </row>
    <row r="11" spans="1:31" s="95" customFormat="1" ht="99" customHeight="1" x14ac:dyDescent="0.25">
      <c r="A11" s="118" t="s">
        <v>90</v>
      </c>
      <c r="B11" s="179" t="s">
        <v>166</v>
      </c>
      <c r="C11" s="179" t="s">
        <v>118</v>
      </c>
      <c r="D11" s="180" t="s">
        <v>147</v>
      </c>
      <c r="E11" s="181" t="s">
        <v>149</v>
      </c>
      <c r="F11" s="182">
        <v>15</v>
      </c>
      <c r="G11" s="183">
        <f t="shared" si="0"/>
        <v>451.82666666666665</v>
      </c>
      <c r="H11" s="184">
        <v>6777.4</v>
      </c>
      <c r="I11" s="185">
        <v>0</v>
      </c>
      <c r="J11" s="186">
        <f>SUM(H11:I11)</f>
        <v>6777.4</v>
      </c>
      <c r="K11" s="187">
        <f t="shared" si="2"/>
        <v>0</v>
      </c>
      <c r="L11" s="187">
        <f t="shared" ref="L11:L16" si="14">H11+K11</f>
        <v>6777.4</v>
      </c>
      <c r="M11" s="187">
        <f t="shared" si="3"/>
        <v>6602.71</v>
      </c>
      <c r="N11" s="187">
        <f t="shared" ref="N11:N16" si="15">L11-M11</f>
        <v>174.6899999999996</v>
      </c>
      <c r="O11" s="188">
        <f t="shared" si="4"/>
        <v>0.21360000000000001</v>
      </c>
      <c r="P11" s="187">
        <f t="shared" ref="P11:P16" si="16">N11*O11</f>
        <v>37.31378399999992</v>
      </c>
      <c r="Q11" s="189">
        <f t="shared" si="5"/>
        <v>699.3</v>
      </c>
      <c r="R11" s="187">
        <f t="shared" ref="R11:R16" si="17">P11+Q11</f>
        <v>736.6137839999999</v>
      </c>
      <c r="S11" s="190">
        <f t="shared" si="6"/>
        <v>0</v>
      </c>
      <c r="T11" s="187">
        <f t="shared" ref="T11:T16" si="18">ROUND(R11-S11,2)</f>
        <v>736.61</v>
      </c>
      <c r="U11" s="186">
        <f t="shared" ref="U11" si="19">-IF(T11&gt;0,0,T11)</f>
        <v>0</v>
      </c>
      <c r="V11" s="186">
        <f t="shared" ref="V11" si="20">IF(T11&lt;0,0,T11)</f>
        <v>736.61</v>
      </c>
      <c r="W11" s="186">
        <f>SUM(V11:V11)</f>
        <v>736.61</v>
      </c>
      <c r="X11" s="186">
        <f>J11+U11-W11</f>
        <v>6040.79</v>
      </c>
      <c r="Y11" s="119"/>
    </row>
    <row r="12" spans="1:31" s="95" customFormat="1" ht="99" customHeight="1" x14ac:dyDescent="0.25">
      <c r="A12" s="118"/>
      <c r="B12" s="179" t="s">
        <v>199</v>
      </c>
      <c r="C12" s="179" t="s">
        <v>118</v>
      </c>
      <c r="D12" s="191" t="s">
        <v>198</v>
      </c>
      <c r="E12" s="181" t="s">
        <v>69</v>
      </c>
      <c r="F12" s="182">
        <v>15</v>
      </c>
      <c r="G12" s="183"/>
      <c r="H12" s="184">
        <v>6071</v>
      </c>
      <c r="I12" s="185">
        <v>0</v>
      </c>
      <c r="J12" s="184">
        <f>H12</f>
        <v>6071</v>
      </c>
      <c r="K12" s="187">
        <f t="shared" ref="K12" si="21">IF(H12/15&lt;=SMG,0,I12/2)</f>
        <v>0</v>
      </c>
      <c r="L12" s="187">
        <f t="shared" si="14"/>
        <v>6071</v>
      </c>
      <c r="M12" s="187">
        <f t="shared" ref="M12" si="22">VLOOKUP(L12,Tarifa1,1)</f>
        <v>5514.76</v>
      </c>
      <c r="N12" s="187">
        <f t="shared" si="15"/>
        <v>556.23999999999978</v>
      </c>
      <c r="O12" s="188">
        <f t="shared" ref="O12" si="23">VLOOKUP(L12,Tarifa1,3)</f>
        <v>0.1792</v>
      </c>
      <c r="P12" s="187">
        <f t="shared" si="16"/>
        <v>99.678207999999955</v>
      </c>
      <c r="Q12" s="189">
        <f t="shared" ref="Q12" si="24">VLOOKUP(L12,Tarifa1,2)</f>
        <v>504.3</v>
      </c>
      <c r="R12" s="187">
        <f t="shared" si="17"/>
        <v>603.978208</v>
      </c>
      <c r="S12" s="190">
        <f t="shared" ref="S12" si="25">VLOOKUP(L12,Credito1,2)</f>
        <v>0</v>
      </c>
      <c r="T12" s="187">
        <f t="shared" si="18"/>
        <v>603.98</v>
      </c>
      <c r="U12" s="186">
        <f>-IF(T12&gt;0,0,T12)</f>
        <v>0</v>
      </c>
      <c r="V12" s="186">
        <f t="shared" ref="V12:V18" si="26">IF(T12&lt;0,0,T12)</f>
        <v>603.98</v>
      </c>
      <c r="W12" s="186">
        <f>SUM(V12:V12)</f>
        <v>603.98</v>
      </c>
      <c r="X12" s="186">
        <f>J12+U12-W12+I12</f>
        <v>5467.02</v>
      </c>
      <c r="Y12" s="119"/>
      <c r="AE12" s="98"/>
    </row>
    <row r="13" spans="1:31" s="95" customFormat="1" ht="99" customHeight="1" x14ac:dyDescent="0.25">
      <c r="A13" s="118"/>
      <c r="B13" s="179" t="s">
        <v>214</v>
      </c>
      <c r="C13" s="179" t="s">
        <v>163</v>
      </c>
      <c r="D13" s="191" t="s">
        <v>213</v>
      </c>
      <c r="E13" s="181" t="s">
        <v>69</v>
      </c>
      <c r="F13" s="182">
        <v>15</v>
      </c>
      <c r="G13" s="183"/>
      <c r="H13" s="184">
        <v>6071</v>
      </c>
      <c r="I13" s="185">
        <v>0</v>
      </c>
      <c r="J13" s="184">
        <f>H13</f>
        <v>6071</v>
      </c>
      <c r="K13" s="187">
        <f t="shared" ref="K13" si="27">IF(H13/15&lt;=SMG,0,I13/2)</f>
        <v>0</v>
      </c>
      <c r="L13" s="187">
        <f t="shared" ref="L13" si="28">H13+K13</f>
        <v>6071</v>
      </c>
      <c r="M13" s="187">
        <f t="shared" ref="M13" si="29">VLOOKUP(L13,Tarifa1,1)</f>
        <v>5514.76</v>
      </c>
      <c r="N13" s="187">
        <f t="shared" ref="N13" si="30">L13-M13</f>
        <v>556.23999999999978</v>
      </c>
      <c r="O13" s="188">
        <f t="shared" ref="O13" si="31">VLOOKUP(L13,Tarifa1,3)</f>
        <v>0.1792</v>
      </c>
      <c r="P13" s="187">
        <f t="shared" ref="P13" si="32">N13*O13</f>
        <v>99.678207999999955</v>
      </c>
      <c r="Q13" s="189">
        <f t="shared" ref="Q13" si="33">VLOOKUP(L13,Tarifa1,2)</f>
        <v>504.3</v>
      </c>
      <c r="R13" s="187">
        <f t="shared" ref="R13" si="34">P13+Q13</f>
        <v>603.978208</v>
      </c>
      <c r="S13" s="190">
        <f t="shared" ref="S13" si="35">VLOOKUP(L13,Credito1,2)</f>
        <v>0</v>
      </c>
      <c r="T13" s="187">
        <f t="shared" ref="T13" si="36">ROUND(R13-S13,2)</f>
        <v>603.98</v>
      </c>
      <c r="U13" s="186">
        <f>-IF(T13&gt;0,0,T13)</f>
        <v>0</v>
      </c>
      <c r="V13" s="186">
        <f t="shared" si="26"/>
        <v>603.98</v>
      </c>
      <c r="W13" s="186">
        <f>SUM(V13:V13)</f>
        <v>603.98</v>
      </c>
      <c r="X13" s="186">
        <f>J13+U13-W13+I13</f>
        <v>5467.02</v>
      </c>
      <c r="Y13" s="119"/>
      <c r="AE13" s="98"/>
    </row>
    <row r="14" spans="1:31" s="95" customFormat="1" ht="99" customHeight="1" x14ac:dyDescent="0.25">
      <c r="A14" s="118"/>
      <c r="B14" s="179" t="s">
        <v>116</v>
      </c>
      <c r="C14" s="179" t="s">
        <v>118</v>
      </c>
      <c r="D14" s="180" t="s">
        <v>70</v>
      </c>
      <c r="E14" s="181" t="s">
        <v>148</v>
      </c>
      <c r="F14" s="182">
        <v>15</v>
      </c>
      <c r="G14" s="183">
        <f>H14/F14</f>
        <v>553.5333333333333</v>
      </c>
      <c r="H14" s="184">
        <v>8303</v>
      </c>
      <c r="I14" s="185">
        <v>0</v>
      </c>
      <c r="J14" s="186">
        <f>SUM(H14:I14)</f>
        <v>8303</v>
      </c>
      <c r="K14" s="187">
        <f t="shared" si="2"/>
        <v>0</v>
      </c>
      <c r="L14" s="187">
        <f t="shared" si="14"/>
        <v>8303</v>
      </c>
      <c r="M14" s="187">
        <f t="shared" si="3"/>
        <v>6602.71</v>
      </c>
      <c r="N14" s="187">
        <f t="shared" si="15"/>
        <v>1700.29</v>
      </c>
      <c r="O14" s="188">
        <f t="shared" si="4"/>
        <v>0.21360000000000001</v>
      </c>
      <c r="P14" s="187">
        <f t="shared" si="16"/>
        <v>363.18194399999999</v>
      </c>
      <c r="Q14" s="189">
        <f t="shared" si="5"/>
        <v>699.3</v>
      </c>
      <c r="R14" s="187">
        <f t="shared" si="17"/>
        <v>1062.4819439999999</v>
      </c>
      <c r="S14" s="190">
        <f t="shared" si="6"/>
        <v>0</v>
      </c>
      <c r="T14" s="187">
        <f t="shared" si="18"/>
        <v>1062.48</v>
      </c>
      <c r="U14" s="186">
        <f t="shared" ref="U14:U19" si="37">-IF(T14&gt;0,0,T14)</f>
        <v>0</v>
      </c>
      <c r="V14" s="186">
        <f t="shared" si="26"/>
        <v>1062.48</v>
      </c>
      <c r="W14" s="186">
        <f>SUM(V14:V14)</f>
        <v>1062.48</v>
      </c>
      <c r="X14" s="186">
        <f>J14+U14-W14</f>
        <v>7240.52</v>
      </c>
      <c r="Y14" s="119"/>
      <c r="AE14" s="98"/>
    </row>
    <row r="15" spans="1:31" s="95" customFormat="1" ht="99" customHeight="1" x14ac:dyDescent="0.25">
      <c r="A15" s="118"/>
      <c r="B15" s="179" t="s">
        <v>224</v>
      </c>
      <c r="C15" s="179" t="s">
        <v>118</v>
      </c>
      <c r="D15" s="181" t="s">
        <v>225</v>
      </c>
      <c r="E15" s="181" t="s">
        <v>148</v>
      </c>
      <c r="F15" s="182">
        <v>15</v>
      </c>
      <c r="G15" s="183">
        <f t="shared" ref="G15" si="38">H15/F15</f>
        <v>553.5333333333333</v>
      </c>
      <c r="H15" s="184">
        <v>8303</v>
      </c>
      <c r="I15" s="185">
        <v>0</v>
      </c>
      <c r="J15" s="186">
        <f t="shared" ref="J15" si="39">SUM(H15:I15)</f>
        <v>8303</v>
      </c>
      <c r="K15" s="187">
        <f t="shared" si="2"/>
        <v>0</v>
      </c>
      <c r="L15" s="187">
        <f t="shared" si="14"/>
        <v>8303</v>
      </c>
      <c r="M15" s="187">
        <f t="shared" si="3"/>
        <v>6602.71</v>
      </c>
      <c r="N15" s="187">
        <f t="shared" si="15"/>
        <v>1700.29</v>
      </c>
      <c r="O15" s="188">
        <f t="shared" si="4"/>
        <v>0.21360000000000001</v>
      </c>
      <c r="P15" s="187">
        <f t="shared" si="16"/>
        <v>363.18194399999999</v>
      </c>
      <c r="Q15" s="189">
        <f t="shared" si="5"/>
        <v>699.3</v>
      </c>
      <c r="R15" s="187">
        <f t="shared" si="17"/>
        <v>1062.4819439999999</v>
      </c>
      <c r="S15" s="190">
        <f t="shared" si="6"/>
        <v>0</v>
      </c>
      <c r="T15" s="187">
        <f t="shared" si="18"/>
        <v>1062.48</v>
      </c>
      <c r="U15" s="186">
        <f t="shared" si="37"/>
        <v>0</v>
      </c>
      <c r="V15" s="186">
        <f t="shared" si="26"/>
        <v>1062.48</v>
      </c>
      <c r="W15" s="186">
        <f>SUM(V15:V15)</f>
        <v>1062.48</v>
      </c>
      <c r="X15" s="186">
        <f>J15+U15-W15</f>
        <v>7240.52</v>
      </c>
      <c r="Y15" s="119"/>
      <c r="AE15" s="98"/>
    </row>
    <row r="16" spans="1:31" s="95" customFormat="1" ht="99" customHeight="1" x14ac:dyDescent="0.25">
      <c r="A16" s="118"/>
      <c r="B16" s="179" t="s">
        <v>217</v>
      </c>
      <c r="C16" s="179" t="s">
        <v>118</v>
      </c>
      <c r="D16" s="191" t="s">
        <v>218</v>
      </c>
      <c r="E16" s="181" t="s">
        <v>175</v>
      </c>
      <c r="F16" s="182">
        <v>15</v>
      </c>
      <c r="G16" s="183"/>
      <c r="H16" s="184">
        <v>6643.5</v>
      </c>
      <c r="I16" s="185">
        <v>0</v>
      </c>
      <c r="J16" s="186">
        <f>SUM(H16:I16)</f>
        <v>6643.5</v>
      </c>
      <c r="K16" s="187">
        <f t="shared" si="2"/>
        <v>0</v>
      </c>
      <c r="L16" s="187">
        <f t="shared" si="14"/>
        <v>6643.5</v>
      </c>
      <c r="M16" s="187">
        <f t="shared" si="3"/>
        <v>6602.71</v>
      </c>
      <c r="N16" s="187">
        <f t="shared" si="15"/>
        <v>40.789999999999964</v>
      </c>
      <c r="O16" s="188">
        <f t="shared" si="4"/>
        <v>0.21360000000000001</v>
      </c>
      <c r="P16" s="187">
        <f t="shared" si="16"/>
        <v>8.7127439999999936</v>
      </c>
      <c r="Q16" s="189">
        <f t="shared" si="5"/>
        <v>699.3</v>
      </c>
      <c r="R16" s="187">
        <f t="shared" si="17"/>
        <v>708.012744</v>
      </c>
      <c r="S16" s="190">
        <f t="shared" si="6"/>
        <v>0</v>
      </c>
      <c r="T16" s="187">
        <f t="shared" si="18"/>
        <v>708.01</v>
      </c>
      <c r="U16" s="186">
        <f t="shared" si="37"/>
        <v>0</v>
      </c>
      <c r="V16" s="186">
        <f t="shared" si="26"/>
        <v>708.01</v>
      </c>
      <c r="W16" s="186">
        <f>SUM(V16:V16)</f>
        <v>708.01</v>
      </c>
      <c r="X16" s="186">
        <f>J16+U16-W16</f>
        <v>5935.49</v>
      </c>
      <c r="Y16" s="119"/>
      <c r="AE16" s="98"/>
    </row>
    <row r="17" spans="1:31" s="95" customFormat="1" ht="99" customHeight="1" x14ac:dyDescent="0.25">
      <c r="A17" s="219"/>
      <c r="B17" s="179" t="s">
        <v>188</v>
      </c>
      <c r="C17" s="179" t="s">
        <v>118</v>
      </c>
      <c r="D17" s="191" t="s">
        <v>180</v>
      </c>
      <c r="E17" s="181" t="s">
        <v>175</v>
      </c>
      <c r="F17" s="182">
        <v>15</v>
      </c>
      <c r="G17" s="183"/>
      <c r="H17" s="184">
        <v>8303</v>
      </c>
      <c r="I17" s="185">
        <v>0</v>
      </c>
      <c r="J17" s="186">
        <f t="shared" ref="J17:J18" si="40">SUM(H17:I17)</f>
        <v>8303</v>
      </c>
      <c r="K17" s="187">
        <f t="shared" ref="K17:K18" si="41">IF(H17/15&lt;=SMG,0,I17/2)</f>
        <v>0</v>
      </c>
      <c r="L17" s="187">
        <f t="shared" ref="L17:L18" si="42">H17+K17</f>
        <v>8303</v>
      </c>
      <c r="M17" s="187">
        <f t="shared" ref="M17:M18" si="43">VLOOKUP(L17,Tarifa1,1)</f>
        <v>6602.71</v>
      </c>
      <c r="N17" s="187">
        <f t="shared" ref="N17:N18" si="44">L17-M17</f>
        <v>1700.29</v>
      </c>
      <c r="O17" s="188">
        <f t="shared" ref="O17:O18" si="45">VLOOKUP(L17,Tarifa1,3)</f>
        <v>0.21360000000000001</v>
      </c>
      <c r="P17" s="187">
        <f t="shared" ref="P17:P18" si="46">N17*O17</f>
        <v>363.18194399999999</v>
      </c>
      <c r="Q17" s="189">
        <f t="shared" ref="Q17:Q18" si="47">VLOOKUP(L17,Tarifa1,2)</f>
        <v>699.3</v>
      </c>
      <c r="R17" s="187">
        <f t="shared" ref="R17:R18" si="48">P17+Q17</f>
        <v>1062.4819439999999</v>
      </c>
      <c r="S17" s="190">
        <f t="shared" ref="S17:S18" si="49">VLOOKUP(L17,Credito1,2)</f>
        <v>0</v>
      </c>
      <c r="T17" s="187">
        <f t="shared" ref="T17:T18" si="50">ROUND(R17-S17,2)</f>
        <v>1062.48</v>
      </c>
      <c r="U17" s="186">
        <f t="shared" si="37"/>
        <v>0</v>
      </c>
      <c r="V17" s="186">
        <f t="shared" si="26"/>
        <v>1062.48</v>
      </c>
      <c r="W17" s="186">
        <f>SUM(V17:V17)</f>
        <v>1062.48</v>
      </c>
      <c r="X17" s="186">
        <f>J17+U17-W17</f>
        <v>7240.52</v>
      </c>
      <c r="Y17" s="119"/>
      <c r="AE17" s="98"/>
    </row>
    <row r="18" spans="1:31" s="95" customFormat="1" ht="99" customHeight="1" x14ac:dyDescent="0.25">
      <c r="A18" s="118"/>
      <c r="B18" s="179" t="s">
        <v>196</v>
      </c>
      <c r="C18" s="179" t="s">
        <v>118</v>
      </c>
      <c r="D18" s="191" t="s">
        <v>197</v>
      </c>
      <c r="E18" s="181" t="s">
        <v>175</v>
      </c>
      <c r="F18" s="182">
        <v>15</v>
      </c>
      <c r="G18" s="183"/>
      <c r="H18" s="184">
        <v>8303</v>
      </c>
      <c r="I18" s="185">
        <v>0</v>
      </c>
      <c r="J18" s="186">
        <f t="shared" si="40"/>
        <v>8303</v>
      </c>
      <c r="K18" s="187">
        <f t="shared" si="41"/>
        <v>0</v>
      </c>
      <c r="L18" s="187">
        <f t="shared" si="42"/>
        <v>8303</v>
      </c>
      <c r="M18" s="187">
        <f t="shared" si="43"/>
        <v>6602.71</v>
      </c>
      <c r="N18" s="187">
        <f t="shared" si="44"/>
        <v>1700.29</v>
      </c>
      <c r="O18" s="188">
        <f t="shared" si="45"/>
        <v>0.21360000000000001</v>
      </c>
      <c r="P18" s="187">
        <f t="shared" si="46"/>
        <v>363.18194399999999</v>
      </c>
      <c r="Q18" s="189">
        <f t="shared" si="47"/>
        <v>699.3</v>
      </c>
      <c r="R18" s="187">
        <f t="shared" si="48"/>
        <v>1062.4819439999999</v>
      </c>
      <c r="S18" s="190">
        <f t="shared" si="49"/>
        <v>0</v>
      </c>
      <c r="T18" s="187">
        <f t="shared" si="50"/>
        <v>1062.48</v>
      </c>
      <c r="U18" s="186">
        <f t="shared" si="37"/>
        <v>0</v>
      </c>
      <c r="V18" s="186">
        <f t="shared" si="26"/>
        <v>1062.48</v>
      </c>
      <c r="W18" s="186">
        <f>SUM(V18:V18)</f>
        <v>1062.48</v>
      </c>
      <c r="X18" s="186">
        <f>J18+U18-W18</f>
        <v>7240.52</v>
      </c>
      <c r="Y18" s="119"/>
      <c r="AE18" s="98"/>
    </row>
    <row r="19" spans="1:31" s="95" customFormat="1" ht="99" customHeight="1" x14ac:dyDescent="0.25">
      <c r="A19" s="118"/>
      <c r="B19" s="179" t="s">
        <v>190</v>
      </c>
      <c r="C19" s="179" t="s">
        <v>118</v>
      </c>
      <c r="D19" s="191" t="s">
        <v>176</v>
      </c>
      <c r="E19" s="181" t="s">
        <v>177</v>
      </c>
      <c r="F19" s="182">
        <v>15</v>
      </c>
      <c r="G19" s="183">
        <f t="shared" ref="G19" si="51">H19/F19</f>
        <v>301.13333333333333</v>
      </c>
      <c r="H19" s="184">
        <v>4517</v>
      </c>
      <c r="I19" s="185">
        <v>0</v>
      </c>
      <c r="J19" s="186">
        <f t="shared" ref="J19" si="52">SUM(H19:I19)</f>
        <v>4517</v>
      </c>
      <c r="K19" s="187">
        <f t="shared" ref="K19" si="53">IF(H19/15&lt;=SMG,0,I19/2)</f>
        <v>0</v>
      </c>
      <c r="L19" s="187">
        <f t="shared" ref="L19" si="54">H19+K19</f>
        <v>4517</v>
      </c>
      <c r="M19" s="187">
        <f t="shared" ref="M19" si="55">VLOOKUP(L19,Tarifa1,1)</f>
        <v>2699.41</v>
      </c>
      <c r="N19" s="187">
        <f t="shared" ref="N19" si="56">L19-M19</f>
        <v>1817.5900000000001</v>
      </c>
      <c r="O19" s="188">
        <f t="shared" ref="O19" si="57">VLOOKUP(L19,Tarifa1,3)</f>
        <v>0.10879999999999999</v>
      </c>
      <c r="P19" s="187">
        <f t="shared" ref="P19" si="58">N19*O19</f>
        <v>197.753792</v>
      </c>
      <c r="Q19" s="189">
        <f t="shared" ref="Q19" si="59">VLOOKUP(L19,Tarifa1,2)</f>
        <v>158.55000000000001</v>
      </c>
      <c r="R19" s="187">
        <f t="shared" ref="R19" si="60">P19+Q19</f>
        <v>356.30379200000004</v>
      </c>
      <c r="S19" s="190">
        <f t="shared" ref="S19" si="61">VLOOKUP(L19,Credito1,2)</f>
        <v>0</v>
      </c>
      <c r="T19" s="187">
        <f t="shared" ref="T19" si="62">ROUND(R19-S19,2)</f>
        <v>356.3</v>
      </c>
      <c r="U19" s="186">
        <f t="shared" si="37"/>
        <v>0</v>
      </c>
      <c r="V19" s="186">
        <f t="shared" ref="V19" si="63">IF(T19&lt;0,0,T19)</f>
        <v>356.3</v>
      </c>
      <c r="W19" s="186">
        <f>SUM(V19:V19)</f>
        <v>356.3</v>
      </c>
      <c r="X19" s="186">
        <f>J19+U19-W19</f>
        <v>4160.7</v>
      </c>
      <c r="Y19" s="119"/>
      <c r="AE19" s="98"/>
    </row>
    <row r="20" spans="1:31" s="52" customFormat="1" ht="39" customHeight="1" thickBot="1" x14ac:dyDescent="0.3">
      <c r="A20" s="248" t="s">
        <v>45</v>
      </c>
      <c r="B20" s="249"/>
      <c r="C20" s="249"/>
      <c r="D20" s="249"/>
      <c r="E20" s="249"/>
      <c r="F20" s="249"/>
      <c r="G20" s="250"/>
      <c r="H20" s="193">
        <f t="shared" ref="H20:X20" si="64">SUM(H9:H19)</f>
        <v>78477.399999999994</v>
      </c>
      <c r="I20" s="193">
        <f t="shared" si="64"/>
        <v>0</v>
      </c>
      <c r="J20" s="193">
        <f t="shared" si="64"/>
        <v>78477.399999999994</v>
      </c>
      <c r="K20" s="194">
        <f t="shared" si="64"/>
        <v>0</v>
      </c>
      <c r="L20" s="194">
        <f t="shared" si="64"/>
        <v>78477.399999999994</v>
      </c>
      <c r="M20" s="194">
        <f t="shared" si="64"/>
        <v>64691.959999999992</v>
      </c>
      <c r="N20" s="194">
        <f t="shared" si="64"/>
        <v>13785.440000000002</v>
      </c>
      <c r="O20" s="194">
        <f t="shared" si="64"/>
        <v>2.1224000000000003</v>
      </c>
      <c r="P20" s="194">
        <f t="shared" si="64"/>
        <v>2692.6116559999996</v>
      </c>
      <c r="Q20" s="194">
        <f t="shared" si="64"/>
        <v>6443.2500000000009</v>
      </c>
      <c r="R20" s="194">
        <f t="shared" si="64"/>
        <v>9135.8616559999991</v>
      </c>
      <c r="S20" s="194">
        <f t="shared" si="64"/>
        <v>0</v>
      </c>
      <c r="T20" s="194">
        <f t="shared" si="64"/>
        <v>9135.8499999999985</v>
      </c>
      <c r="U20" s="193">
        <f t="shared" si="64"/>
        <v>0</v>
      </c>
      <c r="V20" s="193">
        <f t="shared" si="64"/>
        <v>9135.8499999999985</v>
      </c>
      <c r="W20" s="193">
        <f t="shared" si="64"/>
        <v>9135.8499999999985</v>
      </c>
      <c r="X20" s="193">
        <f t="shared" si="64"/>
        <v>69341.55</v>
      </c>
      <c r="Y20" s="120"/>
    </row>
    <row r="21" spans="1:31" s="52" customFormat="1" ht="39" customHeight="1" thickTop="1" x14ac:dyDescent="0.25">
      <c r="A21" s="112"/>
      <c r="B21" s="112"/>
      <c r="C21" s="112"/>
      <c r="D21" s="112"/>
      <c r="E21" s="112"/>
      <c r="F21" s="112"/>
      <c r="G21" s="112"/>
      <c r="H21" s="113"/>
      <c r="I21" s="113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3"/>
      <c r="V21" s="113"/>
      <c r="W21" s="113"/>
      <c r="X21" s="113"/>
    </row>
    <row r="22" spans="1:31" s="52" customFormat="1" ht="39" customHeight="1" x14ac:dyDescent="0.25">
      <c r="A22" s="112"/>
      <c r="B22" s="112"/>
      <c r="C22" s="112"/>
      <c r="D22" s="112"/>
      <c r="E22" s="112"/>
      <c r="F22" s="112"/>
      <c r="G22" s="112"/>
      <c r="H22" s="113"/>
      <c r="I22" s="113"/>
      <c r="J22" s="113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3"/>
      <c r="V22" s="113"/>
      <c r="W22" s="113"/>
      <c r="X22" s="113"/>
    </row>
    <row r="23" spans="1:31" s="52" customFormat="1" ht="12" x14ac:dyDescent="0.2"/>
    <row r="24" spans="1:31" s="52" customFormat="1" ht="12" x14ac:dyDescent="0.2"/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D13 D16:D19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ignoredErrors>
    <ignoredError sqref="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8"/>
  <sheetViews>
    <sheetView topLeftCell="B29" zoomScale="82" zoomScaleNormal="82" workbookViewId="0">
      <selection activeCell="W2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140625" customWidth="1"/>
    <col min="23" max="23" width="11.5703125" customWidth="1"/>
    <col min="24" max="24" width="12.7109375" customWidth="1"/>
    <col min="25" max="25" width="47.285156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2" customFormat="1" ht="12" x14ac:dyDescent="0.2">
      <c r="A6" s="48"/>
      <c r="B6" s="48"/>
      <c r="C6" s="48"/>
      <c r="D6" s="48"/>
      <c r="E6" s="48"/>
      <c r="F6" s="49" t="s">
        <v>23</v>
      </c>
      <c r="G6" s="49" t="s">
        <v>6</v>
      </c>
      <c r="H6" s="273" t="s">
        <v>1</v>
      </c>
      <c r="I6" s="274"/>
      <c r="J6" s="275"/>
      <c r="K6" s="50" t="s">
        <v>26</v>
      </c>
      <c r="L6" s="51"/>
      <c r="M6" s="276" t="s">
        <v>9</v>
      </c>
      <c r="N6" s="277"/>
      <c r="O6" s="277"/>
      <c r="P6" s="277"/>
      <c r="Q6" s="277"/>
      <c r="R6" s="278"/>
      <c r="S6" s="50" t="s">
        <v>30</v>
      </c>
      <c r="T6" s="50" t="s">
        <v>10</v>
      </c>
      <c r="U6" s="49" t="s">
        <v>54</v>
      </c>
      <c r="V6" s="279" t="s">
        <v>2</v>
      </c>
      <c r="W6" s="280"/>
      <c r="X6" s="49" t="s">
        <v>0</v>
      </c>
      <c r="Y6" s="48"/>
    </row>
    <row r="7" spans="1:25" s="52" customFormat="1" ht="24" x14ac:dyDescent="0.2">
      <c r="A7" s="53" t="s">
        <v>109</v>
      </c>
      <c r="B7" s="47" t="s">
        <v>104</v>
      </c>
      <c r="C7" s="47" t="s">
        <v>127</v>
      </c>
      <c r="D7" s="53" t="s">
        <v>22</v>
      </c>
      <c r="E7" s="53"/>
      <c r="F7" s="54" t="s">
        <v>24</v>
      </c>
      <c r="G7" s="53" t="s">
        <v>25</v>
      </c>
      <c r="H7" s="49" t="s">
        <v>6</v>
      </c>
      <c r="I7" s="49" t="s">
        <v>59</v>
      </c>
      <c r="J7" s="49" t="s">
        <v>28</v>
      </c>
      <c r="K7" s="55" t="s">
        <v>27</v>
      </c>
      <c r="L7" s="51" t="s">
        <v>32</v>
      </c>
      <c r="M7" s="51" t="s">
        <v>12</v>
      </c>
      <c r="N7" s="51" t="s">
        <v>34</v>
      </c>
      <c r="O7" s="51" t="s">
        <v>36</v>
      </c>
      <c r="P7" s="51" t="s">
        <v>37</v>
      </c>
      <c r="Q7" s="87" t="s">
        <v>14</v>
      </c>
      <c r="R7" s="51" t="s">
        <v>10</v>
      </c>
      <c r="S7" s="55" t="s">
        <v>40</v>
      </c>
      <c r="T7" s="55" t="s">
        <v>41</v>
      </c>
      <c r="U7" s="53" t="s">
        <v>31</v>
      </c>
      <c r="V7" s="49" t="s">
        <v>3</v>
      </c>
      <c r="W7" s="49" t="s">
        <v>7</v>
      </c>
      <c r="X7" s="53" t="s">
        <v>4</v>
      </c>
      <c r="Y7" s="53" t="s">
        <v>58</v>
      </c>
    </row>
    <row r="8" spans="1:25" s="52" customFormat="1" ht="12" x14ac:dyDescent="0.2">
      <c r="A8" s="53"/>
      <c r="B8" s="53"/>
      <c r="C8" s="53"/>
      <c r="D8" s="53"/>
      <c r="E8" s="53"/>
      <c r="F8" s="53"/>
      <c r="G8" s="53"/>
      <c r="H8" s="53" t="s">
        <v>47</v>
      </c>
      <c r="I8" s="53" t="s">
        <v>60</v>
      </c>
      <c r="J8" s="53" t="s">
        <v>29</v>
      </c>
      <c r="K8" s="55" t="s">
        <v>43</v>
      </c>
      <c r="L8" s="50" t="s">
        <v>33</v>
      </c>
      <c r="M8" s="50" t="s">
        <v>13</v>
      </c>
      <c r="N8" s="50" t="s">
        <v>35</v>
      </c>
      <c r="O8" s="50" t="s">
        <v>35</v>
      </c>
      <c r="P8" s="50" t="s">
        <v>38</v>
      </c>
      <c r="Q8" s="88" t="s">
        <v>15</v>
      </c>
      <c r="R8" s="50" t="s">
        <v>39</v>
      </c>
      <c r="S8" s="55" t="s">
        <v>19</v>
      </c>
      <c r="T8" s="56" t="s">
        <v>128</v>
      </c>
      <c r="U8" s="53" t="s">
        <v>53</v>
      </c>
      <c r="V8" s="53"/>
      <c r="W8" s="53" t="s">
        <v>44</v>
      </c>
      <c r="X8" s="53" t="s">
        <v>5</v>
      </c>
      <c r="Y8" s="57"/>
    </row>
    <row r="9" spans="1:25" s="4" customFormat="1" ht="39.75" customHeight="1" x14ac:dyDescent="0.25">
      <c r="A9" s="99"/>
      <c r="B9" s="126"/>
      <c r="C9" s="126"/>
      <c r="D9" s="126" t="s">
        <v>72</v>
      </c>
      <c r="E9" s="126" t="s">
        <v>62</v>
      </c>
      <c r="F9" s="126"/>
      <c r="G9" s="126"/>
      <c r="H9" s="127">
        <f>SUM(H10:H20)</f>
        <v>38816.69</v>
      </c>
      <c r="I9" s="127">
        <f>SUM(I10:I20)</f>
        <v>0</v>
      </c>
      <c r="J9" s="127">
        <f>SUM(J10:J20)</f>
        <v>38816.69</v>
      </c>
      <c r="K9" s="126"/>
      <c r="L9" s="126"/>
      <c r="M9" s="126"/>
      <c r="N9" s="126"/>
      <c r="O9" s="126"/>
      <c r="P9" s="126"/>
      <c r="Q9" s="128"/>
      <c r="R9" s="126"/>
      <c r="S9" s="126"/>
      <c r="T9" s="126"/>
      <c r="U9" s="127">
        <f>SUM(U10:U20)</f>
        <v>41.47</v>
      </c>
      <c r="V9" s="127">
        <f>SUM(V10:V20)</f>
        <v>1803.98</v>
      </c>
      <c r="W9" s="127">
        <f>SUM(W10:W20)</f>
        <v>1803.98</v>
      </c>
      <c r="X9" s="127">
        <f>SUM(X10:X20)</f>
        <v>37054.18</v>
      </c>
      <c r="Y9" s="100"/>
    </row>
    <row r="10" spans="1:25" s="4" customFormat="1" ht="80.099999999999994" customHeight="1" x14ac:dyDescent="0.25">
      <c r="A10" s="44"/>
      <c r="B10" s="179" t="s">
        <v>191</v>
      </c>
      <c r="C10" s="179" t="s">
        <v>118</v>
      </c>
      <c r="D10" s="180" t="s">
        <v>185</v>
      </c>
      <c r="E10" s="181" t="s">
        <v>184</v>
      </c>
      <c r="F10" s="182">
        <v>15</v>
      </c>
      <c r="G10" s="183">
        <f>H10/F10</f>
        <v>226.8</v>
      </c>
      <c r="H10" s="184">
        <v>3402</v>
      </c>
      <c r="I10" s="185">
        <v>0</v>
      </c>
      <c r="J10" s="186">
        <f t="shared" ref="J10" si="0">SUM(H10:I10)</f>
        <v>3402</v>
      </c>
      <c r="K10" s="187">
        <f t="shared" ref="K10:K14" si="1">IF(H10/15&lt;=SMG,0,I10/2)</f>
        <v>0</v>
      </c>
      <c r="L10" s="187">
        <f t="shared" ref="L10" si="2">H10+K10</f>
        <v>3402</v>
      </c>
      <c r="M10" s="187">
        <f t="shared" ref="M10:M14" si="3">VLOOKUP(L10,Tarifa1,1)</f>
        <v>2699.41</v>
      </c>
      <c r="N10" s="187">
        <f t="shared" ref="N10" si="4">L10-M10</f>
        <v>702.59000000000015</v>
      </c>
      <c r="O10" s="188">
        <f t="shared" ref="O10:O14" si="5">VLOOKUP(L10,Tarifa1,3)</f>
        <v>0.10879999999999999</v>
      </c>
      <c r="P10" s="187">
        <f t="shared" ref="P10" si="6">N10*O10</f>
        <v>76.441792000000007</v>
      </c>
      <c r="Q10" s="189">
        <f t="shared" ref="Q10:Q14" si="7">VLOOKUP(L10,Tarifa1,2)</f>
        <v>158.55000000000001</v>
      </c>
      <c r="R10" s="187">
        <f t="shared" ref="R10" si="8">P10+Q10</f>
        <v>234.99179200000003</v>
      </c>
      <c r="S10" s="190">
        <f t="shared" ref="S10:S14" si="9">VLOOKUP(L10,Credito1,2)</f>
        <v>125.1</v>
      </c>
      <c r="T10" s="187">
        <f t="shared" ref="T10" si="10">ROUND(R10-S10,2)</f>
        <v>109.89</v>
      </c>
      <c r="U10" s="186">
        <f t="shared" ref="U10" si="11">-IF(T10&gt;0,0,T10)</f>
        <v>0</v>
      </c>
      <c r="V10" s="186">
        <f t="shared" ref="V10" si="12">IF(T10&lt;0,0,T10)</f>
        <v>109.89</v>
      </c>
      <c r="W10" s="186">
        <f>SUM(V10:V10)</f>
        <v>109.89</v>
      </c>
      <c r="X10" s="186">
        <f>J10+U10-W10</f>
        <v>3292.11</v>
      </c>
      <c r="Y10" s="91"/>
    </row>
    <row r="11" spans="1:25" s="4" customFormat="1" ht="80.099999999999994" customHeight="1" x14ac:dyDescent="0.25">
      <c r="A11" s="44"/>
      <c r="B11" s="179" t="s">
        <v>106</v>
      </c>
      <c r="C11" s="179" t="s">
        <v>118</v>
      </c>
      <c r="D11" s="181" t="s">
        <v>73</v>
      </c>
      <c r="E11" s="180" t="s">
        <v>74</v>
      </c>
      <c r="F11" s="182">
        <v>15</v>
      </c>
      <c r="G11" s="183">
        <f>H11/F11</f>
        <v>230.5</v>
      </c>
      <c r="H11" s="184">
        <v>3457.5</v>
      </c>
      <c r="I11" s="185">
        <v>0</v>
      </c>
      <c r="J11" s="186">
        <f t="shared" ref="J11" si="13">SUM(H11:I11)</f>
        <v>3457.5</v>
      </c>
      <c r="K11" s="187">
        <f t="shared" si="1"/>
        <v>0</v>
      </c>
      <c r="L11" s="187">
        <f t="shared" ref="L11:L17" si="14">H11+K11</f>
        <v>3457.5</v>
      </c>
      <c r="M11" s="187">
        <f t="shared" si="3"/>
        <v>2699.41</v>
      </c>
      <c r="N11" s="187">
        <f t="shared" ref="N11:N17" si="15">L11-M11</f>
        <v>758.09000000000015</v>
      </c>
      <c r="O11" s="188">
        <f t="shared" si="5"/>
        <v>0.10879999999999999</v>
      </c>
      <c r="P11" s="187">
        <f t="shared" ref="P11:P17" si="16">N11*O11</f>
        <v>82.480192000000017</v>
      </c>
      <c r="Q11" s="189">
        <f t="shared" si="7"/>
        <v>158.55000000000001</v>
      </c>
      <c r="R11" s="187">
        <f t="shared" ref="R11:R17" si="17">P11+Q11</f>
        <v>241.03019200000003</v>
      </c>
      <c r="S11" s="190">
        <f t="shared" si="9"/>
        <v>125.1</v>
      </c>
      <c r="T11" s="187">
        <f t="shared" ref="T11:T17" si="18">ROUND(R11-S11,2)</f>
        <v>115.93</v>
      </c>
      <c r="U11" s="186">
        <f t="shared" ref="U11:U12" si="19">-IF(T11&gt;0,0,T11)</f>
        <v>0</v>
      </c>
      <c r="V11" s="186">
        <f t="shared" ref="V11:V12" si="20">IF(T11&lt;0,0,T11)</f>
        <v>115.93</v>
      </c>
      <c r="W11" s="186">
        <f>SUM(V11:V11)</f>
        <v>115.93</v>
      </c>
      <c r="X11" s="186">
        <f>J11+U11-W11</f>
        <v>3341.57</v>
      </c>
      <c r="Y11" s="91"/>
    </row>
    <row r="12" spans="1:25" s="4" customFormat="1" ht="80.099999999999994" customHeight="1" x14ac:dyDescent="0.25">
      <c r="A12" s="44"/>
      <c r="B12" s="179" t="s">
        <v>221</v>
      </c>
      <c r="C12" s="179" t="s">
        <v>118</v>
      </c>
      <c r="D12" s="180" t="s">
        <v>222</v>
      </c>
      <c r="E12" s="181" t="s">
        <v>184</v>
      </c>
      <c r="F12" s="182">
        <v>15</v>
      </c>
      <c r="G12" s="183"/>
      <c r="H12" s="184">
        <v>3402</v>
      </c>
      <c r="I12" s="185">
        <v>0</v>
      </c>
      <c r="J12" s="186">
        <f t="shared" ref="J12" si="21">SUM(H12:I12)</f>
        <v>3402</v>
      </c>
      <c r="K12" s="187">
        <f t="shared" si="1"/>
        <v>0</v>
      </c>
      <c r="L12" s="187">
        <f t="shared" si="14"/>
        <v>3402</v>
      </c>
      <c r="M12" s="187">
        <f t="shared" si="3"/>
        <v>2699.41</v>
      </c>
      <c r="N12" s="187">
        <f t="shared" si="15"/>
        <v>702.59000000000015</v>
      </c>
      <c r="O12" s="188">
        <f t="shared" si="5"/>
        <v>0.10879999999999999</v>
      </c>
      <c r="P12" s="187">
        <f t="shared" si="16"/>
        <v>76.441792000000007</v>
      </c>
      <c r="Q12" s="189">
        <f t="shared" si="7"/>
        <v>158.55000000000001</v>
      </c>
      <c r="R12" s="187">
        <f t="shared" si="17"/>
        <v>234.99179200000003</v>
      </c>
      <c r="S12" s="190">
        <f t="shared" si="9"/>
        <v>125.1</v>
      </c>
      <c r="T12" s="187">
        <f t="shared" si="18"/>
        <v>109.89</v>
      </c>
      <c r="U12" s="186">
        <f t="shared" si="19"/>
        <v>0</v>
      </c>
      <c r="V12" s="186">
        <f t="shared" si="20"/>
        <v>109.89</v>
      </c>
      <c r="W12" s="186">
        <f>SUM(V12:V12)</f>
        <v>109.89</v>
      </c>
      <c r="X12" s="186">
        <f>J12+U12-W12</f>
        <v>3292.11</v>
      </c>
      <c r="Y12" s="91"/>
    </row>
    <row r="13" spans="1:25" s="4" customFormat="1" ht="80.099999999999994" customHeight="1" x14ac:dyDescent="0.25">
      <c r="A13" s="44"/>
      <c r="B13" s="179" t="s">
        <v>135</v>
      </c>
      <c r="C13" s="179" t="s">
        <v>118</v>
      </c>
      <c r="D13" s="206" t="s">
        <v>134</v>
      </c>
      <c r="E13" s="181" t="s">
        <v>105</v>
      </c>
      <c r="F13" s="182">
        <v>15</v>
      </c>
      <c r="G13" s="183">
        <f>H13/F13</f>
        <v>251.72266666666667</v>
      </c>
      <c r="H13" s="184">
        <v>3775.84</v>
      </c>
      <c r="I13" s="185">
        <v>0</v>
      </c>
      <c r="J13" s="186">
        <f t="shared" ref="J13" si="22">SUM(H13:I13)</f>
        <v>3775.84</v>
      </c>
      <c r="K13" s="187">
        <f t="shared" si="1"/>
        <v>0</v>
      </c>
      <c r="L13" s="187">
        <f t="shared" si="14"/>
        <v>3775.84</v>
      </c>
      <c r="M13" s="187">
        <f t="shared" si="3"/>
        <v>2699.41</v>
      </c>
      <c r="N13" s="187">
        <f t="shared" si="15"/>
        <v>1076.4300000000003</v>
      </c>
      <c r="O13" s="188">
        <f t="shared" si="5"/>
        <v>0.10879999999999999</v>
      </c>
      <c r="P13" s="187">
        <f t="shared" si="16"/>
        <v>117.11558400000003</v>
      </c>
      <c r="Q13" s="189">
        <f t="shared" si="7"/>
        <v>158.55000000000001</v>
      </c>
      <c r="R13" s="187">
        <f t="shared" si="17"/>
        <v>275.66558400000002</v>
      </c>
      <c r="S13" s="190">
        <f t="shared" si="9"/>
        <v>0</v>
      </c>
      <c r="T13" s="187">
        <f t="shared" si="18"/>
        <v>275.67</v>
      </c>
      <c r="U13" s="186">
        <f>-IF(T13&gt;0,0,T13)</f>
        <v>0</v>
      </c>
      <c r="V13" s="186">
        <f>IF(T13&lt;0,0,T13)</f>
        <v>275.67</v>
      </c>
      <c r="W13" s="186">
        <f>SUM(V13:V13)</f>
        <v>275.67</v>
      </c>
      <c r="X13" s="186">
        <f>J13+U13-W13</f>
        <v>3500.17</v>
      </c>
      <c r="Y13" s="91"/>
    </row>
    <row r="14" spans="1:25" s="4" customFormat="1" ht="80.099999999999994" customHeight="1" x14ac:dyDescent="0.25">
      <c r="A14" s="44"/>
      <c r="B14" s="179" t="s">
        <v>205</v>
      </c>
      <c r="C14" s="179" t="s">
        <v>118</v>
      </c>
      <c r="D14" s="202" t="s">
        <v>206</v>
      </c>
      <c r="E14" s="181" t="s">
        <v>281</v>
      </c>
      <c r="F14" s="182">
        <v>15</v>
      </c>
      <c r="G14" s="183"/>
      <c r="H14" s="184">
        <v>3303.5</v>
      </c>
      <c r="I14" s="185">
        <v>0</v>
      </c>
      <c r="J14" s="186">
        <f t="shared" ref="J14" si="23">SUM(H14:I14)</f>
        <v>3303.5</v>
      </c>
      <c r="K14" s="187">
        <f t="shared" si="1"/>
        <v>0</v>
      </c>
      <c r="L14" s="187">
        <f t="shared" si="14"/>
        <v>3303.5</v>
      </c>
      <c r="M14" s="187">
        <f t="shared" si="3"/>
        <v>2699.41</v>
      </c>
      <c r="N14" s="187">
        <f t="shared" si="15"/>
        <v>604.09000000000015</v>
      </c>
      <c r="O14" s="188">
        <f t="shared" si="5"/>
        <v>0.10879999999999999</v>
      </c>
      <c r="P14" s="187">
        <f t="shared" si="16"/>
        <v>65.724992000000015</v>
      </c>
      <c r="Q14" s="189">
        <f t="shared" si="7"/>
        <v>158.55000000000001</v>
      </c>
      <c r="R14" s="187">
        <f t="shared" si="17"/>
        <v>224.27499200000003</v>
      </c>
      <c r="S14" s="190">
        <f t="shared" si="9"/>
        <v>125.1</v>
      </c>
      <c r="T14" s="187">
        <f t="shared" si="18"/>
        <v>99.17</v>
      </c>
      <c r="U14" s="186">
        <f t="shared" ref="U14" si="24">-IF(T14&gt;0,0,T14)</f>
        <v>0</v>
      </c>
      <c r="V14" s="186">
        <f t="shared" ref="V14" si="25">IF(T14&lt;0,0,T14)</f>
        <v>99.17</v>
      </c>
      <c r="W14" s="186">
        <f>SUM(V14:V14)</f>
        <v>99.17</v>
      </c>
      <c r="X14" s="186">
        <f>J14+U14-W14</f>
        <v>3204.33</v>
      </c>
      <c r="Y14" s="91"/>
    </row>
    <row r="15" spans="1:25" s="4" customFormat="1" ht="80.099999999999994" customHeight="1" x14ac:dyDescent="0.25">
      <c r="A15" s="44"/>
      <c r="B15" s="179" t="s">
        <v>282</v>
      </c>
      <c r="C15" s="179" t="s">
        <v>118</v>
      </c>
      <c r="D15" s="206" t="s">
        <v>284</v>
      </c>
      <c r="E15" s="181" t="s">
        <v>283</v>
      </c>
      <c r="F15" s="182">
        <v>15</v>
      </c>
      <c r="G15" s="183"/>
      <c r="H15" s="184">
        <v>2304.35</v>
      </c>
      <c r="I15" s="185">
        <v>0</v>
      </c>
      <c r="J15" s="186">
        <f>SUM(H15:I15)</f>
        <v>2304.35</v>
      </c>
      <c r="K15" s="187">
        <f>IF(H15/15&lt;=SMG,0,I15/2)</f>
        <v>0</v>
      </c>
      <c r="L15" s="187">
        <f t="shared" si="14"/>
        <v>2304.35</v>
      </c>
      <c r="M15" s="187">
        <f>VLOOKUP(L15,Tarifa1,1)</f>
        <v>318.01</v>
      </c>
      <c r="N15" s="187">
        <f t="shared" si="15"/>
        <v>1986.34</v>
      </c>
      <c r="O15" s="188">
        <f>VLOOKUP(L15,Tarifa1,3)</f>
        <v>6.4000000000000001E-2</v>
      </c>
      <c r="P15" s="187">
        <f t="shared" si="16"/>
        <v>127.12576</v>
      </c>
      <c r="Q15" s="189">
        <f>VLOOKUP(L15,Tarifa1,2)</f>
        <v>6.15</v>
      </c>
      <c r="R15" s="187">
        <f t="shared" si="17"/>
        <v>133.27575999999999</v>
      </c>
      <c r="S15" s="187">
        <f>VLOOKUP(L15,Credito1,2)</f>
        <v>174.75</v>
      </c>
      <c r="T15" s="187">
        <f t="shared" si="18"/>
        <v>-41.47</v>
      </c>
      <c r="U15" s="186">
        <f>-IF(T15&gt;0,0,T15)</f>
        <v>41.47</v>
      </c>
      <c r="V15" s="186">
        <f>IF(T15&lt;0,0,T15)</f>
        <v>0</v>
      </c>
      <c r="W15" s="186">
        <f>SUM(V15:V15)</f>
        <v>0</v>
      </c>
      <c r="X15" s="186">
        <f>J15+U15-W15</f>
        <v>2345.8199999999997</v>
      </c>
      <c r="Y15" s="91"/>
    </row>
    <row r="16" spans="1:25" s="4" customFormat="1" ht="80.099999999999994" customHeight="1" x14ac:dyDescent="0.25">
      <c r="A16" s="44"/>
      <c r="B16" s="178" t="s">
        <v>251</v>
      </c>
      <c r="C16" s="179" t="s">
        <v>118</v>
      </c>
      <c r="D16" s="181" t="s">
        <v>270</v>
      </c>
      <c r="E16" s="180" t="s">
        <v>75</v>
      </c>
      <c r="F16" s="182">
        <v>15</v>
      </c>
      <c r="G16" s="183">
        <f>H16/F16</f>
        <v>369.03333333333336</v>
      </c>
      <c r="H16" s="184">
        <v>5535.5</v>
      </c>
      <c r="I16" s="185">
        <v>0</v>
      </c>
      <c r="J16" s="186">
        <f>SUM(H16:I16)</f>
        <v>5535.5</v>
      </c>
      <c r="K16" s="187">
        <f>IF(H16/15&lt;=SMG,0,I16/2)</f>
        <v>0</v>
      </c>
      <c r="L16" s="187">
        <f t="shared" si="14"/>
        <v>5535.5</v>
      </c>
      <c r="M16" s="187">
        <f>VLOOKUP(L16,Tarifa1,1)</f>
        <v>5514.76</v>
      </c>
      <c r="N16" s="187">
        <f t="shared" si="15"/>
        <v>20.739999999999782</v>
      </c>
      <c r="O16" s="188">
        <f>VLOOKUP(L16,Tarifa1,3)</f>
        <v>0.1792</v>
      </c>
      <c r="P16" s="187">
        <f t="shared" si="16"/>
        <v>3.7166079999999608</v>
      </c>
      <c r="Q16" s="189">
        <f>VLOOKUP(L16,Tarifa1,2)</f>
        <v>504.3</v>
      </c>
      <c r="R16" s="187">
        <f t="shared" si="17"/>
        <v>508.01660799999996</v>
      </c>
      <c r="S16" s="190">
        <f>VLOOKUP(L16,Credito1,2)</f>
        <v>0</v>
      </c>
      <c r="T16" s="187">
        <f t="shared" si="18"/>
        <v>508.02</v>
      </c>
      <c r="U16" s="186">
        <f>-IF(T16&gt;0,0,T16)</f>
        <v>0</v>
      </c>
      <c r="V16" s="186">
        <f>IF(T16&lt;0,0,T16)</f>
        <v>508.02</v>
      </c>
      <c r="W16" s="186">
        <f>SUM(V16:V16)</f>
        <v>508.02</v>
      </c>
      <c r="X16" s="186">
        <f>J16+U16-W16</f>
        <v>5027.4799999999996</v>
      </c>
      <c r="Y16" s="91"/>
    </row>
    <row r="17" spans="1:31" s="4" customFormat="1" ht="80.099999999999994" customHeight="1" x14ac:dyDescent="0.25">
      <c r="A17" s="44"/>
      <c r="B17" s="178" t="s">
        <v>252</v>
      </c>
      <c r="C17" s="179" t="s">
        <v>118</v>
      </c>
      <c r="D17" s="180" t="s">
        <v>269</v>
      </c>
      <c r="E17" s="181" t="s">
        <v>183</v>
      </c>
      <c r="F17" s="182">
        <v>15</v>
      </c>
      <c r="G17" s="183"/>
      <c r="H17" s="184">
        <v>3868.5</v>
      </c>
      <c r="I17" s="185">
        <v>0</v>
      </c>
      <c r="J17" s="186">
        <f>SUM(H17:I17)</f>
        <v>3868.5</v>
      </c>
      <c r="K17" s="187">
        <f>IF(H17/15&lt;=SMG,0,I17/2)</f>
        <v>0</v>
      </c>
      <c r="L17" s="187">
        <f t="shared" si="14"/>
        <v>3868.5</v>
      </c>
      <c r="M17" s="187">
        <f>VLOOKUP(L17,Tarifa1,1)</f>
        <v>2699.41</v>
      </c>
      <c r="N17" s="187">
        <f t="shared" si="15"/>
        <v>1169.0900000000001</v>
      </c>
      <c r="O17" s="188">
        <f>VLOOKUP(L17,Tarifa1,3)</f>
        <v>0.10879999999999999</v>
      </c>
      <c r="P17" s="187">
        <f t="shared" si="16"/>
        <v>127.19699200000001</v>
      </c>
      <c r="Q17" s="189">
        <f>VLOOKUP(L17,Tarifa1,2)</f>
        <v>158.55000000000001</v>
      </c>
      <c r="R17" s="187">
        <f t="shared" si="17"/>
        <v>285.74699200000003</v>
      </c>
      <c r="S17" s="190">
        <f>VLOOKUP(L17,Credito1,2)</f>
        <v>0</v>
      </c>
      <c r="T17" s="187">
        <f t="shared" si="18"/>
        <v>285.75</v>
      </c>
      <c r="U17" s="186">
        <f>-IF(T17&gt;0,0,T17)</f>
        <v>0</v>
      </c>
      <c r="V17" s="195">
        <f>IF(T17&lt;0,0,T17)</f>
        <v>285.75</v>
      </c>
      <c r="W17" s="186">
        <f>SUM(V17:V17)</f>
        <v>285.75</v>
      </c>
      <c r="X17" s="186">
        <f>J17+U17-W17</f>
        <v>3582.75</v>
      </c>
      <c r="Y17" s="91"/>
    </row>
    <row r="18" spans="1:31" s="4" customFormat="1" ht="80.099999999999994" customHeight="1" x14ac:dyDescent="0.25">
      <c r="A18" s="121"/>
      <c r="B18" s="178" t="s">
        <v>219</v>
      </c>
      <c r="C18" s="179" t="s">
        <v>118</v>
      </c>
      <c r="D18" s="181" t="s">
        <v>84</v>
      </c>
      <c r="E18" s="181" t="s">
        <v>200</v>
      </c>
      <c r="F18" s="182">
        <v>15</v>
      </c>
      <c r="G18" s="183">
        <f>H18/F18</f>
        <v>208.46666666666667</v>
      </c>
      <c r="H18" s="184">
        <v>3127</v>
      </c>
      <c r="I18" s="185">
        <v>0</v>
      </c>
      <c r="J18" s="186">
        <f>SUM(H18:I18)</f>
        <v>3127</v>
      </c>
      <c r="K18" s="187">
        <f>IF(H18/15&lt;=SMG,0,I18/2)</f>
        <v>0</v>
      </c>
      <c r="L18" s="187">
        <f t="shared" ref="L18:L20" si="26">H18+K18</f>
        <v>3127</v>
      </c>
      <c r="M18" s="187">
        <f>VLOOKUP(L18,Tarifa1,1)</f>
        <v>2699.41</v>
      </c>
      <c r="N18" s="187">
        <f t="shared" ref="N18:N20" si="27">L18-M18</f>
        <v>427.59000000000015</v>
      </c>
      <c r="O18" s="188">
        <f>VLOOKUP(L18,Tarifa1,3)</f>
        <v>0.10879999999999999</v>
      </c>
      <c r="P18" s="187">
        <f t="shared" ref="P18:P20" si="28">N18*O18</f>
        <v>46.521792000000012</v>
      </c>
      <c r="Q18" s="189">
        <f>VLOOKUP(L18,Tarifa1,2)</f>
        <v>158.55000000000001</v>
      </c>
      <c r="R18" s="187">
        <f t="shared" ref="R18:R20" si="29">P18+Q18</f>
        <v>205.07179200000002</v>
      </c>
      <c r="S18" s="190">
        <f>VLOOKUP(L18,Credito1,2)</f>
        <v>125.1</v>
      </c>
      <c r="T18" s="187">
        <f t="shared" ref="T18:T20" si="30">ROUND(R18-S18,2)</f>
        <v>79.97</v>
      </c>
      <c r="U18" s="186">
        <f>-IF(T18&gt;0,0,T18)</f>
        <v>0</v>
      </c>
      <c r="V18" s="186">
        <f>IF(T18&lt;0,0,T18)</f>
        <v>79.97</v>
      </c>
      <c r="W18" s="186">
        <f>SUM(V18:V18)</f>
        <v>79.97</v>
      </c>
      <c r="X18" s="186">
        <f>J18+U18-W18</f>
        <v>3047.03</v>
      </c>
      <c r="Y18" s="91"/>
      <c r="Z18" s="89"/>
    </row>
    <row r="19" spans="1:31" s="4" customFormat="1" ht="80.099999999999994" customHeight="1" x14ac:dyDescent="0.25">
      <c r="A19" s="121"/>
      <c r="B19" s="178" t="s">
        <v>253</v>
      </c>
      <c r="C19" s="179" t="s">
        <v>118</v>
      </c>
      <c r="D19" s="181" t="s">
        <v>265</v>
      </c>
      <c r="E19" s="181" t="s">
        <v>150</v>
      </c>
      <c r="F19" s="182">
        <v>15</v>
      </c>
      <c r="G19" s="183"/>
      <c r="H19" s="184">
        <v>3513.5</v>
      </c>
      <c r="I19" s="185">
        <v>0</v>
      </c>
      <c r="J19" s="186">
        <f t="shared" ref="J19" si="31">SUM(H19:I19)</f>
        <v>3513.5</v>
      </c>
      <c r="K19" s="187">
        <f t="shared" ref="K19" si="32">IF(H19/15&lt;=SMG,0,I19/2)</f>
        <v>0</v>
      </c>
      <c r="L19" s="187">
        <f t="shared" si="26"/>
        <v>3513.5</v>
      </c>
      <c r="M19" s="187">
        <f t="shared" ref="M19" si="33">VLOOKUP(L19,Tarifa1,1)</f>
        <v>2699.41</v>
      </c>
      <c r="N19" s="187">
        <f t="shared" si="27"/>
        <v>814.09000000000015</v>
      </c>
      <c r="O19" s="188">
        <f t="shared" ref="O19" si="34">VLOOKUP(L19,Tarifa1,3)</f>
        <v>0.10879999999999999</v>
      </c>
      <c r="P19" s="187">
        <f t="shared" si="28"/>
        <v>88.572992000000013</v>
      </c>
      <c r="Q19" s="189">
        <f t="shared" ref="Q19" si="35">VLOOKUP(L19,Tarifa1,2)</f>
        <v>158.55000000000001</v>
      </c>
      <c r="R19" s="187">
        <f t="shared" si="29"/>
        <v>247.12299200000001</v>
      </c>
      <c r="S19" s="190">
        <f t="shared" ref="S19" si="36">VLOOKUP(L19,Credito1,2)</f>
        <v>107.4</v>
      </c>
      <c r="T19" s="187">
        <f t="shared" si="30"/>
        <v>139.72</v>
      </c>
      <c r="U19" s="186">
        <f t="shared" ref="U19" si="37">-IF(T19&gt;0,0,T19)</f>
        <v>0</v>
      </c>
      <c r="V19" s="186">
        <f t="shared" ref="V19" si="38">IF(T19&lt;0,0,T19)</f>
        <v>139.72</v>
      </c>
      <c r="W19" s="186">
        <f>SUM(V19:V19)</f>
        <v>139.72</v>
      </c>
      <c r="X19" s="186">
        <f>J19+U19-W19</f>
        <v>3373.78</v>
      </c>
      <c r="Y19" s="91"/>
      <c r="Z19" s="89"/>
    </row>
    <row r="20" spans="1:31" s="4" customFormat="1" ht="80.099999999999994" customHeight="1" x14ac:dyDescent="0.25">
      <c r="A20" s="121"/>
      <c r="B20" s="178" t="s">
        <v>286</v>
      </c>
      <c r="C20" s="179" t="s">
        <v>118</v>
      </c>
      <c r="D20" s="180" t="s">
        <v>267</v>
      </c>
      <c r="E20" s="181" t="s">
        <v>150</v>
      </c>
      <c r="F20" s="182">
        <v>15</v>
      </c>
      <c r="G20" s="183"/>
      <c r="H20" s="184">
        <v>3127</v>
      </c>
      <c r="I20" s="185">
        <v>0</v>
      </c>
      <c r="J20" s="186">
        <f>SUM(H20:I20)</f>
        <v>3127</v>
      </c>
      <c r="K20" s="187">
        <f>IF(H20/15&lt;=SMG,0,I20/2)</f>
        <v>0</v>
      </c>
      <c r="L20" s="187">
        <f t="shared" si="26"/>
        <v>3127</v>
      </c>
      <c r="M20" s="187">
        <f>VLOOKUP(L20,Tarifa1,1)</f>
        <v>2699.41</v>
      </c>
      <c r="N20" s="187">
        <f t="shared" si="27"/>
        <v>427.59000000000015</v>
      </c>
      <c r="O20" s="188">
        <f>VLOOKUP(L20,Tarifa1,3)</f>
        <v>0.10879999999999999</v>
      </c>
      <c r="P20" s="187">
        <f t="shared" si="28"/>
        <v>46.521792000000012</v>
      </c>
      <c r="Q20" s="189">
        <f>VLOOKUP(L20,Tarifa1,2)</f>
        <v>158.55000000000001</v>
      </c>
      <c r="R20" s="187">
        <f t="shared" si="29"/>
        <v>205.07179200000002</v>
      </c>
      <c r="S20" s="190">
        <f>VLOOKUP(L20,Credito1,2)</f>
        <v>125.1</v>
      </c>
      <c r="T20" s="187">
        <f t="shared" si="30"/>
        <v>79.97</v>
      </c>
      <c r="U20" s="186">
        <f>-IF(T20&gt;0,0,T20)</f>
        <v>0</v>
      </c>
      <c r="V20" s="186">
        <f>IF(T20&lt;0,0,T20)</f>
        <v>79.97</v>
      </c>
      <c r="W20" s="186">
        <f>SUM(V20:V20)</f>
        <v>79.97</v>
      </c>
      <c r="X20" s="186">
        <f>J20+U20-W20</f>
        <v>3047.03</v>
      </c>
      <c r="Y20" s="91"/>
      <c r="Z20" s="89"/>
    </row>
    <row r="21" spans="1:31" s="4" customFormat="1" ht="75" customHeight="1" x14ac:dyDescent="0.2">
      <c r="A21" s="121"/>
      <c r="B21" s="162"/>
      <c r="C21" s="121"/>
      <c r="D21" s="173"/>
      <c r="E21" s="173"/>
      <c r="F21" s="163"/>
      <c r="G21" s="164"/>
      <c r="H21" s="165"/>
      <c r="I21" s="166"/>
      <c r="J21" s="167"/>
      <c r="K21" s="168"/>
      <c r="L21" s="168"/>
      <c r="M21" s="168"/>
      <c r="N21" s="168"/>
      <c r="O21" s="169"/>
      <c r="P21" s="168"/>
      <c r="Q21" s="170"/>
      <c r="R21" s="168"/>
      <c r="S21" s="171"/>
      <c r="T21" s="168"/>
      <c r="U21" s="167"/>
      <c r="V21" s="167"/>
      <c r="W21" s="167"/>
      <c r="X21" s="167"/>
      <c r="Z21" s="89"/>
    </row>
    <row r="22" spans="1:31" s="4" customFormat="1" ht="24" customHeight="1" x14ac:dyDescent="0.25">
      <c r="A22" s="121"/>
      <c r="B22" s="261" t="s">
        <v>81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31" s="4" customFormat="1" ht="24" customHeight="1" x14ac:dyDescent="0.25">
      <c r="A23" s="121"/>
      <c r="B23" s="261" t="s">
        <v>65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31" s="4" customFormat="1" ht="25.5" customHeight="1" x14ac:dyDescent="0.25">
      <c r="A24" s="121"/>
      <c r="B24" s="252" t="s">
        <v>306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</row>
    <row r="25" spans="1:31" s="4" customFormat="1" ht="24" customHeight="1" x14ac:dyDescent="0.2">
      <c r="A25" s="121"/>
      <c r="B25" s="162"/>
      <c r="C25" s="121"/>
      <c r="D25" s="173"/>
      <c r="E25" s="173"/>
      <c r="F25" s="163"/>
      <c r="G25" s="164"/>
      <c r="H25" s="165"/>
      <c r="I25" s="166"/>
      <c r="J25" s="167"/>
      <c r="K25" s="168"/>
      <c r="L25" s="168"/>
      <c r="M25" s="168"/>
      <c r="N25" s="168"/>
      <c r="O25" s="169"/>
      <c r="P25" s="168"/>
      <c r="Q25" s="170"/>
      <c r="R25" s="168"/>
      <c r="S25" s="171"/>
      <c r="T25" s="168"/>
      <c r="U25" s="167"/>
      <c r="V25" s="167"/>
      <c r="W25" s="167"/>
      <c r="X25" s="167"/>
      <c r="Z25" s="89"/>
    </row>
    <row r="26" spans="1:31" s="4" customFormat="1" ht="21.75" customHeight="1" x14ac:dyDescent="0.2">
      <c r="A26" s="121"/>
      <c r="B26" s="162"/>
      <c r="C26" s="121"/>
      <c r="D26" s="173"/>
      <c r="E26" s="173"/>
      <c r="F26" s="163"/>
      <c r="G26" s="164"/>
      <c r="H26" s="165"/>
      <c r="I26" s="166"/>
      <c r="J26" s="167"/>
      <c r="K26" s="168"/>
      <c r="L26" s="168"/>
      <c r="M26" s="168"/>
      <c r="N26" s="168"/>
      <c r="O26" s="169"/>
      <c r="P26" s="168"/>
      <c r="Q26" s="170"/>
      <c r="R26" s="168"/>
      <c r="S26" s="171"/>
      <c r="T26" s="168"/>
      <c r="U26" s="167"/>
      <c r="V26" s="167"/>
      <c r="W26" s="167"/>
      <c r="X26" s="167"/>
      <c r="Z26" s="89"/>
    </row>
    <row r="27" spans="1:31" s="4" customFormat="1" ht="57.75" customHeight="1" x14ac:dyDescent="0.25">
      <c r="A27" s="115"/>
      <c r="B27" s="125" t="s">
        <v>104</v>
      </c>
      <c r="C27" s="125" t="s">
        <v>127</v>
      </c>
      <c r="D27" s="126" t="s">
        <v>126</v>
      </c>
      <c r="E27" s="126" t="s">
        <v>62</v>
      </c>
      <c r="F27" s="126"/>
      <c r="G27" s="126"/>
      <c r="H27" s="127">
        <f>SUM(H28:H29)</f>
        <v>9508</v>
      </c>
      <c r="I27" s="127">
        <f>SUM(I28:I29)</f>
        <v>0</v>
      </c>
      <c r="J27" s="127">
        <f>SUM(J28:J29)</f>
        <v>9508</v>
      </c>
      <c r="K27" s="126"/>
      <c r="L27" s="126"/>
      <c r="M27" s="126"/>
      <c r="N27" s="126"/>
      <c r="O27" s="126"/>
      <c r="P27" s="126"/>
      <c r="Q27" s="128"/>
      <c r="R27" s="126"/>
      <c r="S27" s="126"/>
      <c r="T27" s="126"/>
      <c r="U27" s="127">
        <f>SUM(U28:U29)</f>
        <v>0</v>
      </c>
      <c r="V27" s="127">
        <f>SUM(V28:V29)</f>
        <v>776.81</v>
      </c>
      <c r="W27" s="127">
        <f>SUM(W28:W29)</f>
        <v>776.81</v>
      </c>
      <c r="X27" s="127">
        <f>SUM(X28:X29)</f>
        <v>8731.1899999999987</v>
      </c>
      <c r="Y27" s="100"/>
    </row>
    <row r="28" spans="1:31" s="4" customFormat="1" ht="80.099999999999994" customHeight="1" x14ac:dyDescent="0.25">
      <c r="A28" s="118" t="s">
        <v>87</v>
      </c>
      <c r="B28" s="178" t="s">
        <v>167</v>
      </c>
      <c r="C28" s="179" t="s">
        <v>118</v>
      </c>
      <c r="D28" s="181" t="s">
        <v>152</v>
      </c>
      <c r="E28" s="181" t="s">
        <v>151</v>
      </c>
      <c r="F28" s="182">
        <v>15</v>
      </c>
      <c r="G28" s="183">
        <f>H28/F28</f>
        <v>332.73333333333335</v>
      </c>
      <c r="H28" s="184">
        <v>4991</v>
      </c>
      <c r="I28" s="185">
        <v>0</v>
      </c>
      <c r="J28" s="186">
        <f>SUM(H28:I28)</f>
        <v>4991</v>
      </c>
      <c r="K28" s="187">
        <f>IF(H28/15&lt;=SMG,0,I28/2)</f>
        <v>0</v>
      </c>
      <c r="L28" s="187">
        <f t="shared" ref="L28:L29" si="39">H28+K28</f>
        <v>4991</v>
      </c>
      <c r="M28" s="187">
        <f>VLOOKUP(L28,Tarifa1,1)</f>
        <v>4744.0600000000004</v>
      </c>
      <c r="N28" s="187">
        <f t="shared" ref="N28:N29" si="40">L28-M28</f>
        <v>246.9399999999996</v>
      </c>
      <c r="O28" s="188">
        <f>VLOOKUP(L28,Tarifa1,3)</f>
        <v>0.16</v>
      </c>
      <c r="P28" s="187">
        <f t="shared" ref="P28:P29" si="41">N28*O28</f>
        <v>39.51039999999994</v>
      </c>
      <c r="Q28" s="189">
        <f>VLOOKUP(L28,Tarifa1,2)</f>
        <v>381</v>
      </c>
      <c r="R28" s="187">
        <f t="shared" ref="R28:R29" si="42">P28+Q28</f>
        <v>420.51039999999995</v>
      </c>
      <c r="S28" s="190">
        <f>VLOOKUP(L28,Credito1,2)</f>
        <v>0</v>
      </c>
      <c r="T28" s="187">
        <f t="shared" ref="T28:T29" si="43">ROUND(R28-S28,2)</f>
        <v>420.51</v>
      </c>
      <c r="U28" s="186">
        <f>-IF(T28&gt;0,0,T28)</f>
        <v>0</v>
      </c>
      <c r="V28" s="186">
        <f>IF(T28&lt;0,0,T28)</f>
        <v>420.51</v>
      </c>
      <c r="W28" s="186">
        <f>SUM(V28:V28)</f>
        <v>420.51</v>
      </c>
      <c r="X28" s="186">
        <f>J28+U28-W28</f>
        <v>4570.49</v>
      </c>
      <c r="Y28" s="91"/>
      <c r="AE28" s="96"/>
    </row>
    <row r="29" spans="1:31" s="4" customFormat="1" ht="80.099999999999994" customHeight="1" x14ac:dyDescent="0.25">
      <c r="A29" s="118"/>
      <c r="B29" s="178" t="s">
        <v>192</v>
      </c>
      <c r="C29" s="179" t="s">
        <v>118</v>
      </c>
      <c r="D29" s="180" t="s">
        <v>181</v>
      </c>
      <c r="E29" s="181" t="s">
        <v>182</v>
      </c>
      <c r="F29" s="182">
        <v>15</v>
      </c>
      <c r="G29" s="183"/>
      <c r="H29" s="184">
        <v>4517</v>
      </c>
      <c r="I29" s="185">
        <v>0</v>
      </c>
      <c r="J29" s="186">
        <f>SUM(H29:I29)</f>
        <v>4517</v>
      </c>
      <c r="K29" s="187">
        <f>IF(H29/15&lt;=SMG,0,I29/2)</f>
        <v>0</v>
      </c>
      <c r="L29" s="187">
        <f t="shared" si="39"/>
        <v>4517</v>
      </c>
      <c r="M29" s="187">
        <f>VLOOKUP(L29,Tarifa1,1)</f>
        <v>2699.41</v>
      </c>
      <c r="N29" s="187">
        <f t="shared" si="40"/>
        <v>1817.5900000000001</v>
      </c>
      <c r="O29" s="188">
        <f>VLOOKUP(L29,Tarifa1,3)</f>
        <v>0.10879999999999999</v>
      </c>
      <c r="P29" s="187">
        <f t="shared" si="41"/>
        <v>197.753792</v>
      </c>
      <c r="Q29" s="189">
        <f>VLOOKUP(L29,Tarifa1,2)</f>
        <v>158.55000000000001</v>
      </c>
      <c r="R29" s="187">
        <f t="shared" si="42"/>
        <v>356.30379200000004</v>
      </c>
      <c r="S29" s="190">
        <f>VLOOKUP(L29,Credito1,2)</f>
        <v>0</v>
      </c>
      <c r="T29" s="187">
        <f t="shared" si="43"/>
        <v>356.3</v>
      </c>
      <c r="U29" s="186">
        <f>-IF(T29&gt;0,0,T29)</f>
        <v>0</v>
      </c>
      <c r="V29" s="186">
        <f>IF(T29&lt;0,0,T29)</f>
        <v>356.3</v>
      </c>
      <c r="W29" s="186">
        <f>SUM(V29:V29)</f>
        <v>356.3</v>
      </c>
      <c r="X29" s="186">
        <f>J29+U29-W29</f>
        <v>4160.7</v>
      </c>
      <c r="Y29" s="91"/>
      <c r="AE29" s="96"/>
    </row>
    <row r="30" spans="1:31" s="4" customFormat="1" ht="27.75" customHeight="1" x14ac:dyDescent="0.25">
      <c r="A30" s="214"/>
      <c r="B30" s="214"/>
      <c r="C30" s="214"/>
      <c r="D30" s="214"/>
      <c r="E30" s="214"/>
      <c r="F30" s="214"/>
      <c r="G30" s="214"/>
      <c r="H30" s="220"/>
      <c r="I30" s="220"/>
      <c r="J30" s="220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</row>
    <row r="31" spans="1:31" s="4" customFormat="1" ht="75" customHeight="1" thickBot="1" x14ac:dyDescent="0.3">
      <c r="A31" s="248" t="s">
        <v>45</v>
      </c>
      <c r="B31" s="249"/>
      <c r="C31" s="249"/>
      <c r="D31" s="249"/>
      <c r="E31" s="249"/>
      <c r="F31" s="249"/>
      <c r="G31" s="250"/>
      <c r="H31" s="193">
        <f>H9+H27</f>
        <v>48324.69</v>
      </c>
      <c r="I31" s="193">
        <f>I9+I27</f>
        <v>0</v>
      </c>
      <c r="J31" s="193">
        <f>J9+J27</f>
        <v>48324.69</v>
      </c>
      <c r="K31" s="194">
        <f t="shared" ref="K31:T31" si="44">SUM(K10:K30)</f>
        <v>0</v>
      </c>
      <c r="L31" s="194">
        <f t="shared" si="44"/>
        <v>48324.69</v>
      </c>
      <c r="M31" s="194">
        <f t="shared" si="44"/>
        <v>37570.929999999993</v>
      </c>
      <c r="N31" s="194">
        <f t="shared" si="44"/>
        <v>10753.760000000002</v>
      </c>
      <c r="O31" s="194">
        <f t="shared" si="44"/>
        <v>1.4911999999999999</v>
      </c>
      <c r="P31" s="194">
        <f t="shared" si="44"/>
        <v>1095.1244799999999</v>
      </c>
      <c r="Q31" s="194">
        <f t="shared" si="44"/>
        <v>2476.9499999999998</v>
      </c>
      <c r="R31" s="194">
        <f t="shared" si="44"/>
        <v>3572.0744800000007</v>
      </c>
      <c r="S31" s="194">
        <f t="shared" si="44"/>
        <v>1032.75</v>
      </c>
      <c r="T31" s="194">
        <f t="shared" si="44"/>
        <v>2539.3200000000002</v>
      </c>
      <c r="U31" s="193">
        <f>U9+U27</f>
        <v>41.47</v>
      </c>
      <c r="V31" s="193">
        <f>V9+V27</f>
        <v>2580.79</v>
      </c>
      <c r="W31" s="193">
        <f>W9+W27</f>
        <v>2580.79</v>
      </c>
      <c r="X31" s="193">
        <f>X9+X27</f>
        <v>45785.369999999995</v>
      </c>
    </row>
    <row r="32" spans="1:31" s="4" customFormat="1" ht="18" customHeight="1" thickTop="1" x14ac:dyDescent="0.25">
      <c r="A32" s="174"/>
      <c r="B32" s="174"/>
      <c r="C32" s="174"/>
      <c r="D32" s="174"/>
      <c r="E32" s="174"/>
      <c r="F32" s="174"/>
      <c r="G32" s="174"/>
      <c r="H32" s="175"/>
      <c r="I32" s="175"/>
      <c r="J32" s="175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5"/>
      <c r="V32" s="175"/>
      <c r="W32" s="175"/>
      <c r="X32" s="175"/>
    </row>
    <row r="33" spans="1:24" s="4" customFormat="1" ht="18" customHeight="1" x14ac:dyDescent="0.25">
      <c r="A33" s="174"/>
      <c r="B33" s="174"/>
      <c r="C33" s="174"/>
      <c r="D33" s="174"/>
      <c r="E33" s="174"/>
      <c r="F33" s="174"/>
      <c r="G33" s="174"/>
      <c r="H33" s="175"/>
      <c r="I33" s="175"/>
      <c r="J33" s="175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5"/>
      <c r="V33" s="175"/>
      <c r="W33" s="175"/>
      <c r="X33" s="175"/>
    </row>
    <row r="34" spans="1:24" s="4" customFormat="1" ht="18" customHeight="1" x14ac:dyDescent="0.25">
      <c r="A34" s="174"/>
      <c r="B34" s="174"/>
      <c r="C34" s="174"/>
      <c r="D34" s="174"/>
      <c r="E34" s="174"/>
      <c r="F34" s="174"/>
      <c r="G34" s="174"/>
      <c r="H34" s="175"/>
      <c r="I34" s="175"/>
      <c r="J34" s="175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5"/>
      <c r="V34" s="175"/>
      <c r="W34" s="175"/>
      <c r="X34" s="175"/>
    </row>
    <row r="35" spans="1:24" s="4" customFormat="1" ht="18" customHeight="1" x14ac:dyDescent="0.25">
      <c r="A35" s="174"/>
      <c r="B35" s="174"/>
      <c r="C35" s="174"/>
      <c r="D35" s="174"/>
      <c r="E35" s="174"/>
      <c r="F35" s="174"/>
      <c r="G35" s="174"/>
      <c r="H35" s="175"/>
      <c r="I35" s="175"/>
      <c r="J35" s="175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5"/>
      <c r="V35" s="175"/>
      <c r="W35" s="175"/>
      <c r="X35" s="175"/>
    </row>
    <row r="36" spans="1:24" s="4" customFormat="1" ht="18" customHeight="1" x14ac:dyDescent="0.25">
      <c r="A36" s="174"/>
      <c r="B36" s="174"/>
      <c r="C36" s="174"/>
      <c r="D36" s="174"/>
      <c r="E36" s="174"/>
      <c r="F36" s="174"/>
      <c r="G36" s="174"/>
      <c r="H36" s="175"/>
      <c r="I36" s="175"/>
      <c r="J36" s="175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5"/>
      <c r="V36" s="175"/>
      <c r="W36" s="175"/>
      <c r="X36" s="175"/>
    </row>
    <row r="37" spans="1:24" s="4" customFormat="1" x14ac:dyDescent="0.2"/>
    <row r="38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8"/>
  <sheetViews>
    <sheetView topLeftCell="C21" zoomScale="86" zoomScaleNormal="86" workbookViewId="0">
      <selection activeCell="W2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3.7109375" customWidth="1"/>
    <col min="9" max="9" width="10.8554687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2.28515625" customWidth="1"/>
    <col min="24" max="24" width="13.7109375" customWidth="1"/>
    <col min="25" max="25" width="68.140625" customWidth="1"/>
    <col min="26" max="26" width="1.28515625" customWidth="1"/>
  </cols>
  <sheetData>
    <row r="1" spans="1:31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9.5" x14ac:dyDescent="0.25">
      <c r="A3" s="252" t="s">
        <v>306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70" t="s">
        <v>127</v>
      </c>
      <c r="D5" s="48"/>
      <c r="E5" s="48"/>
      <c r="F5" s="49" t="s">
        <v>23</v>
      </c>
      <c r="G5" s="49" t="s">
        <v>6</v>
      </c>
      <c r="H5" s="273" t="s">
        <v>1</v>
      </c>
      <c r="I5" s="274"/>
      <c r="J5" s="275"/>
      <c r="K5" s="50" t="s">
        <v>26</v>
      </c>
      <c r="L5" s="51"/>
      <c r="M5" s="276" t="s">
        <v>9</v>
      </c>
      <c r="N5" s="277"/>
      <c r="O5" s="277"/>
      <c r="P5" s="277"/>
      <c r="Q5" s="277"/>
      <c r="R5" s="278"/>
      <c r="S5" s="50" t="s">
        <v>30</v>
      </c>
      <c r="T5" s="50" t="s">
        <v>10</v>
      </c>
      <c r="U5" s="49" t="s">
        <v>54</v>
      </c>
      <c r="V5" s="279" t="s">
        <v>2</v>
      </c>
      <c r="W5" s="280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104</v>
      </c>
      <c r="C6" s="271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59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87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58</v>
      </c>
    </row>
    <row r="7" spans="1:31" s="52" customFormat="1" ht="12" x14ac:dyDescent="0.2">
      <c r="A7" s="53"/>
      <c r="B7" s="53"/>
      <c r="C7" s="272"/>
      <c r="D7" s="53"/>
      <c r="E7" s="53"/>
      <c r="F7" s="53"/>
      <c r="G7" s="53"/>
      <c r="H7" s="53" t="s">
        <v>47</v>
      </c>
      <c r="I7" s="53" t="s">
        <v>60</v>
      </c>
      <c r="J7" s="53" t="s">
        <v>29</v>
      </c>
      <c r="K7" s="55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88" t="s">
        <v>15</v>
      </c>
      <c r="R7" s="50" t="s">
        <v>39</v>
      </c>
      <c r="S7" s="55" t="s">
        <v>19</v>
      </c>
      <c r="T7" s="56" t="s">
        <v>128</v>
      </c>
      <c r="U7" s="53" t="s">
        <v>53</v>
      </c>
      <c r="V7" s="53"/>
      <c r="W7" s="53" t="s">
        <v>44</v>
      </c>
      <c r="X7" s="53" t="s">
        <v>5</v>
      </c>
      <c r="Y7" s="57"/>
    </row>
    <row r="8" spans="1:31" s="52" customFormat="1" ht="46.5" customHeight="1" x14ac:dyDescent="0.25">
      <c r="A8" s="37"/>
      <c r="B8" s="104" t="s">
        <v>104</v>
      </c>
      <c r="C8" s="104" t="s">
        <v>127</v>
      </c>
      <c r="D8" s="37" t="s">
        <v>156</v>
      </c>
      <c r="E8" s="37" t="s">
        <v>62</v>
      </c>
      <c r="F8" s="37"/>
      <c r="G8" s="37"/>
      <c r="H8" s="101">
        <f>SUM(H9:H9)</f>
        <v>6808.5</v>
      </c>
      <c r="I8" s="101">
        <f>SUM(I9:I9)</f>
        <v>0</v>
      </c>
      <c r="J8" s="101">
        <f>SUM(J9:J9)</f>
        <v>6808.5</v>
      </c>
      <c r="K8" s="37"/>
      <c r="L8" s="37"/>
      <c r="M8" s="37"/>
      <c r="N8" s="37"/>
      <c r="O8" s="37"/>
      <c r="P8" s="37"/>
      <c r="Q8" s="102"/>
      <c r="R8" s="37"/>
      <c r="S8" s="37"/>
      <c r="T8" s="37"/>
      <c r="U8" s="101">
        <f>SUM(U9:U9)</f>
        <v>0</v>
      </c>
      <c r="V8" s="101">
        <f>SUM(V9:V9)</f>
        <v>743.26</v>
      </c>
      <c r="W8" s="101">
        <f>SUM(W9:W9)</f>
        <v>743.26</v>
      </c>
      <c r="X8" s="101">
        <f>SUM(X9:X9)</f>
        <v>6065.24</v>
      </c>
      <c r="Y8" s="103"/>
    </row>
    <row r="9" spans="1:31" s="52" customFormat="1" ht="75" customHeight="1" x14ac:dyDescent="0.25">
      <c r="A9" s="37"/>
      <c r="B9" s="221">
        <v>275</v>
      </c>
      <c r="C9" s="222" t="s">
        <v>118</v>
      </c>
      <c r="D9" s="223" t="s">
        <v>280</v>
      </c>
      <c r="E9" s="224" t="s">
        <v>248</v>
      </c>
      <c r="F9" s="208">
        <v>15</v>
      </c>
      <c r="G9" s="208"/>
      <c r="H9" s="184">
        <v>6808.5</v>
      </c>
      <c r="I9" s="185">
        <v>0</v>
      </c>
      <c r="J9" s="186">
        <f>SUM(H9:I9)</f>
        <v>6808.5</v>
      </c>
      <c r="K9" s="187">
        <f>IF(H9/15&lt;=SMG,0,I9/2)</f>
        <v>0</v>
      </c>
      <c r="L9" s="187">
        <f t="shared" ref="L9" si="0">H9+K9</f>
        <v>6808.5</v>
      </c>
      <c r="M9" s="187">
        <f>VLOOKUP(L9,Tarifa1,1)</f>
        <v>6602.71</v>
      </c>
      <c r="N9" s="187">
        <f t="shared" ref="N9" si="1">L9-M9</f>
        <v>205.78999999999996</v>
      </c>
      <c r="O9" s="188">
        <f>VLOOKUP(L9,Tarifa1,3)</f>
        <v>0.21360000000000001</v>
      </c>
      <c r="P9" s="187">
        <f t="shared" ref="P9" si="2">N9*O9</f>
        <v>43.956743999999993</v>
      </c>
      <c r="Q9" s="189">
        <f>VLOOKUP(L9,Tarifa1,2)</f>
        <v>699.3</v>
      </c>
      <c r="R9" s="187">
        <f t="shared" ref="R9" si="3">P9+Q9</f>
        <v>743.25674399999991</v>
      </c>
      <c r="S9" s="190">
        <f>VLOOKUP(L9,Credito1,2)</f>
        <v>0</v>
      </c>
      <c r="T9" s="187">
        <f t="shared" ref="T9" si="4">ROUND(R9-S9,2)</f>
        <v>743.26</v>
      </c>
      <c r="U9" s="186">
        <f>-IF(T9&gt;0,0,T9)</f>
        <v>0</v>
      </c>
      <c r="V9" s="186">
        <f>IF(T9&lt;0,0,T9)</f>
        <v>743.26</v>
      </c>
      <c r="W9" s="186">
        <f>SUM(V9:V9)</f>
        <v>743.26</v>
      </c>
      <c r="X9" s="186">
        <f>J9+U9-W9</f>
        <v>6065.24</v>
      </c>
      <c r="Y9" s="172"/>
    </row>
    <row r="10" spans="1:31" s="52" customFormat="1" ht="42.75" customHeight="1" x14ac:dyDescent="0.25">
      <c r="A10" s="46"/>
      <c r="B10" s="104" t="s">
        <v>104</v>
      </c>
      <c r="C10" s="104" t="s">
        <v>127</v>
      </c>
      <c r="D10" s="37" t="s">
        <v>210</v>
      </c>
      <c r="E10" s="37" t="s">
        <v>62</v>
      </c>
      <c r="F10" s="37"/>
      <c r="G10" s="37"/>
      <c r="H10" s="101">
        <f>SUM(H11)</f>
        <v>6808.5</v>
      </c>
      <c r="I10" s="101">
        <f>SUM(I11)</f>
        <v>0</v>
      </c>
      <c r="J10" s="101">
        <f>SUM(J11)</f>
        <v>6808.5</v>
      </c>
      <c r="K10" s="37"/>
      <c r="L10" s="37"/>
      <c r="M10" s="37"/>
      <c r="N10" s="37"/>
      <c r="O10" s="37"/>
      <c r="P10" s="37"/>
      <c r="Q10" s="102"/>
      <c r="R10" s="37"/>
      <c r="S10" s="37"/>
      <c r="T10" s="37"/>
      <c r="U10" s="101">
        <f>SUM(U11)</f>
        <v>0</v>
      </c>
      <c r="V10" s="101">
        <f>SUM(V11)</f>
        <v>743.26</v>
      </c>
      <c r="W10" s="101">
        <f>SUM(W11)</f>
        <v>743.26</v>
      </c>
      <c r="X10" s="101">
        <f>SUM(X11)</f>
        <v>6065.24</v>
      </c>
      <c r="Y10" s="103"/>
      <c r="AE10" s="60"/>
    </row>
    <row r="11" spans="1:31" s="52" customFormat="1" ht="75" customHeight="1" x14ac:dyDescent="0.25">
      <c r="A11" s="46"/>
      <c r="B11" s="178" t="s">
        <v>211</v>
      </c>
      <c r="C11" s="179" t="s">
        <v>118</v>
      </c>
      <c r="D11" s="192" t="s">
        <v>209</v>
      </c>
      <c r="E11" s="181" t="s">
        <v>289</v>
      </c>
      <c r="F11" s="182">
        <v>15</v>
      </c>
      <c r="G11" s="183">
        <f>H11/F11</f>
        <v>453.9</v>
      </c>
      <c r="H11" s="184">
        <v>6808.5</v>
      </c>
      <c r="I11" s="185">
        <v>0</v>
      </c>
      <c r="J11" s="186">
        <f>SUM(H11:I11)</f>
        <v>6808.5</v>
      </c>
      <c r="K11" s="187">
        <f>IF(H11/15&lt;=SMG,0,I11/2)</f>
        <v>0</v>
      </c>
      <c r="L11" s="187">
        <f t="shared" ref="L11" si="5">H11+K11</f>
        <v>6808.5</v>
      </c>
      <c r="M11" s="187">
        <f>VLOOKUP(L11,Tarifa1,1)</f>
        <v>6602.71</v>
      </c>
      <c r="N11" s="187">
        <f t="shared" ref="N11" si="6">L11-M11</f>
        <v>205.78999999999996</v>
      </c>
      <c r="O11" s="188">
        <f>VLOOKUP(L11,Tarifa1,3)</f>
        <v>0.21360000000000001</v>
      </c>
      <c r="P11" s="187">
        <f t="shared" ref="P11" si="7">N11*O11</f>
        <v>43.956743999999993</v>
      </c>
      <c r="Q11" s="189">
        <f>VLOOKUP(L11,Tarifa1,2)</f>
        <v>699.3</v>
      </c>
      <c r="R11" s="187">
        <f t="shared" ref="R11" si="8">P11+Q11</f>
        <v>743.25674399999991</v>
      </c>
      <c r="S11" s="190">
        <f>VLOOKUP(L11,Credito1,2)</f>
        <v>0</v>
      </c>
      <c r="T11" s="187">
        <f t="shared" ref="T11" si="9">ROUND(R11-S11,2)</f>
        <v>743.26</v>
      </c>
      <c r="U11" s="186">
        <f>-IF(T11&gt;0,0,T11)</f>
        <v>0</v>
      </c>
      <c r="V11" s="186">
        <f>IF(T11&lt;0,0,T11)</f>
        <v>743.26</v>
      </c>
      <c r="W11" s="186">
        <f>SUM(V11:V11)</f>
        <v>743.26</v>
      </c>
      <c r="X11" s="186">
        <f>J11+U11-W11</f>
        <v>6065.24</v>
      </c>
      <c r="Y11" s="94"/>
      <c r="AE11" s="60"/>
    </row>
    <row r="12" spans="1:31" s="52" customFormat="1" ht="45.75" customHeight="1" x14ac:dyDescent="0.25">
      <c r="A12" s="46"/>
      <c r="B12" s="104" t="s">
        <v>104</v>
      </c>
      <c r="C12" s="104" t="s">
        <v>127</v>
      </c>
      <c r="D12" s="37" t="s">
        <v>130</v>
      </c>
      <c r="E12" s="37" t="s">
        <v>62</v>
      </c>
      <c r="F12" s="37"/>
      <c r="G12" s="37"/>
      <c r="H12" s="101">
        <f>SUM(H13:H15)</f>
        <v>14107.5</v>
      </c>
      <c r="I12" s="101">
        <f>SUM(I13:I15)</f>
        <v>0</v>
      </c>
      <c r="J12" s="101">
        <f>SUM(J13:J15)</f>
        <v>14107.5</v>
      </c>
      <c r="K12" s="37"/>
      <c r="L12" s="37"/>
      <c r="M12" s="37"/>
      <c r="N12" s="37"/>
      <c r="O12" s="37"/>
      <c r="P12" s="37"/>
      <c r="Q12" s="102"/>
      <c r="R12" s="37"/>
      <c r="S12" s="37"/>
      <c r="T12" s="37"/>
      <c r="U12" s="101">
        <f>SUM(U13:U15)</f>
        <v>0</v>
      </c>
      <c r="V12" s="101">
        <f>SUM(V13:V15)</f>
        <v>1229.1500000000001</v>
      </c>
      <c r="W12" s="101">
        <f>SUM(W13:W15)</f>
        <v>1229.1500000000001</v>
      </c>
      <c r="X12" s="101">
        <f>SUM(X13:X15)</f>
        <v>12878.35</v>
      </c>
      <c r="Y12" s="103"/>
      <c r="AE12" s="60"/>
    </row>
    <row r="13" spans="1:31" s="52" customFormat="1" ht="75" customHeight="1" x14ac:dyDescent="0.25">
      <c r="A13" s="46" t="s">
        <v>90</v>
      </c>
      <c r="B13" s="179" t="s">
        <v>117</v>
      </c>
      <c r="C13" s="179" t="s">
        <v>118</v>
      </c>
      <c r="D13" s="192" t="s">
        <v>96</v>
      </c>
      <c r="E13" s="181" t="s">
        <v>97</v>
      </c>
      <c r="F13" s="182">
        <v>15</v>
      </c>
      <c r="G13" s="183">
        <f t="shared" ref="G13:G21" si="10">H13/F13</f>
        <v>424.7</v>
      </c>
      <c r="H13" s="184">
        <v>6370.5</v>
      </c>
      <c r="I13" s="185">
        <v>0</v>
      </c>
      <c r="J13" s="186">
        <f>H13</f>
        <v>6370.5</v>
      </c>
      <c r="K13" s="187">
        <f>IF(H13/15&lt;=SMG,0,I13/2)</f>
        <v>0</v>
      </c>
      <c r="L13" s="187">
        <f t="shared" ref="L13:L15" si="11">H13+K13</f>
        <v>6370.5</v>
      </c>
      <c r="M13" s="187">
        <f>VLOOKUP(L13,Tarifa1,1)</f>
        <v>5514.76</v>
      </c>
      <c r="N13" s="187">
        <f t="shared" ref="N13:N15" si="12">L13-M13</f>
        <v>855.73999999999978</v>
      </c>
      <c r="O13" s="188">
        <f>VLOOKUP(L13,Tarifa1,3)</f>
        <v>0.1792</v>
      </c>
      <c r="P13" s="187">
        <f t="shared" ref="P13:P15" si="13">N13*O13</f>
        <v>153.34860799999996</v>
      </c>
      <c r="Q13" s="189">
        <f>VLOOKUP(L13,Tarifa1,2)</f>
        <v>504.3</v>
      </c>
      <c r="R13" s="187">
        <f t="shared" ref="R13:R15" si="14">P13+Q13</f>
        <v>657.64860799999997</v>
      </c>
      <c r="S13" s="190">
        <f>VLOOKUP(L13,Credito1,2)</f>
        <v>0</v>
      </c>
      <c r="T13" s="187">
        <f t="shared" ref="T13:T15" si="15">ROUND(R13-S13,2)</f>
        <v>657.65</v>
      </c>
      <c r="U13" s="186">
        <f>-IF(T13&gt;0,0,T13)</f>
        <v>0</v>
      </c>
      <c r="V13" s="186">
        <f>IF(T13&lt;0,0,T13)</f>
        <v>657.65</v>
      </c>
      <c r="W13" s="186">
        <f>SUM(V13:V13)</f>
        <v>657.65</v>
      </c>
      <c r="X13" s="186">
        <f>J13+U13-W13</f>
        <v>5712.85</v>
      </c>
      <c r="Y13" s="94"/>
      <c r="AE13" s="65"/>
    </row>
    <row r="14" spans="1:31" s="52" customFormat="1" ht="75" customHeight="1" x14ac:dyDescent="0.25">
      <c r="A14" s="46"/>
      <c r="B14" s="178" t="s">
        <v>193</v>
      </c>
      <c r="C14" s="179" t="s">
        <v>118</v>
      </c>
      <c r="D14" s="192" t="s">
        <v>178</v>
      </c>
      <c r="E14" s="181" t="s">
        <v>179</v>
      </c>
      <c r="F14" s="182">
        <v>15</v>
      </c>
      <c r="G14" s="183"/>
      <c r="H14" s="184">
        <v>3868.5</v>
      </c>
      <c r="I14" s="185">
        <v>0</v>
      </c>
      <c r="J14" s="186">
        <f>SUM(H14:I14)</f>
        <v>3868.5</v>
      </c>
      <c r="K14" s="187">
        <f>IF(H14/15&lt;=SMG,0,I14/2)</f>
        <v>0</v>
      </c>
      <c r="L14" s="187">
        <f t="shared" si="11"/>
        <v>3868.5</v>
      </c>
      <c r="M14" s="187">
        <f>VLOOKUP(L14,Tarifa1,1)</f>
        <v>2699.41</v>
      </c>
      <c r="N14" s="187">
        <f t="shared" si="12"/>
        <v>1169.0900000000001</v>
      </c>
      <c r="O14" s="188">
        <f>VLOOKUP(L14,Tarifa1,3)</f>
        <v>0.10879999999999999</v>
      </c>
      <c r="P14" s="187">
        <f t="shared" si="13"/>
        <v>127.19699200000001</v>
      </c>
      <c r="Q14" s="189">
        <f>VLOOKUP(L14,Tarifa1,2)</f>
        <v>158.55000000000001</v>
      </c>
      <c r="R14" s="187">
        <f t="shared" si="14"/>
        <v>285.74699200000003</v>
      </c>
      <c r="S14" s="190">
        <f>VLOOKUP(L14,Credito1,2)</f>
        <v>0</v>
      </c>
      <c r="T14" s="187">
        <f t="shared" si="15"/>
        <v>285.75</v>
      </c>
      <c r="U14" s="186">
        <f>-IF(T14&gt;0,0,T14)</f>
        <v>0</v>
      </c>
      <c r="V14" s="195">
        <f>IF(T14&lt;0,0,T14)</f>
        <v>285.75</v>
      </c>
      <c r="W14" s="186">
        <f>SUM(V14:V14)</f>
        <v>285.75</v>
      </c>
      <c r="X14" s="186">
        <f>J14+U14-W14</f>
        <v>3582.75</v>
      </c>
      <c r="Y14" s="94"/>
      <c r="AE14" s="65"/>
    </row>
    <row r="15" spans="1:31" s="52" customFormat="1" ht="75" customHeight="1" x14ac:dyDescent="0.25">
      <c r="A15" s="46"/>
      <c r="B15" s="178" t="s">
        <v>215</v>
      </c>
      <c r="C15" s="179" t="s">
        <v>163</v>
      </c>
      <c r="D15" s="192" t="s">
        <v>212</v>
      </c>
      <c r="E15" s="181" t="s">
        <v>179</v>
      </c>
      <c r="F15" s="182">
        <v>15</v>
      </c>
      <c r="G15" s="183"/>
      <c r="H15" s="184">
        <v>3868.5</v>
      </c>
      <c r="I15" s="185">
        <v>0</v>
      </c>
      <c r="J15" s="186">
        <f>SUM(H15:I15)</f>
        <v>3868.5</v>
      </c>
      <c r="K15" s="187">
        <f>IF(H15/15&lt;=SMG,0,I15/2)</f>
        <v>0</v>
      </c>
      <c r="L15" s="187">
        <f t="shared" si="11"/>
        <v>3868.5</v>
      </c>
      <c r="M15" s="187">
        <f>VLOOKUP(L15,Tarifa1,1)</f>
        <v>2699.41</v>
      </c>
      <c r="N15" s="187">
        <f t="shared" si="12"/>
        <v>1169.0900000000001</v>
      </c>
      <c r="O15" s="188">
        <f>VLOOKUP(L15,Tarifa1,3)</f>
        <v>0.10879999999999999</v>
      </c>
      <c r="P15" s="187">
        <f t="shared" si="13"/>
        <v>127.19699200000001</v>
      </c>
      <c r="Q15" s="189">
        <f>VLOOKUP(L15,Tarifa1,2)</f>
        <v>158.55000000000001</v>
      </c>
      <c r="R15" s="187">
        <f t="shared" si="14"/>
        <v>285.74699200000003</v>
      </c>
      <c r="S15" s="190">
        <f>VLOOKUP(L15,Credito1,2)</f>
        <v>0</v>
      </c>
      <c r="T15" s="187">
        <f t="shared" si="15"/>
        <v>285.75</v>
      </c>
      <c r="U15" s="186">
        <f>-IF(T15&gt;0,0,T15)</f>
        <v>0</v>
      </c>
      <c r="V15" s="195">
        <f>IF(T15&lt;0,0,T15)</f>
        <v>285.75</v>
      </c>
      <c r="W15" s="186">
        <f>SUM(V15:V15)</f>
        <v>285.75</v>
      </c>
      <c r="X15" s="186">
        <f>J15+U15-W15</f>
        <v>3582.75</v>
      </c>
      <c r="Y15" s="94"/>
      <c r="AE15" s="65"/>
    </row>
    <row r="16" spans="1:31" s="52" customFormat="1" ht="50.25" customHeight="1" x14ac:dyDescent="0.25">
      <c r="A16" s="46"/>
      <c r="B16" s="104" t="s">
        <v>104</v>
      </c>
      <c r="C16" s="104" t="s">
        <v>127</v>
      </c>
      <c r="D16" s="37" t="s">
        <v>131</v>
      </c>
      <c r="E16" s="37" t="s">
        <v>62</v>
      </c>
      <c r="F16" s="37"/>
      <c r="G16" s="37"/>
      <c r="H16" s="101">
        <f>SUM(H17:H19)</f>
        <v>16337.5</v>
      </c>
      <c r="I16" s="101">
        <f>SUM(I17:I19)</f>
        <v>0</v>
      </c>
      <c r="J16" s="101">
        <f>SUM(J17:J19)</f>
        <v>16337.5</v>
      </c>
      <c r="K16" s="37"/>
      <c r="L16" s="37"/>
      <c r="M16" s="37"/>
      <c r="N16" s="37"/>
      <c r="O16" s="37"/>
      <c r="P16" s="37"/>
      <c r="Q16" s="102"/>
      <c r="R16" s="37"/>
      <c r="S16" s="37"/>
      <c r="T16" s="37"/>
      <c r="U16" s="101">
        <f>SUM(U17:U19)</f>
        <v>0</v>
      </c>
      <c r="V16" s="101">
        <f>SUM(V17:V19)</f>
        <v>1580.08</v>
      </c>
      <c r="W16" s="101">
        <f>SUM(W17:W19)</f>
        <v>1580.08</v>
      </c>
      <c r="X16" s="101">
        <f>SUM(X17:X19)</f>
        <v>14757.420000000002</v>
      </c>
      <c r="Y16" s="103"/>
      <c r="AE16" s="65"/>
    </row>
    <row r="17" spans="1:31" s="52" customFormat="1" ht="75" customHeight="1" x14ac:dyDescent="0.25">
      <c r="A17" s="46" t="s">
        <v>91</v>
      </c>
      <c r="B17" s="225">
        <v>185</v>
      </c>
      <c r="C17" s="179" t="s">
        <v>118</v>
      </c>
      <c r="D17" s="226" t="s">
        <v>161</v>
      </c>
      <c r="E17" s="181" t="s">
        <v>98</v>
      </c>
      <c r="F17" s="182">
        <v>15</v>
      </c>
      <c r="G17" s="183">
        <f t="shared" si="10"/>
        <v>483.1</v>
      </c>
      <c r="H17" s="184">
        <v>7246.5</v>
      </c>
      <c r="I17" s="185">
        <v>0</v>
      </c>
      <c r="J17" s="186">
        <f t="shared" ref="J17" si="16">SUM(H17:I17)</f>
        <v>7246.5</v>
      </c>
      <c r="K17" s="187">
        <f>IF(H17/15&lt;=SMG,0,I17/2)</f>
        <v>0</v>
      </c>
      <c r="L17" s="187">
        <f t="shared" ref="L17:L19" si="17">H17+K17</f>
        <v>7246.5</v>
      </c>
      <c r="M17" s="187">
        <f>VLOOKUP(L17,Tarifa1,1)</f>
        <v>6602.71</v>
      </c>
      <c r="N17" s="187">
        <f t="shared" ref="N17:N19" si="18">L17-M17</f>
        <v>643.79</v>
      </c>
      <c r="O17" s="188">
        <f>VLOOKUP(L17,Tarifa1,3)</f>
        <v>0.21360000000000001</v>
      </c>
      <c r="P17" s="187">
        <f t="shared" ref="P17:P19" si="19">N17*O17</f>
        <v>137.513544</v>
      </c>
      <c r="Q17" s="189">
        <f>VLOOKUP(L17,Tarifa1,2)</f>
        <v>699.3</v>
      </c>
      <c r="R17" s="187">
        <f t="shared" ref="R17:R19" si="20">P17+Q17</f>
        <v>836.81354399999998</v>
      </c>
      <c r="S17" s="190">
        <f>VLOOKUP(L17,Credito1,2)</f>
        <v>0</v>
      </c>
      <c r="T17" s="187">
        <f t="shared" ref="T17:T19" si="21">ROUND(R17-S17,2)</f>
        <v>836.81</v>
      </c>
      <c r="U17" s="186">
        <f t="shared" ref="U17" si="22">-IF(T17&gt;0,0,T17)</f>
        <v>0</v>
      </c>
      <c r="V17" s="186">
        <f t="shared" ref="V17" si="23">IF(T17&lt;0,0,T17)</f>
        <v>836.81</v>
      </c>
      <c r="W17" s="186">
        <f>SUM(V17:V17)</f>
        <v>836.81</v>
      </c>
      <c r="X17" s="186">
        <f>J17+U17-W17</f>
        <v>6409.6900000000005</v>
      </c>
      <c r="Y17" s="94"/>
      <c r="AE17" s="65"/>
    </row>
    <row r="18" spans="1:31" s="52" customFormat="1" ht="75" customHeight="1" x14ac:dyDescent="0.25">
      <c r="A18" s="46"/>
      <c r="B18" s="178" t="s">
        <v>168</v>
      </c>
      <c r="C18" s="179" t="s">
        <v>118</v>
      </c>
      <c r="D18" s="202" t="s">
        <v>154</v>
      </c>
      <c r="E18" s="181" t="s">
        <v>153</v>
      </c>
      <c r="F18" s="182">
        <v>15</v>
      </c>
      <c r="G18" s="183">
        <f>H18/F18</f>
        <v>348.13333333333333</v>
      </c>
      <c r="H18" s="184">
        <v>5222</v>
      </c>
      <c r="I18" s="185">
        <v>0</v>
      </c>
      <c r="J18" s="186">
        <f>SUM(H18:I18)</f>
        <v>5222</v>
      </c>
      <c r="K18" s="187">
        <f>IF(H18/15&lt;=SMG,0,I18/2)</f>
        <v>0</v>
      </c>
      <c r="L18" s="187">
        <f t="shared" si="17"/>
        <v>5222</v>
      </c>
      <c r="M18" s="187">
        <f>VLOOKUP(L18,Tarifa1,1)</f>
        <v>4744.0600000000004</v>
      </c>
      <c r="N18" s="187">
        <f t="shared" si="18"/>
        <v>477.9399999999996</v>
      </c>
      <c r="O18" s="188">
        <f>VLOOKUP(L18,Tarifa1,3)</f>
        <v>0.16</v>
      </c>
      <c r="P18" s="187">
        <f t="shared" si="19"/>
        <v>76.470399999999941</v>
      </c>
      <c r="Q18" s="189">
        <f>VLOOKUP(L18,Tarifa1,2)</f>
        <v>381</v>
      </c>
      <c r="R18" s="187">
        <f t="shared" si="20"/>
        <v>457.47039999999993</v>
      </c>
      <c r="S18" s="190">
        <f>VLOOKUP(L18,Credito1,2)</f>
        <v>0</v>
      </c>
      <c r="T18" s="187">
        <f t="shared" si="21"/>
        <v>457.47</v>
      </c>
      <c r="U18" s="186">
        <f>-IF(T18&gt;0,0,T18)</f>
        <v>0</v>
      </c>
      <c r="V18" s="186">
        <f>IF(T18&lt;0,0,T18)</f>
        <v>457.47</v>
      </c>
      <c r="W18" s="186">
        <f>SUM(V18:V18)</f>
        <v>457.47</v>
      </c>
      <c r="X18" s="186">
        <f>J18+U18-W18</f>
        <v>4764.53</v>
      </c>
      <c r="Y18" s="94"/>
      <c r="AE18" s="65"/>
    </row>
    <row r="19" spans="1:31" s="52" customFormat="1" ht="75" customHeight="1" x14ac:dyDescent="0.25">
      <c r="A19" s="46"/>
      <c r="B19" s="178" t="s">
        <v>204</v>
      </c>
      <c r="C19" s="179" t="s">
        <v>118</v>
      </c>
      <c r="D19" s="202" t="s">
        <v>201</v>
      </c>
      <c r="E19" s="181" t="s">
        <v>202</v>
      </c>
      <c r="F19" s="182">
        <v>15</v>
      </c>
      <c r="G19" s="183"/>
      <c r="H19" s="184">
        <v>3869</v>
      </c>
      <c r="I19" s="185">
        <v>0</v>
      </c>
      <c r="J19" s="186">
        <f>SUM(H19:I19)</f>
        <v>3869</v>
      </c>
      <c r="K19" s="187">
        <f>IF(H19/15&lt;=SMG,0,I19/2)</f>
        <v>0</v>
      </c>
      <c r="L19" s="187">
        <f t="shared" si="17"/>
        <v>3869</v>
      </c>
      <c r="M19" s="187">
        <f>VLOOKUP(L19,Tarifa1,1)</f>
        <v>2699.41</v>
      </c>
      <c r="N19" s="187">
        <f t="shared" si="18"/>
        <v>1169.5900000000001</v>
      </c>
      <c r="O19" s="188">
        <f>VLOOKUP(L19,Tarifa1,3)</f>
        <v>0.10879999999999999</v>
      </c>
      <c r="P19" s="187">
        <f t="shared" si="19"/>
        <v>127.25139200000001</v>
      </c>
      <c r="Q19" s="189">
        <f>VLOOKUP(L19,Tarifa1,2)</f>
        <v>158.55000000000001</v>
      </c>
      <c r="R19" s="187">
        <f t="shared" si="20"/>
        <v>285.80139200000002</v>
      </c>
      <c r="S19" s="190">
        <f>VLOOKUP(L19,Credito1,2)</f>
        <v>0</v>
      </c>
      <c r="T19" s="187">
        <f t="shared" si="21"/>
        <v>285.8</v>
      </c>
      <c r="U19" s="186">
        <f>-IF(T19&gt;0,0,T19)</f>
        <v>0</v>
      </c>
      <c r="V19" s="195">
        <f>IF(T19&lt;0,0,T19)</f>
        <v>285.8</v>
      </c>
      <c r="W19" s="186">
        <f>SUM(V19:V19)</f>
        <v>285.8</v>
      </c>
      <c r="X19" s="186">
        <f>J19+U19-W19</f>
        <v>3583.2</v>
      </c>
      <c r="Y19" s="94"/>
      <c r="AE19" s="65"/>
    </row>
    <row r="20" spans="1:31" s="52" customFormat="1" ht="52.5" customHeight="1" x14ac:dyDescent="0.25">
      <c r="A20" s="46"/>
      <c r="B20" s="104" t="s">
        <v>104</v>
      </c>
      <c r="C20" s="104" t="s">
        <v>127</v>
      </c>
      <c r="D20" s="37" t="s">
        <v>132</v>
      </c>
      <c r="E20" s="37" t="s">
        <v>62</v>
      </c>
      <c r="F20" s="37"/>
      <c r="G20" s="37"/>
      <c r="H20" s="101">
        <f>SUM(H21)</f>
        <v>4799</v>
      </c>
      <c r="I20" s="101">
        <f>SUM(I21)</f>
        <v>0</v>
      </c>
      <c r="J20" s="101">
        <f>SUM(J21)</f>
        <v>4799</v>
      </c>
      <c r="K20" s="37"/>
      <c r="L20" s="37"/>
      <c r="M20" s="37"/>
      <c r="N20" s="37"/>
      <c r="O20" s="37"/>
      <c r="P20" s="37"/>
      <c r="Q20" s="102"/>
      <c r="R20" s="37"/>
      <c r="S20" s="37"/>
      <c r="T20" s="37"/>
      <c r="U20" s="101">
        <f>SUM(U21)</f>
        <v>0</v>
      </c>
      <c r="V20" s="101">
        <f>SUM(V21)</f>
        <v>389.79</v>
      </c>
      <c r="W20" s="101">
        <f>SUM(W21)</f>
        <v>389.79</v>
      </c>
      <c r="X20" s="101">
        <f>SUM(X21)</f>
        <v>4409.21</v>
      </c>
      <c r="Y20" s="103"/>
      <c r="AE20" s="65"/>
    </row>
    <row r="21" spans="1:31" s="52" customFormat="1" ht="75" customHeight="1" x14ac:dyDescent="0.25">
      <c r="A21" s="46" t="s">
        <v>92</v>
      </c>
      <c r="B21" s="178" t="s">
        <v>170</v>
      </c>
      <c r="C21" s="179" t="s">
        <v>118</v>
      </c>
      <c r="D21" s="181" t="s">
        <v>244</v>
      </c>
      <c r="E21" s="181" t="s">
        <v>103</v>
      </c>
      <c r="F21" s="182">
        <v>15</v>
      </c>
      <c r="G21" s="183">
        <f t="shared" si="10"/>
        <v>319.93333333333334</v>
      </c>
      <c r="H21" s="184">
        <v>4799</v>
      </c>
      <c r="I21" s="185">
        <v>0</v>
      </c>
      <c r="J21" s="186">
        <f>SUM(H21:I21)</f>
        <v>4799</v>
      </c>
      <c r="K21" s="187">
        <f>IF(H21/15&lt;=SMG,0,I21/2)</f>
        <v>0</v>
      </c>
      <c r="L21" s="187">
        <f t="shared" ref="L21" si="24">H21+K21</f>
        <v>4799</v>
      </c>
      <c r="M21" s="187">
        <f>VLOOKUP(L21,Tarifa1,1)</f>
        <v>4744.0600000000004</v>
      </c>
      <c r="N21" s="187">
        <f t="shared" ref="N21" si="25">L21-M21</f>
        <v>54.9399999999996</v>
      </c>
      <c r="O21" s="188">
        <f>VLOOKUP(L21,Tarifa1,3)</f>
        <v>0.16</v>
      </c>
      <c r="P21" s="187">
        <f t="shared" ref="P21" si="26">N21*O21</f>
        <v>8.790399999999936</v>
      </c>
      <c r="Q21" s="189">
        <f>VLOOKUP(L21,Tarifa1,2)</f>
        <v>381</v>
      </c>
      <c r="R21" s="187">
        <f t="shared" ref="R21" si="27">P21+Q21</f>
        <v>389.79039999999992</v>
      </c>
      <c r="S21" s="190">
        <f>VLOOKUP(L21,Credito1,2)</f>
        <v>0</v>
      </c>
      <c r="T21" s="187">
        <f t="shared" ref="T21" si="28">ROUND(R21-S21,2)</f>
        <v>389.79</v>
      </c>
      <c r="U21" s="186">
        <f>-IF(T21&gt;0,0,T21)</f>
        <v>0</v>
      </c>
      <c r="V21" s="186">
        <f>IF(T21&lt;0,0,T21)</f>
        <v>389.79</v>
      </c>
      <c r="W21" s="186">
        <f>SUM(V21:V21)</f>
        <v>389.79</v>
      </c>
      <c r="X21" s="186">
        <f>J21+U21-W21</f>
        <v>4409.21</v>
      </c>
      <c r="Y21" s="94"/>
      <c r="AE21" s="65"/>
    </row>
    <row r="22" spans="1:31" s="52" customFormat="1" ht="42.75" customHeight="1" x14ac:dyDescent="0.25">
      <c r="A22" s="105"/>
      <c r="B22" s="104" t="s">
        <v>104</v>
      </c>
      <c r="C22" s="104" t="s">
        <v>127</v>
      </c>
      <c r="D22" s="37" t="s">
        <v>155</v>
      </c>
      <c r="E22" s="37" t="s">
        <v>62</v>
      </c>
      <c r="F22" s="37"/>
      <c r="G22" s="37"/>
      <c r="H22" s="101">
        <f>SUM(H23)</f>
        <v>5212.5</v>
      </c>
      <c r="I22" s="101">
        <f>SUM(I23)</f>
        <v>0</v>
      </c>
      <c r="J22" s="101">
        <f>SUM(J23)</f>
        <v>5212.5</v>
      </c>
      <c r="K22" s="37"/>
      <c r="L22" s="37"/>
      <c r="M22" s="37"/>
      <c r="N22" s="37"/>
      <c r="O22" s="37"/>
      <c r="P22" s="37"/>
      <c r="Q22" s="102"/>
      <c r="R22" s="37"/>
      <c r="S22" s="37"/>
      <c r="T22" s="37"/>
      <c r="U22" s="101">
        <f>SUM(U23)</f>
        <v>0</v>
      </c>
      <c r="V22" s="101">
        <f>SUM(V23)</f>
        <v>455.95</v>
      </c>
      <c r="W22" s="101">
        <f>SUM(W23)</f>
        <v>455.95</v>
      </c>
      <c r="X22" s="101">
        <f>SUM(X23)</f>
        <v>4756.55</v>
      </c>
      <c r="Y22" s="103"/>
    </row>
    <row r="23" spans="1:31" s="52" customFormat="1" ht="75" customHeight="1" x14ac:dyDescent="0.25">
      <c r="A23" s="105"/>
      <c r="B23" s="178" t="s">
        <v>169</v>
      </c>
      <c r="C23" s="179" t="s">
        <v>118</v>
      </c>
      <c r="D23" s="180" t="s">
        <v>158</v>
      </c>
      <c r="E23" s="181" t="s">
        <v>159</v>
      </c>
      <c r="F23" s="182">
        <v>15</v>
      </c>
      <c r="G23" s="183">
        <f>H23/F23</f>
        <v>347.5</v>
      </c>
      <c r="H23" s="184">
        <v>5212.5</v>
      </c>
      <c r="I23" s="185">
        <v>0</v>
      </c>
      <c r="J23" s="186">
        <f>SUM(H23:I23)</f>
        <v>5212.5</v>
      </c>
      <c r="K23" s="187">
        <f>IF(H23/15&lt;=SMG,0,I23/2)</f>
        <v>0</v>
      </c>
      <c r="L23" s="187">
        <f t="shared" ref="L23" si="29">H23+K23</f>
        <v>5212.5</v>
      </c>
      <c r="M23" s="187">
        <f>VLOOKUP(L23,Tarifa1,1)</f>
        <v>4744.0600000000004</v>
      </c>
      <c r="N23" s="187">
        <f t="shared" ref="N23" si="30">L23-M23</f>
        <v>468.4399999999996</v>
      </c>
      <c r="O23" s="188">
        <f>VLOOKUP(L23,Tarifa1,3)</f>
        <v>0.16</v>
      </c>
      <c r="P23" s="187">
        <f t="shared" ref="P23" si="31">N23*O23</f>
        <v>74.950399999999931</v>
      </c>
      <c r="Q23" s="189">
        <f>VLOOKUP(L23,Tarifa1,2)</f>
        <v>381</v>
      </c>
      <c r="R23" s="187">
        <f t="shared" ref="R23" si="32">P23+Q23</f>
        <v>455.95039999999995</v>
      </c>
      <c r="S23" s="190">
        <f>VLOOKUP(L23,Credito1,2)</f>
        <v>0</v>
      </c>
      <c r="T23" s="187">
        <f t="shared" ref="T23" si="33">ROUND(R23-S23,2)</f>
        <v>455.95</v>
      </c>
      <c r="U23" s="186">
        <f>-IF(T23&gt;0,0,T23)</f>
        <v>0</v>
      </c>
      <c r="V23" s="186">
        <f>IF(T23&lt;0,0,T23)</f>
        <v>455.95</v>
      </c>
      <c r="W23" s="186">
        <f>SUM(V23:V23)</f>
        <v>455.95</v>
      </c>
      <c r="X23" s="186">
        <f>J23+U23-W23</f>
        <v>4756.55</v>
      </c>
      <c r="Y23" s="94"/>
    </row>
    <row r="24" spans="1:31" s="52" customFormat="1" ht="15" x14ac:dyDescent="0.25">
      <c r="A24" s="105"/>
      <c r="B24" s="105"/>
      <c r="C24" s="105"/>
      <c r="D24" s="105"/>
      <c r="E24" s="105"/>
      <c r="F24" s="105"/>
      <c r="G24" s="105"/>
      <c r="H24" s="106"/>
      <c r="I24" s="106"/>
      <c r="J24" s="106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94"/>
    </row>
    <row r="25" spans="1:31" s="52" customFormat="1" ht="39" customHeight="1" x14ac:dyDescent="0.25">
      <c r="A25" s="281" t="s">
        <v>45</v>
      </c>
      <c r="B25" s="281"/>
      <c r="C25" s="281"/>
      <c r="D25" s="281"/>
      <c r="E25" s="281"/>
      <c r="F25" s="281"/>
      <c r="G25" s="281"/>
      <c r="H25" s="227">
        <f>H8+H10+H12+H16+H20+H22</f>
        <v>54073.5</v>
      </c>
      <c r="I25" s="227">
        <f>I8+I10+I12+I16+I20+I22</f>
        <v>0</v>
      </c>
      <c r="J25" s="227">
        <f>J8+J10+J12+J16+J20+J22</f>
        <v>54073.5</v>
      </c>
      <c r="K25" s="228">
        <f t="shared" ref="K25:T25" si="34">SUM(K10:K24)</f>
        <v>0</v>
      </c>
      <c r="L25" s="228">
        <f t="shared" si="34"/>
        <v>47265</v>
      </c>
      <c r="M25" s="228">
        <f t="shared" si="34"/>
        <v>41050.589999999997</v>
      </c>
      <c r="N25" s="228">
        <f t="shared" si="34"/>
        <v>6214.4099999999989</v>
      </c>
      <c r="O25" s="228">
        <f t="shared" si="34"/>
        <v>1.4127999999999998</v>
      </c>
      <c r="P25" s="228">
        <f t="shared" si="34"/>
        <v>876.67547199999979</v>
      </c>
      <c r="Q25" s="228">
        <f t="shared" si="34"/>
        <v>3521.55</v>
      </c>
      <c r="R25" s="228">
        <f t="shared" si="34"/>
        <v>4398.2254720000001</v>
      </c>
      <c r="S25" s="228">
        <f t="shared" si="34"/>
        <v>0</v>
      </c>
      <c r="T25" s="228">
        <f t="shared" si="34"/>
        <v>4398.2299999999996</v>
      </c>
      <c r="U25" s="227">
        <f>U8+U10+U12+U16+U20+U22</f>
        <v>0</v>
      </c>
      <c r="V25" s="227">
        <f>V8+V10+V12+V16+V20+V22</f>
        <v>5141.49</v>
      </c>
      <c r="W25" s="227">
        <f>W8+W10+W12+W16+W20+W22</f>
        <v>5141.49</v>
      </c>
      <c r="X25" s="227">
        <f>X8+X10+X12+X16+X20+X22</f>
        <v>48932.01</v>
      </c>
      <c r="Y25" s="94"/>
    </row>
    <row r="26" spans="1:31" s="52" customFormat="1" ht="12" x14ac:dyDescent="0.2"/>
    <row r="27" spans="1:31" s="52" customFormat="1" ht="12" x14ac:dyDescent="0.2"/>
    <row r="28" spans="1:31" s="52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27559055118110237" right="0.27559055118110237" top="0.6692913385826772" bottom="0.15748031496062992" header="0.31496062992125984" footer="0.31496062992125984"/>
  <pageSetup scale="4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7" zoomScale="77" zoomScaleNormal="77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2.28515625" customWidth="1"/>
    <col min="24" max="24" width="14.5703125" customWidth="1"/>
    <col min="25" max="25" width="51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33.7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4"/>
      <c r="B9" s="144"/>
      <c r="C9" s="144"/>
      <c r="D9" s="143" t="s">
        <v>115</v>
      </c>
      <c r="E9" s="144" t="s">
        <v>62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6"/>
      <c r="U9" s="144"/>
      <c r="V9" s="144"/>
      <c r="W9" s="144"/>
      <c r="X9" s="144"/>
      <c r="Y9" s="108"/>
    </row>
    <row r="10" spans="1:25" s="4" customFormat="1" ht="95.1" customHeight="1" x14ac:dyDescent="0.25">
      <c r="A10" s="118" t="s">
        <v>86</v>
      </c>
      <c r="B10" s="179" t="s">
        <v>113</v>
      </c>
      <c r="C10" s="179" t="s">
        <v>118</v>
      </c>
      <c r="D10" s="181" t="s">
        <v>102</v>
      </c>
      <c r="E10" s="181" t="s">
        <v>246</v>
      </c>
      <c r="F10" s="182">
        <v>15</v>
      </c>
      <c r="G10" s="183">
        <f>H10/F10</f>
        <v>1077.7333333333333</v>
      </c>
      <c r="H10" s="184">
        <v>16166</v>
      </c>
      <c r="I10" s="185">
        <v>0</v>
      </c>
      <c r="J10" s="186">
        <f>SUM(H10:I10)</f>
        <v>16166</v>
      </c>
      <c r="K10" s="187">
        <f>IF(H10/15&lt;=SMG,0,I10/2)</f>
        <v>0</v>
      </c>
      <c r="L10" s="187">
        <f t="shared" ref="L10" si="0">H10+K10</f>
        <v>16166</v>
      </c>
      <c r="M10" s="187">
        <f>VLOOKUP(L10,Tarifa1,1)</f>
        <v>13316.71</v>
      </c>
      <c r="N10" s="187">
        <f t="shared" ref="N10" si="1">L10-M10</f>
        <v>2849.2900000000009</v>
      </c>
      <c r="O10" s="188">
        <f>VLOOKUP(L10,Tarifa1,3)</f>
        <v>0.23519999999999999</v>
      </c>
      <c r="P10" s="187">
        <f t="shared" ref="P10" si="2">N10*O10</f>
        <v>670.15300800000023</v>
      </c>
      <c r="Q10" s="189">
        <f>VLOOKUP(L10,Tarifa1,2)</f>
        <v>2133.3000000000002</v>
      </c>
      <c r="R10" s="187">
        <f t="shared" ref="R10" si="3">P10+Q10</f>
        <v>2803.4530080000004</v>
      </c>
      <c r="S10" s="190">
        <f>VLOOKUP(L10,Credito1,2)</f>
        <v>0</v>
      </c>
      <c r="T10" s="187">
        <f t="shared" ref="T10" si="4">ROUND(R10-S10,2)</f>
        <v>2803.45</v>
      </c>
      <c r="U10" s="186">
        <f>-IF(T10&gt;0,0,T10)</f>
        <v>0</v>
      </c>
      <c r="V10" s="195">
        <f>IF(T10&lt;0,0,T10)</f>
        <v>2803.45</v>
      </c>
      <c r="W10" s="186">
        <f>SUM(V10:V10)</f>
        <v>2803.45</v>
      </c>
      <c r="X10" s="186">
        <f>J10+U10-W10</f>
        <v>13362.55</v>
      </c>
      <c r="Y10" s="91"/>
    </row>
    <row r="11" spans="1:25" s="4" customFormat="1" ht="95.1" customHeight="1" x14ac:dyDescent="0.25">
      <c r="A11" s="118" t="s">
        <v>88</v>
      </c>
      <c r="B11" s="179" t="s">
        <v>107</v>
      </c>
      <c r="C11" s="179" t="s">
        <v>118</v>
      </c>
      <c r="D11" s="180" t="s">
        <v>76</v>
      </c>
      <c r="E11" s="181" t="s">
        <v>247</v>
      </c>
      <c r="F11" s="182">
        <v>15</v>
      </c>
      <c r="G11" s="183">
        <f>H11/F11</f>
        <v>652</v>
      </c>
      <c r="H11" s="184">
        <v>9780</v>
      </c>
      <c r="I11" s="185">
        <v>0</v>
      </c>
      <c r="J11" s="186">
        <f>H11</f>
        <v>9780</v>
      </c>
      <c r="K11" s="187">
        <f>IF(H11/15&lt;=SMG,0,I11/2)</f>
        <v>0</v>
      </c>
      <c r="L11" s="187">
        <f t="shared" ref="L11:L12" si="5">H11+K11</f>
        <v>9780</v>
      </c>
      <c r="M11" s="187">
        <f>VLOOKUP(L11,Tarifa1,1)</f>
        <v>6602.71</v>
      </c>
      <c r="N11" s="187">
        <f t="shared" ref="N11:N12" si="6">L11-M11</f>
        <v>3177.29</v>
      </c>
      <c r="O11" s="188">
        <f>VLOOKUP(L11,Tarifa1,3)</f>
        <v>0.21360000000000001</v>
      </c>
      <c r="P11" s="187">
        <f t="shared" ref="P11:P12" si="7">N11*O11</f>
        <v>678.66914400000007</v>
      </c>
      <c r="Q11" s="189">
        <f>VLOOKUP(L11,Tarifa1,2)</f>
        <v>699.3</v>
      </c>
      <c r="R11" s="187">
        <f t="shared" ref="R11:R12" si="8">P11+Q11</f>
        <v>1377.9691440000001</v>
      </c>
      <c r="S11" s="190">
        <f>VLOOKUP(L11,Credito1,2)</f>
        <v>0</v>
      </c>
      <c r="T11" s="187">
        <f t="shared" ref="T11:T12" si="9">ROUND(R11-S11,2)</f>
        <v>1377.97</v>
      </c>
      <c r="U11" s="186">
        <f>-IF(T11&gt;0,0,T11)</f>
        <v>0</v>
      </c>
      <c r="V11" s="186">
        <f>IF(T11&lt;0,0,T11)</f>
        <v>1377.97</v>
      </c>
      <c r="W11" s="186">
        <f>SUM(V11:V11)</f>
        <v>1377.97</v>
      </c>
      <c r="X11" s="186">
        <f>J11+U11-W11</f>
        <v>8402.0300000000007</v>
      </c>
      <c r="Y11" s="91"/>
    </row>
    <row r="12" spans="1:25" s="4" customFormat="1" ht="95.1" customHeight="1" x14ac:dyDescent="0.25">
      <c r="A12" s="118" t="s">
        <v>89</v>
      </c>
      <c r="B12" s="179" t="s">
        <v>114</v>
      </c>
      <c r="C12" s="179" t="s">
        <v>118</v>
      </c>
      <c r="D12" s="180" t="s">
        <v>99</v>
      </c>
      <c r="E12" s="181" t="s">
        <v>247</v>
      </c>
      <c r="F12" s="182">
        <v>15</v>
      </c>
      <c r="G12" s="183">
        <f>H12/F12</f>
        <v>399.7</v>
      </c>
      <c r="H12" s="184">
        <v>5995.5</v>
      </c>
      <c r="I12" s="185">
        <v>0</v>
      </c>
      <c r="J12" s="186">
        <f>SUM(H12:I12)</f>
        <v>5995.5</v>
      </c>
      <c r="K12" s="187">
        <f>IF(H12/15&lt;=SMG,0,I12/2)</f>
        <v>0</v>
      </c>
      <c r="L12" s="187">
        <f t="shared" si="5"/>
        <v>5995.5</v>
      </c>
      <c r="M12" s="187">
        <f>VLOOKUP(L12,Tarifa1,1)</f>
        <v>5514.76</v>
      </c>
      <c r="N12" s="187">
        <f t="shared" si="6"/>
        <v>480.73999999999978</v>
      </c>
      <c r="O12" s="188">
        <f>VLOOKUP(L12,Tarifa1,3)</f>
        <v>0.1792</v>
      </c>
      <c r="P12" s="187">
        <f t="shared" si="7"/>
        <v>86.148607999999953</v>
      </c>
      <c r="Q12" s="189">
        <f>VLOOKUP(L12,Tarifa1,2)</f>
        <v>504.3</v>
      </c>
      <c r="R12" s="187">
        <f t="shared" si="8"/>
        <v>590.44860799999992</v>
      </c>
      <c r="S12" s="190">
        <f>VLOOKUP(L12,Credito1,2)</f>
        <v>0</v>
      </c>
      <c r="T12" s="187">
        <f t="shared" si="9"/>
        <v>590.45000000000005</v>
      </c>
      <c r="U12" s="186">
        <f>-IF(T12&gt;0,0,T12)</f>
        <v>0</v>
      </c>
      <c r="V12" s="186">
        <f>IF(T12&lt;0,0,T12)</f>
        <v>590.45000000000005</v>
      </c>
      <c r="W12" s="186">
        <f>SUM(V12:V12)</f>
        <v>590.45000000000005</v>
      </c>
      <c r="X12" s="186">
        <f>J12+U12-W12</f>
        <v>5405.05</v>
      </c>
      <c r="Y12" s="91"/>
    </row>
    <row r="13" spans="1:25" s="4" customFormat="1" ht="36" customHeight="1" x14ac:dyDescent="0.25">
      <c r="A13" s="214"/>
      <c r="B13" s="214"/>
      <c r="C13" s="214"/>
      <c r="D13" s="214"/>
      <c r="E13" s="214"/>
      <c r="F13" s="214"/>
      <c r="G13" s="214"/>
      <c r="H13" s="220"/>
      <c r="I13" s="220"/>
      <c r="J13" s="220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</row>
    <row r="14" spans="1:25" s="4" customFormat="1" ht="60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93">
        <f>SUM(H10:H13)</f>
        <v>31941.5</v>
      </c>
      <c r="I14" s="193">
        <f>SUM(I10:I13)</f>
        <v>0</v>
      </c>
      <c r="J14" s="193">
        <f>SUM(J10:J13)</f>
        <v>31941.5</v>
      </c>
      <c r="K14" s="194">
        <f t="shared" ref="K14:T14" si="10">SUM(K10:K13)</f>
        <v>0</v>
      </c>
      <c r="L14" s="194">
        <f t="shared" si="10"/>
        <v>31941.5</v>
      </c>
      <c r="M14" s="194">
        <f t="shared" si="10"/>
        <v>25434.18</v>
      </c>
      <c r="N14" s="194">
        <f t="shared" si="10"/>
        <v>6507.3200000000006</v>
      </c>
      <c r="O14" s="194">
        <f t="shared" si="10"/>
        <v>0.628</v>
      </c>
      <c r="P14" s="194">
        <f t="shared" si="10"/>
        <v>1434.9707600000002</v>
      </c>
      <c r="Q14" s="194">
        <f t="shared" si="10"/>
        <v>3336.9000000000005</v>
      </c>
      <c r="R14" s="194">
        <f t="shared" si="10"/>
        <v>4771.8707600000007</v>
      </c>
      <c r="S14" s="194">
        <f t="shared" si="10"/>
        <v>0</v>
      </c>
      <c r="T14" s="194">
        <f t="shared" si="10"/>
        <v>4771.87</v>
      </c>
      <c r="U14" s="193">
        <f>SUM(U10:U13)</f>
        <v>0</v>
      </c>
      <c r="V14" s="193">
        <f>SUM(V10:V13)</f>
        <v>4771.87</v>
      </c>
      <c r="W14" s="193">
        <f>SUM(W10:W13)</f>
        <v>4771.87</v>
      </c>
      <c r="X14" s="193">
        <f>SUM(X10:X12)</f>
        <v>27169.63</v>
      </c>
    </row>
    <row r="15" spans="1:25" ht="35.1" customHeight="1" thickTop="1" x14ac:dyDescent="0.2"/>
    <row r="16" spans="1:25" ht="35.1" customHeight="1" x14ac:dyDescent="0.2"/>
    <row r="19" spans="25:25" x14ac:dyDescent="0.2">
      <c r="Y19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7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8" workbookViewId="0">
      <selection activeCell="V18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ht="19.5" x14ac:dyDescent="0.25">
      <c r="A3" s="252" t="s">
        <v>306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4"/>
      <c r="J6" s="24" t="s">
        <v>26</v>
      </c>
      <c r="K6" s="25"/>
      <c r="L6" s="265" t="s">
        <v>9</v>
      </c>
      <c r="M6" s="266"/>
      <c r="N6" s="266"/>
      <c r="O6" s="266"/>
      <c r="P6" s="266"/>
      <c r="Q6" s="267"/>
      <c r="R6" s="24" t="s">
        <v>30</v>
      </c>
      <c r="S6" s="24" t="s">
        <v>10</v>
      </c>
      <c r="T6" s="23" t="s">
        <v>54</v>
      </c>
      <c r="U6" s="268" t="s">
        <v>2</v>
      </c>
      <c r="V6" s="269"/>
      <c r="W6" s="23" t="s">
        <v>0</v>
      </c>
      <c r="X6" s="34"/>
    </row>
    <row r="7" spans="1:25" ht="33.75" customHeight="1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2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3"/>
    </row>
    <row r="10" spans="1:25" ht="75" customHeight="1" x14ac:dyDescent="0.25">
      <c r="A10" s="118" t="s">
        <v>86</v>
      </c>
      <c r="B10" s="178" t="s">
        <v>273</v>
      </c>
      <c r="C10" s="179" t="s">
        <v>118</v>
      </c>
      <c r="D10" s="181" t="s">
        <v>256</v>
      </c>
      <c r="E10" s="180" t="s">
        <v>78</v>
      </c>
      <c r="F10" s="182">
        <v>15</v>
      </c>
      <c r="G10" s="229">
        <f>H10/F10</f>
        <v>572.79999999999995</v>
      </c>
      <c r="H10" s="184">
        <v>8592</v>
      </c>
      <c r="I10" s="186">
        <f t="shared" ref="I10:I18" si="0">SUM(H10:H10)</f>
        <v>8592</v>
      </c>
      <c r="J10" s="187">
        <v>0</v>
      </c>
      <c r="K10" s="187">
        <f>I10+J10</f>
        <v>8592</v>
      </c>
      <c r="L10" s="187">
        <f t="shared" ref="L10" si="1">VLOOKUP(K10,Tarifa1,1)</f>
        <v>6602.71</v>
      </c>
      <c r="M10" s="187">
        <f>K10-L10</f>
        <v>1989.29</v>
      </c>
      <c r="N10" s="188">
        <f t="shared" ref="N10" si="2">VLOOKUP(K10,Tarifa1,3)</f>
        <v>0.21360000000000001</v>
      </c>
      <c r="O10" s="187">
        <f>M10*N10</f>
        <v>424.91234400000002</v>
      </c>
      <c r="P10" s="189">
        <f t="shared" ref="P10" si="3">VLOOKUP(K10,Tarifa1,2)</f>
        <v>699.3</v>
      </c>
      <c r="Q10" s="187">
        <f>O10+P10</f>
        <v>1124.212344</v>
      </c>
      <c r="R10" s="187">
        <f t="shared" ref="R10" si="4">VLOOKUP(K10,Credito1,2)</f>
        <v>0</v>
      </c>
      <c r="S10" s="187">
        <f>ROUND(Q10-R10,2)</f>
        <v>1124.21</v>
      </c>
      <c r="T10" s="186">
        <f t="shared" ref="T10:T18" si="5">-IF(S10&gt;0,0,S10)</f>
        <v>0</v>
      </c>
      <c r="U10" s="186">
        <f t="shared" ref="U10:U18" si="6">IF(S10&lt;0,0,S10)</f>
        <v>1124.21</v>
      </c>
      <c r="V10" s="186">
        <f>SUM(U10:U10)</f>
        <v>1124.21</v>
      </c>
      <c r="W10" s="186">
        <f>I10+T10-V10</f>
        <v>7467.79</v>
      </c>
      <c r="X10" s="33"/>
    </row>
    <row r="11" spans="1:25" ht="75" customHeight="1" x14ac:dyDescent="0.25">
      <c r="A11" s="118" t="s">
        <v>87</v>
      </c>
      <c r="B11" s="178" t="s">
        <v>254</v>
      </c>
      <c r="C11" s="179" t="s">
        <v>118</v>
      </c>
      <c r="D11" s="181" t="s">
        <v>257</v>
      </c>
      <c r="E11" s="180" t="s">
        <v>78</v>
      </c>
      <c r="F11" s="182">
        <v>15</v>
      </c>
      <c r="G11" s="229">
        <f t="shared" ref="G11:G18" si="7">H11/F11</f>
        <v>572.79999999999995</v>
      </c>
      <c r="H11" s="184">
        <v>8592</v>
      </c>
      <c r="I11" s="186">
        <f t="shared" si="0"/>
        <v>8592</v>
      </c>
      <c r="J11" s="187">
        <v>0</v>
      </c>
      <c r="K11" s="187">
        <f t="shared" ref="K11:K18" si="8">I11+J11</f>
        <v>8592</v>
      </c>
      <c r="L11" s="187">
        <f t="shared" ref="L11:L18" si="9">VLOOKUP(K11,Tarifa1,1)</f>
        <v>6602.71</v>
      </c>
      <c r="M11" s="187">
        <f t="shared" ref="M11:M18" si="10">K11-L11</f>
        <v>1989.29</v>
      </c>
      <c r="N11" s="188">
        <f t="shared" ref="N11:N18" si="11">VLOOKUP(K11,Tarifa1,3)</f>
        <v>0.21360000000000001</v>
      </c>
      <c r="O11" s="187">
        <f t="shared" ref="O11:O18" si="12">M11*N11</f>
        <v>424.91234400000002</v>
      </c>
      <c r="P11" s="189">
        <f t="shared" ref="P11:P18" si="13">VLOOKUP(K11,Tarifa1,2)</f>
        <v>699.3</v>
      </c>
      <c r="Q11" s="187">
        <f t="shared" ref="Q11:Q18" si="14">O11+P11</f>
        <v>1124.212344</v>
      </c>
      <c r="R11" s="187">
        <f t="shared" ref="R11:R18" si="15">VLOOKUP(K11,Credito1,2)</f>
        <v>0</v>
      </c>
      <c r="S11" s="187">
        <f t="shared" ref="S11:S18" si="16">ROUND(Q11-R11,2)</f>
        <v>1124.21</v>
      </c>
      <c r="T11" s="186">
        <f t="shared" si="5"/>
        <v>0</v>
      </c>
      <c r="U11" s="186">
        <f t="shared" si="6"/>
        <v>1124.21</v>
      </c>
      <c r="V11" s="186">
        <f>SUM(U11:U11)</f>
        <v>1124.21</v>
      </c>
      <c r="W11" s="186">
        <f>I11+T11-V11</f>
        <v>7467.79</v>
      </c>
      <c r="X11" s="33"/>
    </row>
    <row r="12" spans="1:25" ht="75" customHeight="1" x14ac:dyDescent="0.25">
      <c r="A12" s="118" t="s">
        <v>88</v>
      </c>
      <c r="B12" s="178" t="s">
        <v>255</v>
      </c>
      <c r="C12" s="179" t="s">
        <v>118</v>
      </c>
      <c r="D12" s="181" t="s">
        <v>258</v>
      </c>
      <c r="E12" s="180" t="s">
        <v>78</v>
      </c>
      <c r="F12" s="182">
        <v>15</v>
      </c>
      <c r="G12" s="229">
        <f t="shared" si="7"/>
        <v>572.79999999999995</v>
      </c>
      <c r="H12" s="184">
        <v>8592</v>
      </c>
      <c r="I12" s="186">
        <f t="shared" si="0"/>
        <v>8592</v>
      </c>
      <c r="J12" s="187">
        <v>0</v>
      </c>
      <c r="K12" s="187">
        <f t="shared" si="8"/>
        <v>8592</v>
      </c>
      <c r="L12" s="187">
        <f t="shared" si="9"/>
        <v>6602.71</v>
      </c>
      <c r="M12" s="187">
        <f t="shared" si="10"/>
        <v>1989.29</v>
      </c>
      <c r="N12" s="188">
        <f t="shared" si="11"/>
        <v>0.21360000000000001</v>
      </c>
      <c r="O12" s="187">
        <f t="shared" si="12"/>
        <v>424.91234400000002</v>
      </c>
      <c r="P12" s="189">
        <f t="shared" si="13"/>
        <v>699.3</v>
      </c>
      <c r="Q12" s="187">
        <f t="shared" si="14"/>
        <v>1124.212344</v>
      </c>
      <c r="R12" s="187">
        <f t="shared" si="15"/>
        <v>0</v>
      </c>
      <c r="S12" s="187">
        <f t="shared" si="16"/>
        <v>1124.21</v>
      </c>
      <c r="T12" s="186">
        <f t="shared" si="5"/>
        <v>0</v>
      </c>
      <c r="U12" s="186">
        <f t="shared" si="6"/>
        <v>1124.21</v>
      </c>
      <c r="V12" s="186">
        <f>SUM(U12:U12)</f>
        <v>1124.21</v>
      </c>
      <c r="W12" s="186">
        <f>I12+T12-V12</f>
        <v>7467.79</v>
      </c>
      <c r="X12" s="33"/>
    </row>
    <row r="13" spans="1:25" ht="75" customHeight="1" x14ac:dyDescent="0.25">
      <c r="A13" s="118" t="s">
        <v>89</v>
      </c>
      <c r="B13" s="178" t="s">
        <v>274</v>
      </c>
      <c r="C13" s="179" t="s">
        <v>118</v>
      </c>
      <c r="D13" s="180" t="s">
        <v>259</v>
      </c>
      <c r="E13" s="180" t="s">
        <v>78</v>
      </c>
      <c r="F13" s="182">
        <v>10</v>
      </c>
      <c r="G13" s="229">
        <f t="shared" si="7"/>
        <v>859.2</v>
      </c>
      <c r="H13" s="184">
        <v>8592</v>
      </c>
      <c r="I13" s="186">
        <f t="shared" ref="I13" si="17">SUM(H13:H13)</f>
        <v>8592</v>
      </c>
      <c r="J13" s="187">
        <v>0</v>
      </c>
      <c r="K13" s="187">
        <f t="shared" ref="K13" si="18">I13+J13</f>
        <v>8592</v>
      </c>
      <c r="L13" s="187">
        <f t="shared" ref="L13" si="19">VLOOKUP(K13,Tarifa1,1)</f>
        <v>6602.71</v>
      </c>
      <c r="M13" s="187">
        <f t="shared" ref="M13" si="20">K13-L13</f>
        <v>1989.29</v>
      </c>
      <c r="N13" s="188">
        <f t="shared" ref="N13" si="21">VLOOKUP(K13,Tarifa1,3)</f>
        <v>0.21360000000000001</v>
      </c>
      <c r="O13" s="187">
        <f t="shared" ref="O13" si="22">M13*N13</f>
        <v>424.91234400000002</v>
      </c>
      <c r="P13" s="189">
        <f t="shared" ref="P13" si="23">VLOOKUP(K13,Tarifa1,2)</f>
        <v>699.3</v>
      </c>
      <c r="Q13" s="187">
        <f t="shared" ref="Q13" si="24">O13+P13</f>
        <v>1124.212344</v>
      </c>
      <c r="R13" s="187">
        <f t="shared" ref="R13" si="25">VLOOKUP(K13,Credito1,2)</f>
        <v>0</v>
      </c>
      <c r="S13" s="187">
        <f t="shared" ref="S13" si="26">ROUND(Q13-R13,2)</f>
        <v>1124.21</v>
      </c>
      <c r="T13" s="186">
        <f t="shared" si="5"/>
        <v>0</v>
      </c>
      <c r="U13" s="186">
        <f t="shared" si="6"/>
        <v>1124.21</v>
      </c>
      <c r="V13" s="186">
        <f>SUM(U13:U13)</f>
        <v>1124.21</v>
      </c>
      <c r="W13" s="186">
        <f>I13+T13-V13</f>
        <v>7467.79</v>
      </c>
      <c r="X13" s="33"/>
    </row>
    <row r="14" spans="1:25" ht="75" customHeight="1" x14ac:dyDescent="0.25">
      <c r="A14" s="118" t="s">
        <v>90</v>
      </c>
      <c r="B14" s="178" t="s">
        <v>275</v>
      </c>
      <c r="C14" s="179" t="s">
        <v>118</v>
      </c>
      <c r="D14" s="206" t="s">
        <v>260</v>
      </c>
      <c r="E14" s="202" t="s">
        <v>78</v>
      </c>
      <c r="F14" s="203">
        <v>15</v>
      </c>
      <c r="G14" s="230">
        <f t="shared" si="7"/>
        <v>572.79999999999995</v>
      </c>
      <c r="H14" s="184">
        <v>8592</v>
      </c>
      <c r="I14" s="186">
        <f t="shared" ref="I14" si="27">SUM(H14:H14)</f>
        <v>8592</v>
      </c>
      <c r="J14" s="187">
        <v>0</v>
      </c>
      <c r="K14" s="187">
        <f t="shared" si="8"/>
        <v>8592</v>
      </c>
      <c r="L14" s="187">
        <f t="shared" si="9"/>
        <v>6602.71</v>
      </c>
      <c r="M14" s="187">
        <f t="shared" si="10"/>
        <v>1989.29</v>
      </c>
      <c r="N14" s="188">
        <f t="shared" si="11"/>
        <v>0.21360000000000001</v>
      </c>
      <c r="O14" s="187">
        <f t="shared" si="12"/>
        <v>424.91234400000002</v>
      </c>
      <c r="P14" s="189">
        <f t="shared" si="13"/>
        <v>699.3</v>
      </c>
      <c r="Q14" s="187">
        <f t="shared" si="14"/>
        <v>1124.212344</v>
      </c>
      <c r="R14" s="187">
        <f t="shared" si="15"/>
        <v>0</v>
      </c>
      <c r="S14" s="187">
        <f t="shared" si="16"/>
        <v>1124.21</v>
      </c>
      <c r="T14" s="186">
        <f t="shared" ref="T14" si="28">-IF(S14&gt;0,0,S14)</f>
        <v>0</v>
      </c>
      <c r="U14" s="186">
        <f t="shared" ref="U14" si="29">IF(S14&lt;0,0,S14)</f>
        <v>1124.21</v>
      </c>
      <c r="V14" s="186">
        <f>SUM(U14:U14)</f>
        <v>1124.21</v>
      </c>
      <c r="W14" s="186">
        <f>I14+T14-V14</f>
        <v>7467.79</v>
      </c>
      <c r="X14" s="33"/>
    </row>
    <row r="15" spans="1:25" ht="75" customHeight="1" x14ac:dyDescent="0.25">
      <c r="A15" s="118" t="s">
        <v>91</v>
      </c>
      <c r="B15" s="178" t="s">
        <v>276</v>
      </c>
      <c r="C15" s="179" t="s">
        <v>118</v>
      </c>
      <c r="D15" s="181" t="s">
        <v>261</v>
      </c>
      <c r="E15" s="180" t="s">
        <v>78</v>
      </c>
      <c r="F15" s="182">
        <v>15</v>
      </c>
      <c r="G15" s="229">
        <f t="shared" si="7"/>
        <v>572.79999999999995</v>
      </c>
      <c r="H15" s="184">
        <v>8592</v>
      </c>
      <c r="I15" s="186">
        <f t="shared" si="0"/>
        <v>8592</v>
      </c>
      <c r="J15" s="187">
        <v>0</v>
      </c>
      <c r="K15" s="187">
        <f t="shared" si="8"/>
        <v>8592</v>
      </c>
      <c r="L15" s="187">
        <f t="shared" si="9"/>
        <v>6602.71</v>
      </c>
      <c r="M15" s="187">
        <f t="shared" si="10"/>
        <v>1989.29</v>
      </c>
      <c r="N15" s="188">
        <f t="shared" si="11"/>
        <v>0.21360000000000001</v>
      </c>
      <c r="O15" s="187">
        <f t="shared" si="12"/>
        <v>424.91234400000002</v>
      </c>
      <c r="P15" s="189">
        <f t="shared" si="13"/>
        <v>699.3</v>
      </c>
      <c r="Q15" s="187">
        <f t="shared" si="14"/>
        <v>1124.212344</v>
      </c>
      <c r="R15" s="187">
        <f t="shared" si="15"/>
        <v>0</v>
      </c>
      <c r="S15" s="187">
        <f t="shared" si="16"/>
        <v>1124.21</v>
      </c>
      <c r="T15" s="186">
        <f t="shared" si="5"/>
        <v>0</v>
      </c>
      <c r="U15" s="186">
        <f t="shared" si="6"/>
        <v>1124.21</v>
      </c>
      <c r="V15" s="186">
        <f>SUM(U15:U15)</f>
        <v>1124.21</v>
      </c>
      <c r="W15" s="186">
        <f>I15+T15-V15</f>
        <v>7467.79</v>
      </c>
      <c r="X15" s="33"/>
    </row>
    <row r="16" spans="1:25" ht="75" customHeight="1" x14ac:dyDescent="0.25">
      <c r="A16" s="118" t="s">
        <v>92</v>
      </c>
      <c r="B16" s="178" t="s">
        <v>262</v>
      </c>
      <c r="C16" s="179" t="s">
        <v>118</v>
      </c>
      <c r="D16" s="181" t="s">
        <v>263</v>
      </c>
      <c r="E16" s="180" t="s">
        <v>78</v>
      </c>
      <c r="F16" s="182">
        <v>15</v>
      </c>
      <c r="G16" s="229">
        <f t="shared" si="7"/>
        <v>572.79999999999995</v>
      </c>
      <c r="H16" s="184">
        <v>8592</v>
      </c>
      <c r="I16" s="186">
        <f t="shared" si="0"/>
        <v>8592</v>
      </c>
      <c r="J16" s="187">
        <v>0</v>
      </c>
      <c r="K16" s="187">
        <f t="shared" si="8"/>
        <v>8592</v>
      </c>
      <c r="L16" s="187">
        <f t="shared" si="9"/>
        <v>6602.71</v>
      </c>
      <c r="M16" s="187">
        <f t="shared" si="10"/>
        <v>1989.29</v>
      </c>
      <c r="N16" s="188">
        <f t="shared" si="11"/>
        <v>0.21360000000000001</v>
      </c>
      <c r="O16" s="187">
        <f t="shared" si="12"/>
        <v>424.91234400000002</v>
      </c>
      <c r="P16" s="189">
        <f t="shared" si="13"/>
        <v>699.3</v>
      </c>
      <c r="Q16" s="187">
        <f t="shared" si="14"/>
        <v>1124.212344</v>
      </c>
      <c r="R16" s="187">
        <f t="shared" si="15"/>
        <v>0</v>
      </c>
      <c r="S16" s="187">
        <f t="shared" si="16"/>
        <v>1124.21</v>
      </c>
      <c r="T16" s="186">
        <f t="shared" si="5"/>
        <v>0</v>
      </c>
      <c r="U16" s="186">
        <f t="shared" si="6"/>
        <v>1124.21</v>
      </c>
      <c r="V16" s="186">
        <f>SUM(U16:U16)</f>
        <v>1124.21</v>
      </c>
      <c r="W16" s="186">
        <f>I16+T16-V16</f>
        <v>7467.79</v>
      </c>
      <c r="X16" s="33"/>
    </row>
    <row r="17" spans="1:24" ht="75" customHeight="1" x14ac:dyDescent="0.25">
      <c r="A17" s="118" t="s">
        <v>93</v>
      </c>
      <c r="B17" s="178" t="s">
        <v>277</v>
      </c>
      <c r="C17" s="179" t="s">
        <v>118</v>
      </c>
      <c r="D17" s="181" t="s">
        <v>264</v>
      </c>
      <c r="E17" s="180" t="s">
        <v>78</v>
      </c>
      <c r="F17" s="182">
        <v>15</v>
      </c>
      <c r="G17" s="229">
        <f t="shared" si="7"/>
        <v>572.79999999999995</v>
      </c>
      <c r="H17" s="184">
        <v>8592</v>
      </c>
      <c r="I17" s="186">
        <f t="shared" si="0"/>
        <v>8592</v>
      </c>
      <c r="J17" s="187">
        <v>0</v>
      </c>
      <c r="K17" s="187">
        <f t="shared" si="8"/>
        <v>8592</v>
      </c>
      <c r="L17" s="187">
        <f t="shared" si="9"/>
        <v>6602.71</v>
      </c>
      <c r="M17" s="187">
        <f t="shared" si="10"/>
        <v>1989.29</v>
      </c>
      <c r="N17" s="188">
        <f t="shared" si="11"/>
        <v>0.21360000000000001</v>
      </c>
      <c r="O17" s="187">
        <f t="shared" si="12"/>
        <v>424.91234400000002</v>
      </c>
      <c r="P17" s="189">
        <f t="shared" si="13"/>
        <v>699.3</v>
      </c>
      <c r="Q17" s="187">
        <f t="shared" si="14"/>
        <v>1124.212344</v>
      </c>
      <c r="R17" s="187">
        <f t="shared" si="15"/>
        <v>0</v>
      </c>
      <c r="S17" s="187">
        <f t="shared" si="16"/>
        <v>1124.21</v>
      </c>
      <c r="T17" s="186">
        <f t="shared" si="5"/>
        <v>0</v>
      </c>
      <c r="U17" s="186">
        <f t="shared" si="6"/>
        <v>1124.21</v>
      </c>
      <c r="V17" s="186">
        <f>SUM(U17:U17)</f>
        <v>1124.21</v>
      </c>
      <c r="W17" s="186">
        <f>I17+T17-V17</f>
        <v>7467.79</v>
      </c>
      <c r="X17" s="33"/>
    </row>
    <row r="18" spans="1:24" ht="75" customHeight="1" x14ac:dyDescent="0.25">
      <c r="A18" s="118" t="s">
        <v>94</v>
      </c>
      <c r="B18" s="178" t="s">
        <v>278</v>
      </c>
      <c r="C18" s="179" t="s">
        <v>118</v>
      </c>
      <c r="D18" s="180" t="s">
        <v>285</v>
      </c>
      <c r="E18" s="180" t="s">
        <v>78</v>
      </c>
      <c r="F18" s="182">
        <v>15</v>
      </c>
      <c r="G18" s="229">
        <f t="shared" si="7"/>
        <v>572.79999999999995</v>
      </c>
      <c r="H18" s="184">
        <v>8592</v>
      </c>
      <c r="I18" s="186">
        <f t="shared" si="0"/>
        <v>8592</v>
      </c>
      <c r="J18" s="187">
        <v>0</v>
      </c>
      <c r="K18" s="187">
        <f t="shared" si="8"/>
        <v>8592</v>
      </c>
      <c r="L18" s="187">
        <f t="shared" si="9"/>
        <v>6602.71</v>
      </c>
      <c r="M18" s="187">
        <f t="shared" si="10"/>
        <v>1989.29</v>
      </c>
      <c r="N18" s="188">
        <f t="shared" si="11"/>
        <v>0.21360000000000001</v>
      </c>
      <c r="O18" s="187">
        <f t="shared" si="12"/>
        <v>424.91234400000002</v>
      </c>
      <c r="P18" s="189">
        <f t="shared" si="13"/>
        <v>699.3</v>
      </c>
      <c r="Q18" s="187">
        <f t="shared" si="14"/>
        <v>1124.212344</v>
      </c>
      <c r="R18" s="187">
        <f t="shared" si="15"/>
        <v>0</v>
      </c>
      <c r="S18" s="187">
        <f t="shared" si="16"/>
        <v>1124.21</v>
      </c>
      <c r="T18" s="186">
        <f t="shared" si="5"/>
        <v>0</v>
      </c>
      <c r="U18" s="186">
        <f t="shared" si="6"/>
        <v>1124.21</v>
      </c>
      <c r="V18" s="186">
        <f>SUM(U18:U18)</f>
        <v>1124.21</v>
      </c>
      <c r="W18" s="186">
        <f>I18+T18-V18</f>
        <v>7467.79</v>
      </c>
      <c r="X18" s="33"/>
    </row>
    <row r="19" spans="1:24" ht="21.75" customHeight="1" x14ac:dyDescent="0.25">
      <c r="A19" s="214"/>
      <c r="B19" s="214"/>
      <c r="C19" s="214"/>
      <c r="D19" s="214"/>
      <c r="E19" s="214"/>
      <c r="F19" s="214"/>
      <c r="G19" s="214"/>
      <c r="H19" s="220"/>
      <c r="I19" s="220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</row>
    <row r="20" spans="1:24" ht="40.5" customHeight="1" thickBot="1" x14ac:dyDescent="0.3">
      <c r="A20" s="248" t="s">
        <v>45</v>
      </c>
      <c r="B20" s="249"/>
      <c r="C20" s="249"/>
      <c r="D20" s="249"/>
      <c r="E20" s="249"/>
      <c r="F20" s="249"/>
      <c r="G20" s="250"/>
      <c r="H20" s="193">
        <f>SUM(H10:H19)</f>
        <v>77328</v>
      </c>
      <c r="I20" s="193">
        <f>SUM(I10:I19)</f>
        <v>77328</v>
      </c>
      <c r="J20" s="194">
        <f t="shared" ref="J20:S20" si="30">SUM(J10:J19)</f>
        <v>0</v>
      </c>
      <c r="K20" s="194">
        <f t="shared" si="30"/>
        <v>77328</v>
      </c>
      <c r="L20" s="194">
        <f t="shared" si="30"/>
        <v>59424.39</v>
      </c>
      <c r="M20" s="194">
        <f t="shared" si="30"/>
        <v>17903.610000000004</v>
      </c>
      <c r="N20" s="194">
        <f t="shared" si="30"/>
        <v>1.9224000000000001</v>
      </c>
      <c r="O20" s="194">
        <f t="shared" si="30"/>
        <v>3824.2110959999995</v>
      </c>
      <c r="P20" s="194">
        <f t="shared" si="30"/>
        <v>6293.7000000000007</v>
      </c>
      <c r="Q20" s="194">
        <f t="shared" si="30"/>
        <v>10117.911095999998</v>
      </c>
      <c r="R20" s="194">
        <f t="shared" si="30"/>
        <v>0</v>
      </c>
      <c r="S20" s="194">
        <f t="shared" si="30"/>
        <v>10117.89</v>
      </c>
      <c r="T20" s="193">
        <f>SUM(T10:T19)</f>
        <v>0</v>
      </c>
      <c r="U20" s="193">
        <f>SUM(U10:U19)</f>
        <v>10117.89</v>
      </c>
      <c r="V20" s="193">
        <f>SUM(V10:V19)</f>
        <v>10117.89</v>
      </c>
      <c r="W20" s="193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2022-02-15T19:48:04Z</cp:lastPrinted>
  <dcterms:created xsi:type="dcterms:W3CDTF">2000-05-05T04:08:27Z</dcterms:created>
  <dcterms:modified xsi:type="dcterms:W3CDTF">2023-09-14T20:19:11Z</dcterms:modified>
</cp:coreProperties>
</file>