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40317459-FE7A-4F09-94F4-F223A39A2F05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" sheetId="136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definedNames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36" l="1"/>
  <c r="M12" i="136" s="1"/>
  <c r="K12" i="136"/>
  <c r="K11" i="136" s="1"/>
  <c r="H12" i="136"/>
  <c r="J11" i="136"/>
  <c r="I11" i="136"/>
  <c r="L10" i="136"/>
  <c r="K10" i="136"/>
  <c r="K9" i="136" s="1"/>
  <c r="K14" i="136" s="1"/>
  <c r="H10" i="136"/>
  <c r="J9" i="136"/>
  <c r="I9" i="136"/>
  <c r="I14" i="136" l="1"/>
  <c r="J14" i="136"/>
  <c r="L14" i="136"/>
  <c r="R12" i="136"/>
  <c r="N12" i="136"/>
  <c r="O12" i="136" s="1"/>
  <c r="T12" i="136"/>
  <c r="P12" i="136"/>
  <c r="M10" i="136"/>
  <c r="Q12" i="136" l="1"/>
  <c r="S12" i="136" s="1"/>
  <c r="U12" i="136" s="1"/>
  <c r="W12" i="136" s="1"/>
  <c r="M14" i="136"/>
  <c r="R10" i="136"/>
  <c r="R14" i="136" s="1"/>
  <c r="N10" i="136"/>
  <c r="N14" i="136" s="1"/>
  <c r="T10" i="136"/>
  <c r="T14" i="136" s="1"/>
  <c r="P10" i="136"/>
  <c r="P14" i="136" s="1"/>
  <c r="V12" i="136" l="1"/>
  <c r="O10" i="136"/>
  <c r="Q10" i="136" s="1"/>
  <c r="V11" i="136"/>
  <c r="W11" i="136"/>
  <c r="X12" i="136"/>
  <c r="X11" i="136" s="1"/>
  <c r="O14" i="136" l="1"/>
  <c r="Y12" i="136"/>
  <c r="Y11" i="136" s="1"/>
  <c r="S10" i="136"/>
  <c r="Q14" i="136"/>
  <c r="U10" i="136" l="1"/>
  <c r="S14" i="136"/>
  <c r="W10" i="136" l="1"/>
  <c r="U14" i="136"/>
  <c r="V10" i="136"/>
  <c r="V9" i="136" l="1"/>
  <c r="V14" i="136" s="1"/>
  <c r="W9" i="136"/>
  <c r="W14" i="136" s="1"/>
  <c r="X10" i="136"/>
  <c r="X9" i="136" s="1"/>
  <c r="X14" i="136" s="1"/>
  <c r="Y10" i="136" l="1"/>
  <c r="Y9" i="136" s="1"/>
  <c r="Y14" i="136" s="1"/>
  <c r="K10" i="133" l="1"/>
  <c r="L10" i="133" s="1"/>
  <c r="J10" i="133"/>
  <c r="I22" i="135"/>
  <c r="J22" i="135" s="1"/>
  <c r="H22" i="135"/>
  <c r="I21" i="135"/>
  <c r="J21" i="135" s="1"/>
  <c r="H21" i="135"/>
  <c r="K11" i="133"/>
  <c r="L11" i="133" s="1"/>
  <c r="J11" i="133"/>
  <c r="G11" i="133"/>
  <c r="S10" i="133" l="1"/>
  <c r="O10" i="133"/>
  <c r="Q10" i="133"/>
  <c r="M10" i="133"/>
  <c r="N10" i="133" s="1"/>
  <c r="Q22" i="135"/>
  <c r="O22" i="135"/>
  <c r="K22" i="135"/>
  <c r="L22" i="135" s="1"/>
  <c r="M22" i="135"/>
  <c r="Q21" i="135"/>
  <c r="M21" i="135"/>
  <c r="O21" i="135"/>
  <c r="K21" i="135"/>
  <c r="L21" i="135" s="1"/>
  <c r="S11" i="133"/>
  <c r="O11" i="133"/>
  <c r="Q11" i="133"/>
  <c r="M11" i="133"/>
  <c r="N11" i="133" s="1"/>
  <c r="K13" i="133"/>
  <c r="L13" i="133" s="1"/>
  <c r="J13" i="133"/>
  <c r="N21" i="135" l="1"/>
  <c r="P21" i="135" s="1"/>
  <c r="R21" i="135" s="1"/>
  <c r="S21" i="135" s="1"/>
  <c r="P11" i="133"/>
  <c r="R11" i="133" s="1"/>
  <c r="T11" i="133" s="1"/>
  <c r="U11" i="133" s="1"/>
  <c r="P10" i="133"/>
  <c r="R10" i="133" s="1"/>
  <c r="T10" i="133" s="1"/>
  <c r="V10" i="133" s="1"/>
  <c r="W10" i="133" s="1"/>
  <c r="N22" i="135"/>
  <c r="P22" i="135" s="1"/>
  <c r="R22" i="135" s="1"/>
  <c r="T22" i="135" s="1"/>
  <c r="U22" i="135" s="1"/>
  <c r="S13" i="133"/>
  <c r="O13" i="133"/>
  <c r="Q13" i="133"/>
  <c r="M13" i="133"/>
  <c r="N13" i="133" s="1"/>
  <c r="K27" i="121"/>
  <c r="L27" i="121" s="1"/>
  <c r="J27" i="121"/>
  <c r="V11" i="133" l="1"/>
  <c r="W11" i="133" s="1"/>
  <c r="X11" i="133" s="1"/>
  <c r="T21" i="135"/>
  <c r="U21" i="135" s="1"/>
  <c r="V21" i="135" s="1"/>
  <c r="U10" i="133"/>
  <c r="X10" i="133" s="1"/>
  <c r="S22" i="135"/>
  <c r="V22" i="135" s="1"/>
  <c r="P13" i="133"/>
  <c r="R13" i="133" s="1"/>
  <c r="T13" i="133" s="1"/>
  <c r="V13" i="133" s="1"/>
  <c r="W13" i="133" s="1"/>
  <c r="O27" i="121"/>
  <c r="S27" i="121"/>
  <c r="Q27" i="121"/>
  <c r="M27" i="121"/>
  <c r="N27" i="121" s="1"/>
  <c r="U13" i="133" l="1"/>
  <c r="X13" i="133" s="1"/>
  <c r="P27" i="121"/>
  <c r="R27" i="121" s="1"/>
  <c r="T27" i="121" s="1"/>
  <c r="V27" i="121" l="1"/>
  <c r="W27" i="121" s="1"/>
  <c r="U27" i="121"/>
  <c r="X27" i="121" l="1"/>
  <c r="K12" i="133" l="1"/>
  <c r="L12" i="133" s="1"/>
  <c r="K14" i="133"/>
  <c r="L14" i="133" s="1"/>
  <c r="K15" i="133"/>
  <c r="L15" i="133" s="1"/>
  <c r="M15" i="133" s="1"/>
  <c r="K16" i="133"/>
  <c r="L16" i="133" s="1"/>
  <c r="I10" i="135"/>
  <c r="J10" i="135" s="1"/>
  <c r="I11" i="135"/>
  <c r="I12" i="135"/>
  <c r="I13" i="135"/>
  <c r="J13" i="135" s="1"/>
  <c r="K13" i="135" s="1"/>
  <c r="I14" i="135"/>
  <c r="I15" i="135"/>
  <c r="I16" i="135"/>
  <c r="J16" i="135" s="1"/>
  <c r="I17" i="135"/>
  <c r="J17" i="135" s="1"/>
  <c r="K17" i="135" s="1"/>
  <c r="I18" i="135"/>
  <c r="J18" i="135" s="1"/>
  <c r="I19" i="135"/>
  <c r="I20" i="135"/>
  <c r="J20" i="135" s="1"/>
  <c r="I9" i="135"/>
  <c r="J9" i="135" s="1"/>
  <c r="K11" i="132"/>
  <c r="K12" i="132"/>
  <c r="K13" i="132"/>
  <c r="L13" i="132" s="1"/>
  <c r="O13" i="132" s="1"/>
  <c r="K10" i="132"/>
  <c r="L10" i="132" s="1"/>
  <c r="K11" i="118"/>
  <c r="K12" i="118"/>
  <c r="K10" i="118"/>
  <c r="L10" i="118" s="1"/>
  <c r="S10" i="118" s="1"/>
  <c r="K33" i="123"/>
  <c r="L33" i="123" s="1"/>
  <c r="K31" i="123"/>
  <c r="K29" i="123"/>
  <c r="L29" i="123" s="1"/>
  <c r="K27" i="123"/>
  <c r="L27" i="123" s="1"/>
  <c r="K22" i="123"/>
  <c r="L22" i="123" s="1"/>
  <c r="K21" i="123"/>
  <c r="L21" i="123" s="1"/>
  <c r="K18" i="123"/>
  <c r="K19" i="123"/>
  <c r="K17" i="123"/>
  <c r="L17" i="123" s="1"/>
  <c r="K15" i="123"/>
  <c r="K13" i="123"/>
  <c r="K11" i="123"/>
  <c r="L11" i="123" s="1"/>
  <c r="K10" i="123"/>
  <c r="L10" i="123" s="1"/>
  <c r="K35" i="121"/>
  <c r="L35" i="121" s="1"/>
  <c r="K33" i="121"/>
  <c r="K32" i="121"/>
  <c r="L32" i="121" s="1"/>
  <c r="K30" i="121"/>
  <c r="L30" i="121" s="1"/>
  <c r="K29" i="121"/>
  <c r="K26" i="12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K35" i="120"/>
  <c r="L35" i="120" s="1"/>
  <c r="M35" i="120" s="1"/>
  <c r="K36" i="120"/>
  <c r="L36" i="120" s="1"/>
  <c r="M36" i="120" s="1"/>
  <c r="K37" i="120"/>
  <c r="L37" i="120" s="1"/>
  <c r="K33" i="120"/>
  <c r="L33" i="120" s="1"/>
  <c r="S33" i="120" s="1"/>
  <c r="K10" i="120"/>
  <c r="K11" i="120"/>
  <c r="L11" i="120" s="1"/>
  <c r="M11" i="120" s="1"/>
  <c r="K12" i="120"/>
  <c r="L12" i="120" s="1"/>
  <c r="K13" i="120"/>
  <c r="L13" i="120" s="1"/>
  <c r="M13" i="120" s="1"/>
  <c r="K14" i="120"/>
  <c r="K15" i="120"/>
  <c r="L15" i="120" s="1"/>
  <c r="M15" i="120" s="1"/>
  <c r="K16" i="120"/>
  <c r="L16" i="120" s="1"/>
  <c r="K17" i="120"/>
  <c r="L17" i="120" s="1"/>
  <c r="M17" i="120" s="1"/>
  <c r="K18" i="120"/>
  <c r="K19" i="120"/>
  <c r="L19" i="120" s="1"/>
  <c r="M19" i="120" s="1"/>
  <c r="K20" i="120"/>
  <c r="L20" i="120" s="1"/>
  <c r="K21" i="120"/>
  <c r="L21" i="120" s="1"/>
  <c r="M21" i="120" s="1"/>
  <c r="K9" i="120"/>
  <c r="K10" i="127"/>
  <c r="L10" i="127" s="1"/>
  <c r="S10" i="127" s="1"/>
  <c r="K33" i="119"/>
  <c r="L33" i="119" s="1"/>
  <c r="K31" i="119"/>
  <c r="L31" i="119" s="1"/>
  <c r="K30" i="119"/>
  <c r="K21" i="119"/>
  <c r="L21" i="119" s="1"/>
  <c r="K19" i="119"/>
  <c r="L19" i="119" s="1"/>
  <c r="K18" i="119"/>
  <c r="L18" i="119" s="1"/>
  <c r="K16" i="119"/>
  <c r="K14" i="119"/>
  <c r="L14" i="119" s="1"/>
  <c r="K11" i="119"/>
  <c r="L11" i="119" s="1"/>
  <c r="K12" i="119"/>
  <c r="L12" i="119" s="1"/>
  <c r="K10" i="119"/>
  <c r="J19" i="135"/>
  <c r="K19" i="135" s="1"/>
  <c r="J14" i="135"/>
  <c r="J12" i="135"/>
  <c r="J11" i="135"/>
  <c r="K11" i="135" s="1"/>
  <c r="L12" i="132"/>
  <c r="M12" i="132" s="1"/>
  <c r="L11" i="132"/>
  <c r="L11" i="118"/>
  <c r="L31" i="123"/>
  <c r="L19" i="123"/>
  <c r="L18" i="123"/>
  <c r="L13" i="123"/>
  <c r="L29" i="121"/>
  <c r="L34" i="120"/>
  <c r="L9" i="120"/>
  <c r="L10" i="119"/>
  <c r="J15" i="135"/>
  <c r="K15" i="135" s="1"/>
  <c r="L12" i="118"/>
  <c r="M12" i="118" s="1"/>
  <c r="L15" i="123"/>
  <c r="S15" i="123" s="1"/>
  <c r="L33" i="121"/>
  <c r="L26" i="121"/>
  <c r="S26" i="121" s="1"/>
  <c r="L10" i="120"/>
  <c r="L14" i="120"/>
  <c r="L18" i="120"/>
  <c r="L30" i="119"/>
  <c r="L16" i="119"/>
  <c r="Q26" i="121" l="1"/>
  <c r="O12" i="133"/>
  <c r="S12" i="133"/>
  <c r="M12" i="133"/>
  <c r="N12" i="133" s="1"/>
  <c r="Q12" i="133"/>
  <c r="O14" i="133"/>
  <c r="S14" i="133"/>
  <c r="N14" i="133"/>
  <c r="M14" i="133"/>
  <c r="Q14" i="133"/>
  <c r="O16" i="133"/>
  <c r="S16" i="133"/>
  <c r="M16" i="133"/>
  <c r="N16" i="133" s="1"/>
  <c r="Q16" i="133"/>
  <c r="S15" i="133"/>
  <c r="O15" i="133"/>
  <c r="N15" i="133"/>
  <c r="Q15" i="133"/>
  <c r="O11" i="118"/>
  <c r="M11" i="118"/>
  <c r="N11" i="118" s="1"/>
  <c r="P11" i="118" s="1"/>
  <c r="Q13" i="132"/>
  <c r="O34" i="120"/>
  <c r="M34" i="120"/>
  <c r="N34" i="120" s="1"/>
  <c r="Q34" i="120"/>
  <c r="O37" i="120"/>
  <c r="M37" i="120"/>
  <c r="N37" i="120" s="1"/>
  <c r="Q37" i="120"/>
  <c r="O11" i="132"/>
  <c r="Q11" i="132"/>
  <c r="M11" i="132"/>
  <c r="N11" i="132" s="1"/>
  <c r="Q11" i="118"/>
  <c r="M13" i="132"/>
  <c r="N13" i="132" s="1"/>
  <c r="P13" i="132" s="1"/>
  <c r="M26" i="121"/>
  <c r="N26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N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19" i="135"/>
  <c r="M19" i="135"/>
  <c r="Q17" i="135"/>
  <c r="M15" i="135"/>
  <c r="Q13" i="135"/>
  <c r="L19" i="135"/>
  <c r="L17" i="135"/>
  <c r="L15" i="135"/>
  <c r="L13" i="135"/>
  <c r="L11" i="135"/>
  <c r="M17" i="135"/>
  <c r="Q15" i="135"/>
  <c r="M13" i="135"/>
  <c r="Q11" i="135"/>
  <c r="M11" i="135"/>
  <c r="O19" i="135"/>
  <c r="O17" i="135"/>
  <c r="O15" i="135"/>
  <c r="O13" i="135"/>
  <c r="O11" i="135"/>
  <c r="O9" i="135"/>
  <c r="K9" i="135"/>
  <c r="L9" i="135" s="1"/>
  <c r="Q9" i="135"/>
  <c r="M9" i="135"/>
  <c r="S12" i="132"/>
  <c r="O12" i="132"/>
  <c r="N12" i="132"/>
  <c r="S13" i="132"/>
  <c r="Q12" i="132"/>
  <c r="S11" i="132"/>
  <c r="M10" i="132"/>
  <c r="N10" i="132" s="1"/>
  <c r="S10" i="132"/>
  <c r="O10" i="132"/>
  <c r="Q10" i="132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6" i="120"/>
  <c r="O36" i="120"/>
  <c r="S35" i="120"/>
  <c r="O35" i="120"/>
  <c r="N36" i="120"/>
  <c r="N35" i="120"/>
  <c r="S37" i="120"/>
  <c r="Q36" i="120"/>
  <c r="Q35" i="120"/>
  <c r="S34" i="120"/>
  <c r="M33" i="120"/>
  <c r="N33" i="120" s="1"/>
  <c r="Q33" i="120"/>
  <c r="O33" i="120"/>
  <c r="O12" i="120"/>
  <c r="S12" i="120"/>
  <c r="M12" i="120"/>
  <c r="N12" i="120" s="1"/>
  <c r="Q12" i="120"/>
  <c r="O16" i="120"/>
  <c r="S16" i="120"/>
  <c r="M16" i="120"/>
  <c r="N16" i="120" s="1"/>
  <c r="Q16" i="120"/>
  <c r="O20" i="120"/>
  <c r="S20" i="120"/>
  <c r="M20" i="120"/>
  <c r="N20" i="120" s="1"/>
  <c r="Q20" i="120"/>
  <c r="O14" i="120"/>
  <c r="S14" i="120"/>
  <c r="M14" i="120"/>
  <c r="N14" i="120" s="1"/>
  <c r="Q14" i="120"/>
  <c r="O18" i="120"/>
  <c r="S18" i="120"/>
  <c r="M18" i="120"/>
  <c r="N18" i="120" s="1"/>
  <c r="Q18" i="120"/>
  <c r="O10" i="120"/>
  <c r="S10" i="120"/>
  <c r="M10" i="120"/>
  <c r="N10" i="120" s="1"/>
  <c r="Q10" i="120"/>
  <c r="S21" i="120"/>
  <c r="O21" i="120"/>
  <c r="S19" i="120"/>
  <c r="O19" i="120"/>
  <c r="S17" i="120"/>
  <c r="O17" i="120"/>
  <c r="S15" i="120"/>
  <c r="O15" i="120"/>
  <c r="S13" i="120"/>
  <c r="O13" i="120"/>
  <c r="S11" i="120"/>
  <c r="O11" i="120"/>
  <c r="N21" i="120"/>
  <c r="N19" i="120"/>
  <c r="N17" i="120"/>
  <c r="N15" i="120"/>
  <c r="P15" i="120" s="1"/>
  <c r="N13" i="120"/>
  <c r="N11" i="120"/>
  <c r="Q21" i="120"/>
  <c r="Q19" i="120"/>
  <c r="Q17" i="120"/>
  <c r="Q15" i="120"/>
  <c r="Q13" i="120"/>
  <c r="Q11" i="120"/>
  <c r="Q9" i="120"/>
  <c r="M9" i="120"/>
  <c r="N9" i="120" s="1"/>
  <c r="S9" i="120"/>
  <c r="O9" i="120"/>
  <c r="M10" i="127"/>
  <c r="N10" i="127" s="1"/>
  <c r="Q10" i="127"/>
  <c r="O10" i="127"/>
  <c r="S33" i="119"/>
  <c r="O33" i="119"/>
  <c r="Q33" i="119"/>
  <c r="M33" i="119"/>
  <c r="N33" i="119" s="1"/>
  <c r="S31" i="119"/>
  <c r="O31" i="119"/>
  <c r="Q31" i="119"/>
  <c r="M31" i="119"/>
  <c r="N31" i="119" s="1"/>
  <c r="O30" i="119"/>
  <c r="S30" i="119"/>
  <c r="Q30" i="119"/>
  <c r="M30" i="119"/>
  <c r="N30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O11" i="119"/>
  <c r="S11" i="119"/>
  <c r="M11" i="119"/>
  <c r="N11" i="119" s="1"/>
  <c r="Q11" i="119"/>
  <c r="Q10" i="119"/>
  <c r="M10" i="119"/>
  <c r="N10" i="119" s="1"/>
  <c r="S10" i="119"/>
  <c r="O10" i="119"/>
  <c r="P27" i="123" l="1"/>
  <c r="R27" i="123" s="1"/>
  <c r="T27" i="123" s="1"/>
  <c r="P14" i="133"/>
  <c r="R14" i="133" s="1"/>
  <c r="T14" i="133" s="1"/>
  <c r="P12" i="133"/>
  <c r="R12" i="133" s="1"/>
  <c r="T12" i="133" s="1"/>
  <c r="P15" i="133"/>
  <c r="R15" i="133" s="1"/>
  <c r="T15" i="133" s="1"/>
  <c r="P34" i="120"/>
  <c r="P14" i="135"/>
  <c r="P16" i="133"/>
  <c r="R16" i="133" s="1"/>
  <c r="T16" i="133" s="1"/>
  <c r="R13" i="132"/>
  <c r="T13" i="132" s="1"/>
  <c r="R11" i="118"/>
  <c r="T11" i="118" s="1"/>
  <c r="P22" i="123"/>
  <c r="P18" i="123"/>
  <c r="R18" i="123" s="1"/>
  <c r="T18" i="123" s="1"/>
  <c r="R34" i="120"/>
  <c r="T34" i="120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7" i="120"/>
  <c r="R37" i="120" s="1"/>
  <c r="T37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1" i="132"/>
  <c r="R11" i="132" s="1"/>
  <c r="T11" i="132" s="1"/>
  <c r="P14" i="119"/>
  <c r="R14" i="119" s="1"/>
  <c r="T14" i="119" s="1"/>
  <c r="P16" i="119"/>
  <c r="R16" i="119" s="1"/>
  <c r="T16" i="119" s="1"/>
  <c r="P18" i="119"/>
  <c r="R18" i="119" s="1"/>
  <c r="T18" i="119" s="1"/>
  <c r="P31" i="119"/>
  <c r="R31" i="119" s="1"/>
  <c r="T31" i="119" s="1"/>
  <c r="P30" i="119"/>
  <c r="R30" i="119" s="1"/>
  <c r="T30" i="119" s="1"/>
  <c r="N10" i="135"/>
  <c r="P10" i="135" s="1"/>
  <c r="R10" i="135" s="1"/>
  <c r="R14" i="135"/>
  <c r="P10" i="120"/>
  <c r="R10" i="120" s="1"/>
  <c r="T10" i="120" s="1"/>
  <c r="P18" i="120"/>
  <c r="R18" i="120" s="1"/>
  <c r="T18" i="120" s="1"/>
  <c r="P19" i="123"/>
  <c r="R19" i="123" s="1"/>
  <c r="T19" i="123" s="1"/>
  <c r="P21" i="123"/>
  <c r="R21" i="123" s="1"/>
  <c r="T21" i="123" s="1"/>
  <c r="P29" i="123"/>
  <c r="R29" i="123" s="1"/>
  <c r="T29" i="123" s="1"/>
  <c r="P10" i="132"/>
  <c r="R10" i="132" s="1"/>
  <c r="T10" i="132" s="1"/>
  <c r="N18" i="135"/>
  <c r="P18" i="135" s="1"/>
  <c r="R18" i="135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N20" i="135"/>
  <c r="P20" i="135" s="1"/>
  <c r="R20" i="135" s="1"/>
  <c r="P9" i="120"/>
  <c r="R9" i="120" s="1"/>
  <c r="T9" i="120" s="1"/>
  <c r="P11" i="120"/>
  <c r="R11" i="120" s="1"/>
  <c r="T11" i="120" s="1"/>
  <c r="P19" i="120"/>
  <c r="R19" i="120" s="1"/>
  <c r="T19" i="120" s="1"/>
  <c r="P20" i="120"/>
  <c r="R20" i="120" s="1"/>
  <c r="T20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6" i="120"/>
  <c r="R36" i="120" s="1"/>
  <c r="T36" i="120" s="1"/>
  <c r="P10" i="121"/>
  <c r="R10" i="121" s="1"/>
  <c r="T10" i="121" s="1"/>
  <c r="P31" i="123"/>
  <c r="R31" i="123" s="1"/>
  <c r="T31" i="123" s="1"/>
  <c r="P33" i="123"/>
  <c r="R33" i="123" s="1"/>
  <c r="T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P12" i="132"/>
  <c r="R12" i="132" s="1"/>
  <c r="T12" i="132" s="1"/>
  <c r="P10" i="118"/>
  <c r="R10" i="118" s="1"/>
  <c r="T10" i="118" s="1"/>
  <c r="R22" i="123"/>
  <c r="T22" i="123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35" i="120"/>
  <c r="R35" i="120" s="1"/>
  <c r="T35" i="120" s="1"/>
  <c r="P33" i="120"/>
  <c r="R33" i="120" s="1"/>
  <c r="T33" i="120" s="1"/>
  <c r="P13" i="120"/>
  <c r="R13" i="120" s="1"/>
  <c r="T13" i="120" s="1"/>
  <c r="P21" i="120"/>
  <c r="R21" i="120" s="1"/>
  <c r="T21" i="120" s="1"/>
  <c r="R15" i="120"/>
  <c r="T15" i="120" s="1"/>
  <c r="P11" i="119"/>
  <c r="R11" i="119" s="1"/>
  <c r="T11" i="119" s="1"/>
  <c r="P21" i="119"/>
  <c r="R21" i="119" s="1"/>
  <c r="T21" i="119" s="1"/>
  <c r="P10" i="127"/>
  <c r="R10" i="127" s="1"/>
  <c r="T10" i="127" s="1"/>
  <c r="P19" i="119"/>
  <c r="R19" i="119" s="1"/>
  <c r="T19" i="119" s="1"/>
  <c r="P10" i="119"/>
  <c r="R10" i="119" s="1"/>
  <c r="T10" i="119" s="1"/>
  <c r="P33" i="119"/>
  <c r="R33" i="119" s="1"/>
  <c r="T33" i="119" s="1"/>
  <c r="P12" i="119"/>
  <c r="R12" i="119" s="1"/>
  <c r="T12" i="119" s="1"/>
  <c r="V12" i="119" s="1"/>
  <c r="J33" i="120" l="1"/>
  <c r="J13" i="120"/>
  <c r="U33" i="120" l="1"/>
  <c r="V33" i="120"/>
  <c r="W33" i="120" s="1"/>
  <c r="V13" i="120"/>
  <c r="W13" i="120" s="1"/>
  <c r="U13" i="120"/>
  <c r="X33" i="120" l="1"/>
  <c r="X13" i="120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H20" i="135"/>
  <c r="J21" i="120" l="1"/>
  <c r="S20" i="135" l="1"/>
  <c r="H19" i="135"/>
  <c r="T20" i="135" l="1"/>
  <c r="U20" i="135" s="1"/>
  <c r="V20" i="135" s="1"/>
  <c r="V21" i="120"/>
  <c r="W21" i="120" s="1"/>
  <c r="J16" i="133"/>
  <c r="U21" i="120" l="1"/>
  <c r="X21" i="120" s="1"/>
  <c r="J15" i="121"/>
  <c r="V16" i="133" l="1"/>
  <c r="W16" i="133" s="1"/>
  <c r="T19" i="135"/>
  <c r="U19" i="135" s="1"/>
  <c r="S19" i="135"/>
  <c r="J18" i="123"/>
  <c r="V19" i="135" l="1"/>
  <c r="U16" i="133"/>
  <c r="X16" i="133" s="1"/>
  <c r="U18" i="123" l="1"/>
  <c r="U15" i="121"/>
  <c r="V15" i="121"/>
  <c r="W15" i="121" s="1"/>
  <c r="I32" i="119"/>
  <c r="H32" i="119"/>
  <c r="J27" i="123"/>
  <c r="J33" i="119"/>
  <c r="J32" i="119" s="1"/>
  <c r="J15" i="133"/>
  <c r="G15" i="133"/>
  <c r="V18" i="123" l="1"/>
  <c r="W18" i="123" s="1"/>
  <c r="X18" i="123" s="1"/>
  <c r="X15" i="121"/>
  <c r="V33" i="119" l="1"/>
  <c r="V27" i="123"/>
  <c r="W27" i="123" s="1"/>
  <c r="V15" i="133"/>
  <c r="W15" i="133" s="1"/>
  <c r="J19" i="120"/>
  <c r="G19" i="120"/>
  <c r="J13" i="121"/>
  <c r="J14" i="121"/>
  <c r="U33" i="119" l="1"/>
  <c r="U32" i="119" s="1"/>
  <c r="U27" i="123"/>
  <c r="X27" i="123" s="1"/>
  <c r="U15" i="133"/>
  <c r="X15" i="133" s="1"/>
  <c r="W33" i="119"/>
  <c r="W32" i="119" s="1"/>
  <c r="V32" i="119"/>
  <c r="V13" i="121"/>
  <c r="W13" i="121" s="1"/>
  <c r="U13" i="121"/>
  <c r="J9" i="120"/>
  <c r="J16" i="121"/>
  <c r="U19" i="120" l="1"/>
  <c r="X13" i="121"/>
  <c r="X33" i="119"/>
  <c r="X32" i="119" s="1"/>
  <c r="U14" i="121"/>
  <c r="V14" i="121"/>
  <c r="W14" i="121" s="1"/>
  <c r="V19" i="120" l="1"/>
  <c r="W19" i="120" s="1"/>
  <c r="X19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8" i="135" l="1"/>
  <c r="H17" i="135"/>
  <c r="J34" i="120" l="1"/>
  <c r="S18" i="135" l="1"/>
  <c r="T17" i="135"/>
  <c r="U17" i="135" s="1"/>
  <c r="S17" i="135" l="1"/>
  <c r="V17" i="135" s="1"/>
  <c r="T18" i="135"/>
  <c r="U18" i="135" s="1"/>
  <c r="V18" i="135" s="1"/>
  <c r="V34" i="120"/>
  <c r="W34" i="120" s="1"/>
  <c r="K10" i="124"/>
  <c r="L10" i="124" s="1"/>
  <c r="I31" i="121"/>
  <c r="H31" i="121"/>
  <c r="O10" i="124" l="1"/>
  <c r="M10" i="124"/>
  <c r="N10" i="124" s="1"/>
  <c r="P10" i="124" s="1"/>
  <c r="S10" i="124"/>
  <c r="Q10" i="124"/>
  <c r="U34" i="120"/>
  <c r="X34" i="120" s="1"/>
  <c r="K31" i="121"/>
  <c r="L31" i="121"/>
  <c r="R10" i="124" l="1"/>
  <c r="T10" i="124" s="1"/>
  <c r="M31" i="121"/>
  <c r="Q31" i="121"/>
  <c r="S31" i="121"/>
  <c r="N31" i="121" l="1"/>
  <c r="J33" i="121" l="1"/>
  <c r="F23" i="135" l="1"/>
  <c r="G23" i="135"/>
  <c r="V33" i="121" l="1"/>
  <c r="W33" i="121" s="1"/>
  <c r="U33" i="121"/>
  <c r="H16" i="135"/>
  <c r="J16" i="120"/>
  <c r="X33" i="121" l="1"/>
  <c r="J14" i="133"/>
  <c r="J12" i="133" l="1"/>
  <c r="J19" i="121" l="1"/>
  <c r="J15" i="120"/>
  <c r="J15" i="123" l="1"/>
  <c r="I16" i="123" l="1"/>
  <c r="O23" i="135" l="1"/>
  <c r="K23" i="135"/>
  <c r="I23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3" i="135" l="1"/>
  <c r="J23" i="135"/>
  <c r="J21" i="123"/>
  <c r="L23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3" i="131"/>
  <c r="K13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P13" i="131"/>
  <c r="L13" i="131"/>
  <c r="M13" i="131" s="1"/>
  <c r="N13" i="131"/>
  <c r="R13" i="131"/>
  <c r="R10" i="131"/>
  <c r="L10" i="131"/>
  <c r="M10" i="131" s="1"/>
  <c r="P10" i="131"/>
  <c r="N10" i="131"/>
  <c r="L15" i="131"/>
  <c r="M15" i="131" s="1"/>
  <c r="N15" i="131"/>
  <c r="P15" i="131"/>
  <c r="R15" i="131"/>
  <c r="J13" i="123"/>
  <c r="I38" i="120"/>
  <c r="G18" i="120"/>
  <c r="J11" i="132"/>
  <c r="O12" i="131" l="1"/>
  <c r="Q12" i="131" s="1"/>
  <c r="S12" i="131"/>
  <c r="O10" i="131"/>
  <c r="Q10" i="131" s="1"/>
  <c r="S10" i="131" s="1"/>
  <c r="O13" i="131"/>
  <c r="Q13" i="131" s="1"/>
  <c r="S13" i="131" s="1"/>
  <c r="O18" i="131"/>
  <c r="Q18" i="131" s="1"/>
  <c r="S18" i="131" s="1"/>
  <c r="O15" i="131"/>
  <c r="Q15" i="131" s="1"/>
  <c r="S15" i="131" s="1"/>
  <c r="O16" i="131"/>
  <c r="Q16" i="131" s="1"/>
  <c r="S16" i="131" s="1"/>
  <c r="O11" i="131"/>
  <c r="Q11" i="131" s="1"/>
  <c r="S11" i="131" s="1"/>
  <c r="O17" i="131"/>
  <c r="Q17" i="131" s="1"/>
  <c r="S17" i="131" s="1"/>
  <c r="J18" i="120"/>
  <c r="J35" i="120"/>
  <c r="J10" i="132"/>
  <c r="J12" i="132"/>
  <c r="I9" i="121" l="1"/>
  <c r="I29" i="119"/>
  <c r="H29" i="119"/>
  <c r="I20" i="123" l="1"/>
  <c r="J14" i="120"/>
  <c r="V33" i="123" l="1"/>
  <c r="W33" i="123" s="1"/>
  <c r="U33" i="123"/>
  <c r="J33" i="123"/>
  <c r="X33" i="123" l="1"/>
  <c r="J37" i="120" l="1"/>
  <c r="J10" i="121" l="1"/>
  <c r="I28" i="121" l="1"/>
  <c r="V10" i="120" l="1"/>
  <c r="W10" i="120" s="1"/>
  <c r="J10" i="120"/>
  <c r="G10" i="120"/>
  <c r="G11" i="121"/>
  <c r="J30" i="121"/>
  <c r="J36" i="120"/>
  <c r="G36" i="120"/>
  <c r="U10" i="120" l="1"/>
  <c r="X10" i="120" s="1"/>
  <c r="J11" i="121"/>
  <c r="G20" i="120"/>
  <c r="J20" i="120"/>
  <c r="J18" i="119" l="1"/>
  <c r="J14" i="119" l="1"/>
  <c r="J31" i="119" l="1"/>
  <c r="H28" i="121"/>
  <c r="H20" i="123"/>
  <c r="H16" i="123"/>
  <c r="H9" i="121" l="1"/>
  <c r="J29" i="121" l="1"/>
  <c r="J28" i="121" s="1"/>
  <c r="G17" i="120" l="1"/>
  <c r="J17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4" i="133" l="1"/>
  <c r="Q17" i="133"/>
  <c r="M17" i="133"/>
  <c r="K17" i="133"/>
  <c r="I17" i="133"/>
  <c r="U32" i="123" l="1"/>
  <c r="J32" i="123"/>
  <c r="G16" i="133"/>
  <c r="H17" i="133"/>
  <c r="N17" i="133" l="1"/>
  <c r="V32" i="123"/>
  <c r="J17" i="133"/>
  <c r="L17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5" i="119" l="1"/>
  <c r="I35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8" i="120"/>
  <c r="J12" i="120"/>
  <c r="J11" i="120"/>
  <c r="J37" i="121" l="1"/>
  <c r="L12" i="127"/>
  <c r="L12" i="124"/>
  <c r="H14" i="118"/>
  <c r="L35" i="123"/>
  <c r="L37" i="121"/>
  <c r="L14" i="118" l="1"/>
  <c r="K35" i="119" l="1"/>
  <c r="J30" i="119"/>
  <c r="J29" i="119" s="1"/>
  <c r="J16" i="119"/>
  <c r="J10" i="119"/>
  <c r="J15" i="119" l="1"/>
  <c r="J11" i="119"/>
  <c r="J9" i="119" s="1"/>
  <c r="J21" i="119"/>
  <c r="J20" i="119" s="1"/>
  <c r="J35" i="119" l="1"/>
  <c r="L35" i="119"/>
  <c r="O12" i="124" l="1"/>
  <c r="Q12" i="127"/>
  <c r="Q12" i="124"/>
  <c r="O12" i="127"/>
  <c r="S12" i="127"/>
  <c r="S14" i="135" l="1"/>
  <c r="S11" i="135"/>
  <c r="U21" i="123"/>
  <c r="T13" i="131"/>
  <c r="S12" i="135"/>
  <c r="V13" i="123"/>
  <c r="U18" i="131"/>
  <c r="V18" i="131" s="1"/>
  <c r="Q23" i="135"/>
  <c r="V10" i="124"/>
  <c r="W10" i="124" s="1"/>
  <c r="U10" i="124"/>
  <c r="S12" i="124"/>
  <c r="U22" i="123"/>
  <c r="V22" i="123"/>
  <c r="W22" i="123" s="1"/>
  <c r="V29" i="121"/>
  <c r="U29" i="121"/>
  <c r="U36" i="120"/>
  <c r="V36" i="120"/>
  <c r="W36" i="120" s="1"/>
  <c r="U12" i="133"/>
  <c r="V12" i="133"/>
  <c r="W12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4" i="133"/>
  <c r="W14" i="133" s="1"/>
  <c r="U14" i="133"/>
  <c r="V16" i="120"/>
  <c r="W16" i="120" s="1"/>
  <c r="U16" i="120"/>
  <c r="V20" i="120"/>
  <c r="W20" i="120" s="1"/>
  <c r="V35" i="120"/>
  <c r="W35" i="120" s="1"/>
  <c r="T15" i="131"/>
  <c r="U17" i="123"/>
  <c r="V17" i="123"/>
  <c r="W17" i="123" s="1"/>
  <c r="U37" i="120"/>
  <c r="V37" i="120"/>
  <c r="W37" i="120" s="1"/>
  <c r="V15" i="120"/>
  <c r="W15" i="120" s="1"/>
  <c r="U15" i="120"/>
  <c r="T16" i="135"/>
  <c r="U16" i="135" s="1"/>
  <c r="S16" i="135"/>
  <c r="U18" i="120"/>
  <c r="V18" i="120"/>
  <c r="W18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3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1" i="119"/>
  <c r="W31" i="119" s="1"/>
  <c r="U31" i="119"/>
  <c r="U10" i="121"/>
  <c r="V10" i="121"/>
  <c r="W10" i="121" s="1"/>
  <c r="V12" i="132"/>
  <c r="W12" i="132" s="1"/>
  <c r="U12" i="132"/>
  <c r="U13" i="132"/>
  <c r="V13" i="132"/>
  <c r="W13" i="132" s="1"/>
  <c r="O31" i="121"/>
  <c r="O37" i="121" s="1"/>
  <c r="V26" i="121"/>
  <c r="W26" i="121" s="1"/>
  <c r="U26" i="121"/>
  <c r="V10" i="132"/>
  <c r="W10" i="132" s="1"/>
  <c r="U10" i="132"/>
  <c r="U19" i="121"/>
  <c r="V19" i="121"/>
  <c r="W19" i="121" s="1"/>
  <c r="V11" i="121"/>
  <c r="W11" i="121" s="1"/>
  <c r="U11" i="121"/>
  <c r="V11" i="132"/>
  <c r="W11" i="132" s="1"/>
  <c r="U11" i="132"/>
  <c r="S17" i="133"/>
  <c r="V31" i="123"/>
  <c r="U31" i="123"/>
  <c r="U11" i="118"/>
  <c r="O17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8" i="120"/>
  <c r="O35" i="123"/>
  <c r="S35" i="119"/>
  <c r="S35" i="123"/>
  <c r="Q37" i="121"/>
  <c r="M38" i="120"/>
  <c r="M35" i="123"/>
  <c r="S14" i="118"/>
  <c r="O35" i="119"/>
  <c r="Q14" i="118"/>
  <c r="V12" i="120"/>
  <c r="W12" i="120" s="1"/>
  <c r="M12" i="127"/>
  <c r="M12" i="124"/>
  <c r="Q35" i="123"/>
  <c r="S37" i="121"/>
  <c r="M35" i="119"/>
  <c r="Q35" i="119"/>
  <c r="O14" i="118"/>
  <c r="M14" i="118"/>
  <c r="M37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23"/>
  <c r="W10" i="123" s="1"/>
  <c r="X10" i="123" s="1"/>
  <c r="T18" i="131"/>
  <c r="W18" i="131" s="1"/>
  <c r="T12" i="135"/>
  <c r="U12" i="135" s="1"/>
  <c r="V12" i="135" s="1"/>
  <c r="X37" i="120"/>
  <c r="T11" i="135"/>
  <c r="U11" i="135" s="1"/>
  <c r="V11" i="135" s="1"/>
  <c r="U20" i="120"/>
  <c r="X20" i="120" s="1"/>
  <c r="X17" i="123"/>
  <c r="U35" i="120"/>
  <c r="X35" i="120" s="1"/>
  <c r="T12" i="131"/>
  <c r="W12" i="131" s="1"/>
  <c r="X10" i="124"/>
  <c r="X12" i="133"/>
  <c r="X36" i="120"/>
  <c r="X22" i="123"/>
  <c r="X11" i="121"/>
  <c r="X26" i="121"/>
  <c r="X10" i="121"/>
  <c r="W16" i="131"/>
  <c r="W10" i="131"/>
  <c r="X17" i="120"/>
  <c r="W11" i="131"/>
  <c r="X14" i="133"/>
  <c r="X30" i="121"/>
  <c r="X29" i="123"/>
  <c r="X16" i="119"/>
  <c r="U28" i="121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X18" i="120"/>
  <c r="U14" i="123"/>
  <c r="U20" i="123"/>
  <c r="V16" i="135"/>
  <c r="W15" i="123"/>
  <c r="W14" i="123" s="1"/>
  <c r="V14" i="123"/>
  <c r="N23" i="135"/>
  <c r="V14" i="135"/>
  <c r="V13" i="135"/>
  <c r="X11" i="132"/>
  <c r="X10" i="132"/>
  <c r="X12" i="132"/>
  <c r="X31" i="119"/>
  <c r="P31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7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N35" i="119"/>
  <c r="U21" i="119"/>
  <c r="U20" i="119" s="1"/>
  <c r="V21" i="119"/>
  <c r="U15" i="119"/>
  <c r="N37" i="121"/>
  <c r="N12" i="127"/>
  <c r="U30" i="119"/>
  <c r="U29" i="119" s="1"/>
  <c r="V30" i="119"/>
  <c r="V29" i="119" s="1"/>
  <c r="N14" i="118"/>
  <c r="N12" i="124"/>
  <c r="U35" i="121"/>
  <c r="U34" i="121" s="1"/>
  <c r="V35" i="121"/>
  <c r="V20" i="123" l="1"/>
  <c r="X29" i="121"/>
  <c r="X28" i="121" s="1"/>
  <c r="X21" i="123"/>
  <c r="X20" i="123" s="1"/>
  <c r="X15" i="123"/>
  <c r="X14" i="123" s="1"/>
  <c r="P23" i="135"/>
  <c r="X13" i="123"/>
  <c r="X12" i="123" s="1"/>
  <c r="X16" i="123"/>
  <c r="R31" i="121"/>
  <c r="W9" i="121"/>
  <c r="W11" i="120"/>
  <c r="X9" i="121"/>
  <c r="U11" i="120"/>
  <c r="R17" i="133"/>
  <c r="X31" i="123"/>
  <c r="X30" i="123" s="1"/>
  <c r="X28" i="123"/>
  <c r="U13" i="119"/>
  <c r="W17" i="119"/>
  <c r="T15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7" i="121"/>
  <c r="P35" i="123"/>
  <c r="P35" i="119"/>
  <c r="T9" i="135" l="1"/>
  <c r="S9" i="135"/>
  <c r="R23" i="135"/>
  <c r="T31" i="121"/>
  <c r="V32" i="121"/>
  <c r="U32" i="121"/>
  <c r="X11" i="120"/>
  <c r="T17" i="133"/>
  <c r="X17" i="119"/>
  <c r="X35" i="121"/>
  <c r="X34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7" i="121"/>
  <c r="R35" i="123"/>
  <c r="R12" i="127"/>
  <c r="R14" i="118"/>
  <c r="R35" i="119"/>
  <c r="R12" i="124"/>
  <c r="S23" i="135" l="1"/>
  <c r="T23" i="135"/>
  <c r="U9" i="135"/>
  <c r="U23" i="135" s="1"/>
  <c r="V31" i="121"/>
  <c r="V37" i="121" s="1"/>
  <c r="W32" i="121"/>
  <c r="W31" i="121" s="1"/>
  <c r="U31" i="121"/>
  <c r="U37" i="121" s="1"/>
  <c r="W17" i="133"/>
  <c r="V17" i="133"/>
  <c r="U17" i="133"/>
  <c r="X15" i="132"/>
  <c r="V20" i="131"/>
  <c r="U20" i="131"/>
  <c r="T20" i="131"/>
  <c r="U10" i="127"/>
  <c r="V10" i="127"/>
  <c r="T12" i="127"/>
  <c r="V10" i="119"/>
  <c r="V9" i="119" s="1"/>
  <c r="V35" i="119" s="1"/>
  <c r="T35" i="119"/>
  <c r="U10" i="119"/>
  <c r="U9" i="119" s="1"/>
  <c r="U35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3" i="135" s="1"/>
  <c r="X32" i="121"/>
  <c r="X31" i="121" s="1"/>
  <c r="X17" i="133"/>
  <c r="W20" i="131"/>
  <c r="W37" i="121"/>
  <c r="V12" i="124"/>
  <c r="W12" i="124"/>
  <c r="U12" i="127"/>
  <c r="V12" i="127"/>
  <c r="W10" i="127"/>
  <c r="W12" i="127" s="1"/>
  <c r="U12" i="124"/>
  <c r="W10" i="119"/>
  <c r="W9" i="119" s="1"/>
  <c r="W35" i="119" s="1"/>
  <c r="W9" i="123"/>
  <c r="W35" i="123" s="1"/>
  <c r="W10" i="118"/>
  <c r="W14" i="118" s="1"/>
  <c r="X12" i="124" l="1"/>
  <c r="X37" i="121"/>
  <c r="X10" i="127"/>
  <c r="X12" i="127" s="1"/>
  <c r="X10" i="119"/>
  <c r="X9" i="119" s="1"/>
  <c r="X35" i="119" s="1"/>
  <c r="X9" i="123"/>
  <c r="X35" i="123" s="1"/>
  <c r="X10" i="118"/>
  <c r="X14" i="118" s="1"/>
  <c r="H38" i="120"/>
  <c r="G9" i="120"/>
  <c r="S38" i="120" l="1"/>
  <c r="O38" i="120"/>
  <c r="L38" i="120"/>
  <c r="N38" i="120"/>
  <c r="J38" i="120"/>
  <c r="P38" i="120" l="1"/>
  <c r="R38" i="120" l="1"/>
  <c r="T38" i="120" l="1"/>
  <c r="U38" i="120" l="1"/>
  <c r="W38" i="120"/>
  <c r="V38" i="120" l="1"/>
  <c r="X38" i="120"/>
</calcChain>
</file>

<file path=xl/sharedStrings.xml><?xml version="1.0" encoding="utf-8"?>
<sst xmlns="http://schemas.openxmlformats.org/spreadsheetml/2006/main" count="1322" uniqueCount="392">
  <si>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</si>
  <si>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</si>
  <si>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</si>
  <si>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</si>
  <si>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</si>
  <si>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</si>
  <si>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</si>
  <si>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</si>
  <si>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</si>
  <si>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</si>
  <si>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</si>
  <si>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</si>
  <si>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</si>
  <si>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</si>
  <si>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</si>
  <si>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</si>
  <si>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</si>
  <si>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</si>
  <si>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</si>
  <si>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</si>
  <si>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</si>
  <si>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</si>
  <si>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</si>
  <si>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</si>
  <si>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</si>
  <si>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</si>
  <si>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</si>
  <si>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</si>
  <si>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</si>
  <si>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</si>
  <si>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</si>
  <si>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</si>
  <si>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</si>
  <si>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</si>
  <si>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</si>
  <si>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</si>
  <si>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</si>
  <si>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</si>
  <si>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</si>
  <si>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</si>
  <si>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</si>
  <si>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</si>
  <si>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</si>
  <si>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</si>
  <si>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</si>
  <si>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</si>
  <si>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</si>
  <si>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</si>
  <si>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</si>
  <si>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</si>
  <si>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</si>
  <si>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</si>
  <si>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</si>
  <si>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</si>
  <si>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</si>
  <si>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</si>
  <si>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</si>
  <si>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</si>
  <si>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</si>
  <si>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</si>
  <si>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</si>
  <si>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</si>
  <si>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</si>
  <si>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</si>
  <si>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</si>
  <si>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</si>
  <si>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</si>
  <si>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</si>
  <si>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</si>
  <si>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</si>
  <si>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</si>
  <si>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</si>
  <si>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</si>
  <si>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</si>
  <si>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</si>
  <si>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</si>
  <si>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</si>
  <si>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</si>
  <si>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</si>
  <si>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</si>
  <si>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</si>
  <si>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</si>
  <si>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</si>
  <si>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</si>
  <si>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</si>
  <si>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</si>
  <si>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</si>
  <si>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</si>
  <si>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</si>
  <si>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</si>
  <si>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</si>
  <si>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</si>
  <si>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</si>
  <si>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</si>
  <si>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</si>
  <si>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</si>
  <si>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</si>
  <si>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</si>
  <si>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</si>
  <si>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</si>
  <si>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</si>
  <si>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</si>
  <si>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</si>
  <si>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</si>
  <si>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</si>
  <si>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</si>
  <si>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</si>
  <si>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</si>
  <si>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</si>
  <si>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</si>
  <si>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</si>
  <si>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</si>
  <si>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</si>
  <si>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</si>
  <si>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</si>
  <si>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</si>
  <si>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</si>
  <si>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</si>
  <si>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</si>
  <si>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</si>
  <si>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</si>
  <si>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</si>
  <si>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</si>
  <si>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</si>
  <si>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</si>
  <si>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</si>
  <si>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</si>
  <si>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</si>
  <si>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</si>
  <si>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</si>
  <si>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</si>
  <si>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</si>
  <si>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</si>
  <si>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</si>
  <si>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</si>
  <si>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</si>
  <si>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</si>
  <si>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</si>
  <si>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</si>
  <si>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</si>
  <si>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</si>
  <si>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</si>
  <si>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</si>
  <si>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</si>
  <si>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</si>
  <si>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</si>
  <si>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</si>
  <si>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</si>
  <si>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</si>
  <si>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</si>
  <si>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</si>
  <si>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</si>
  <si>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</si>
  <si>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</si>
  <si>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</si>
  <si>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</si>
  <si>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</si>
  <si>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</si>
  <si>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</si>
  <si>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</si>
  <si>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</si>
  <si>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</si>
  <si>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</si>
  <si>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</si>
  <si>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</si>
  <si>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</si>
  <si>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</si>
  <si>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</si>
  <si>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</si>
  <si>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</si>
  <si>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</si>
  <si>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</si>
  <si>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</si>
  <si>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</si>
  <si>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</si>
  <si>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</si>
  <si>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</si>
  <si>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</si>
  <si>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</si>
  <si>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</si>
  <si>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</si>
  <si>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</si>
  <si>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</si>
  <si>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</si>
  <si>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</si>
  <si>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</si>
  <si>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</si>
  <si>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</si>
  <si>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</si>
  <si>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</si>
  <si>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</si>
  <si>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</si>
  <si>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</si>
  <si>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</si>
  <si>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</si>
  <si>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</si>
  <si>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</si>
  <si>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</si>
  <si>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</si>
  <si>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</si>
  <si>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</si>
  <si>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</si>
  <si>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</si>
  <si>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</si>
  <si>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</si>
  <si>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</si>
  <si>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</si>
  <si>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</si>
  <si>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</si>
  <si>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</si>
  <si>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</si>
  <si>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</si>
  <si>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</si>
  <si>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</si>
  <si>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</si>
  <si>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</si>
  <si>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</si>
  <si>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</si>
  <si>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</si>
  <si>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</si>
  <si>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</si>
  <si>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</si>
  <si>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</si>
  <si>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</si>
  <si>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</si>
  <si>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</si>
  <si>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</si>
  <si>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</si>
  <si>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</si>
  <si>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</si>
  <si>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</si>
  <si>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</si>
  <si>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</si>
  <si>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</si>
  <si>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</si>
  <si>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</si>
  <si>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</si>
  <si>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</si>
  <si>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</si>
  <si>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</si>
  <si>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</si>
  <si>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</si>
  <si>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</si>
  <si>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</si>
  <si>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</si>
  <si>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</si>
  <si>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</si>
  <si>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</si>
  <si>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</si>
  <si>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</si>
  <si>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</si>
  <si>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</si>
  <si>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</si>
  <si>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</si>
  <si>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</si>
  <si>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</si>
  <si>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</si>
  <si>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</si>
  <si>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</si>
  <si>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</si>
  <si>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</si>
  <si>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</si>
  <si>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</si>
  <si>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</si>
  <si>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</si>
  <si>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</si>
  <si>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</si>
  <si>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</si>
  <si>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</si>
  <si>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</si>
  <si>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</si>
  <si>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</si>
  <si>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</si>
  <si>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</si>
  <si>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</si>
  <si>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</si>
  <si>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</si>
  <si>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</si>
  <si>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</si>
  <si>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</si>
  <si>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</si>
  <si>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</si>
  <si>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</si>
  <si>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</si>
  <si>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</si>
  <si>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</si>
  <si>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</si>
  <si>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</si>
  <si>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</si>
  <si>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</si>
  <si>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</si>
  <si>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</si>
  <si>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</si>
  <si>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</si>
  <si>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</si>
  <si>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</si>
  <si>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</si>
  <si>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</si>
  <si>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</si>
  <si>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</si>
  <si>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</si>
  <si>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</si>
  <si>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</si>
  <si>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</si>
  <si>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</si>
  <si>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</si>
  <si>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</si>
  <si>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</si>
  <si>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</si>
  <si>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</si>
  <si>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</si>
  <si>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</si>
  <si>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</si>
  <si>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</si>
  <si>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</si>
  <si>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</si>
  <si>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</si>
  <si>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</si>
  <si>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</si>
  <si>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</si>
  <si>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</si>
  <si>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</si>
  <si>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</si>
  <si>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</si>
  <si>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</si>
  <si>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</si>
  <si>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</si>
  <si>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</si>
  <si>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</si>
  <si>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</si>
  <si>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</si>
  <si>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</si>
  <si>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</si>
  <si>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</si>
  <si>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</si>
  <si>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</si>
  <si>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</si>
  <si>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</si>
  <si>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</si>
  <si>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</si>
  <si>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</si>
  <si>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</si>
  <si>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</si>
  <si>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</si>
  <si>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</si>
  <si>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</si>
  <si>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</si>
  <si>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</si>
  <si>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</si>
  <si>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</si>
  <si>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</si>
  <si>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</si>
  <si>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</si>
  <si>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</si>
  <si>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</si>
  <si>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243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</si>
  <si>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</si>
  <si>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</si>
  <si>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</si>
  <si>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</si>
  <si>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</si>
  <si>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</si>
  <si>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</si>
  <si>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</si>
  <si>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</si>
  <si>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</si>
  <si>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</si>
  <si>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</si>
  <si>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</si>
  <si>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</si>
  <si>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</si>
  <si>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</si>
  <si>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</si>
  <si>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</si>
  <si>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</si>
  <si>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</si>
  <si>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</si>
  <si>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</si>
  <si>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</si>
  <si>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</si>
  <si>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</si>
  <si>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</si>
  <si>
    <t>258</t>
  </si>
  <si>
    <t>259</t>
  </si>
  <si>
    <t>MEDICO MUNICIPAL</t>
  </si>
  <si>
    <t>LUIS EDUARDO SEDANO ORTIZ</t>
  </si>
  <si>
    <t>SUELDO  DEL 01 AL 15 DE FEBRERO DE 2021</t>
  </si>
  <si>
    <r>
      <t>o</t>
    </r>
    <r>
      <rPr>
        <b/>
        <sz val="10"/>
        <color indexed="10"/>
        <rFont val="Arial"/>
        <family val="2"/>
      </rPr>
      <t xml:space="preserve"> (A Favor)</t>
    </r>
  </si>
  <si>
    <t xml:space="preserve">                                                           ___________________________________________</t>
  </si>
  <si>
    <t xml:space="preserve">                                      _________________________________________</t>
  </si>
  <si>
    <t xml:space="preserve">                                                 PRESIDENTE MUNICIPAL</t>
  </si>
  <si>
    <t xml:space="preserve">                                   ENC. DE LA HACIENDA MPAL.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</si>
</sst>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63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43" fontId="32" fillId="0" borderId="4" xfId="2" applyFont="1" applyBorder="1" applyAlignment="1" applyProtection="1">
      <alignment horizontal="right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33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2" fillId="0" borderId="1" xfId="2" applyFont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2" xfId="0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28575</xdr:rowOff>
    </xdr:from>
    <xdr:to>
      <xdr:col>4</xdr:col>
      <xdr:colOff>1618219</xdr:colOff>
      <xdr:row>4</xdr:row>
      <xdr:rowOff>72118</xdr:rowOff>
    </xdr:to>
    <xdr:pic>
      <xdr:nvPicPr>
        <xdr:cNvPr id="5" name="1 Imagen" descr="140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3" t="s">
        <v>374</v>
      </c>
    </row>
    <row r="3" spans="1:9" x14ac:dyDescent="0.2">
      <c r="B3" s="8" t="s">
        <v>49</v>
      </c>
      <c r="C3" s="7"/>
      <c r="D3" s="7"/>
      <c r="E3" s="7"/>
      <c r="F3" s="7"/>
      <c r="G3" s="7"/>
      <c r="I3" s="292">
        <v>141.69999999999999</v>
      </c>
    </row>
    <row r="4" spans="1:9" x14ac:dyDescent="0.2">
      <c r="B4" s="19" t="s">
        <v>372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14" t="s">
        <v>11</v>
      </c>
      <c r="C7" s="314"/>
      <c r="D7" s="314"/>
      <c r="E7" s="7"/>
      <c r="F7" s="307" t="s">
        <v>50</v>
      </c>
      <c r="G7" s="308"/>
      <c r="I7" s="293" t="s">
        <v>375</v>
      </c>
    </row>
    <row r="8" spans="1:9" ht="14.25" customHeight="1" x14ac:dyDescent="0.2">
      <c r="B8" s="311" t="s">
        <v>10</v>
      </c>
      <c r="C8" s="311"/>
      <c r="D8" s="311"/>
      <c r="E8" s="7"/>
      <c r="F8" s="312" t="s">
        <v>51</v>
      </c>
      <c r="G8" s="313"/>
      <c r="I8" s="292">
        <v>89.62</v>
      </c>
    </row>
    <row r="9" spans="1:9" ht="8.25" customHeight="1" x14ac:dyDescent="0.2">
      <c r="B9" s="315"/>
      <c r="C9" s="315"/>
      <c r="D9" s="315"/>
      <c r="E9" s="7"/>
      <c r="F9" s="309"/>
      <c r="G9" s="31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373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7" t="s">
        <v>55</v>
      </c>
      <c r="G32" s="308"/>
    </row>
    <row r="33" spans="2:7" x14ac:dyDescent="0.2">
      <c r="E33" s="7"/>
      <c r="F33" s="312" t="s">
        <v>56</v>
      </c>
      <c r="G33" s="313"/>
    </row>
    <row r="34" spans="2:7" ht="5.25" customHeight="1" x14ac:dyDescent="0.2">
      <c r="E34" s="7"/>
      <c r="F34" s="309"/>
      <c r="G34" s="310"/>
    </row>
    <row r="35" spans="2:7" x14ac:dyDescent="0.2">
      <c r="B35" s="314" t="s">
        <v>11</v>
      </c>
      <c r="C35" s="314"/>
      <c r="D35" s="314"/>
      <c r="E35" s="7"/>
      <c r="F35" s="9" t="s">
        <v>17</v>
      </c>
      <c r="G35" s="9" t="s">
        <v>18</v>
      </c>
    </row>
    <row r="36" spans="2:7" x14ac:dyDescent="0.2">
      <c r="B36" s="311" t="s">
        <v>10</v>
      </c>
      <c r="C36" s="311"/>
      <c r="D36" s="311"/>
      <c r="E36" s="7"/>
      <c r="F36" s="9"/>
      <c r="G36" s="9" t="s">
        <v>19</v>
      </c>
    </row>
    <row r="37" spans="2:7" x14ac:dyDescent="0.2">
      <c r="B37" s="315"/>
      <c r="C37" s="315"/>
      <c r="D37" s="315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30" t="s">
        <v>1</v>
      </c>
      <c r="I6" s="331"/>
      <c r="J6" s="332"/>
      <c r="K6" s="24" t="s">
        <v>26</v>
      </c>
      <c r="L6" s="25"/>
      <c r="M6" s="333" t="s">
        <v>9</v>
      </c>
      <c r="N6" s="334"/>
      <c r="O6" s="334"/>
      <c r="P6" s="334"/>
      <c r="Q6" s="334"/>
      <c r="R6" s="335"/>
      <c r="S6" s="24" t="s">
        <v>30</v>
      </c>
      <c r="T6" s="24" t="s">
        <v>10</v>
      </c>
      <c r="U6" s="23" t="s">
        <v>54</v>
      </c>
      <c r="V6" s="336" t="s">
        <v>2</v>
      </c>
      <c r="W6" s="337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29" t="s">
        <v>85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0"/>
    </row>
    <row r="10" spans="1:25" s="186" customFormat="1" ht="88.5" customHeight="1" x14ac:dyDescent="0.2">
      <c r="A10" s="60" t="s">
        <v>99</v>
      </c>
      <c r="B10" s="136" t="s">
        <v>268</v>
      </c>
      <c r="C10" s="62" t="s">
        <v>142</v>
      </c>
      <c r="D10" s="164" t="s">
        <v>220</v>
      </c>
      <c r="E10" s="164" t="s">
        <v>63</v>
      </c>
      <c r="F10" s="165">
        <v>15</v>
      </c>
      <c r="G10" s="166">
        <f>H10/F10</f>
        <v>933.73333333333335</v>
      </c>
      <c r="H10" s="167">
        <v>14006</v>
      </c>
      <c r="I10" s="168">
        <v>0</v>
      </c>
      <c r="J10" s="169">
        <f>SUM(H10:I10)</f>
        <v>14006</v>
      </c>
      <c r="K10" s="170">
        <f>I10/2</f>
        <v>0</v>
      </c>
      <c r="L10" s="170">
        <f>H10+K10</f>
        <v>14006</v>
      </c>
      <c r="M10" s="170">
        <f t="shared" ref="M10" si="0">VLOOKUP(L10,Tarifa1,1)</f>
        <v>13316.71</v>
      </c>
      <c r="N10" s="170">
        <f>L10-M10</f>
        <v>689.29000000000087</v>
      </c>
      <c r="O10" s="171">
        <f t="shared" ref="O10" si="1">VLOOKUP(L10,Tarifa1,3)</f>
        <v>0.23519999999999999</v>
      </c>
      <c r="P10" s="170">
        <f>N10*O10</f>
        <v>162.12100800000019</v>
      </c>
      <c r="Q10" s="172">
        <f t="shared" ref="Q10" si="2">VLOOKUP(L10,Tarifa1,2)</f>
        <v>2133.3000000000002</v>
      </c>
      <c r="R10" s="170">
        <f>P10+Q10</f>
        <v>2295.4210080000003</v>
      </c>
      <c r="S10" s="170">
        <f t="shared" ref="S10" si="3">VLOOKUP(L10,Credito1,2)</f>
        <v>0</v>
      </c>
      <c r="T10" s="170">
        <f>R10-S10</f>
        <v>2295.4210080000003</v>
      </c>
      <c r="U10" s="169">
        <f>-IF(T10&gt;0,0,T10)</f>
        <v>0</v>
      </c>
      <c r="V10" s="169">
        <f>IF(T10&lt;0,0,T10)</f>
        <v>2295.4210080000003</v>
      </c>
      <c r="W10" s="169">
        <f>SUM(V10:V10)</f>
        <v>2295.4210080000003</v>
      </c>
      <c r="X10" s="169">
        <f>J10+U10-W10</f>
        <v>11710.578991999999</v>
      </c>
      <c r="Y10" s="185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16" t="s">
        <v>45</v>
      </c>
      <c r="B12" s="317"/>
      <c r="C12" s="317"/>
      <c r="D12" s="317"/>
      <c r="E12" s="317"/>
      <c r="F12" s="317"/>
      <c r="G12" s="318"/>
      <c r="H12" s="39">
        <f t="shared" ref="H12:X12" si="4">SUM(H10:H11)</f>
        <v>14006</v>
      </c>
      <c r="I12" s="39">
        <f t="shared" si="4"/>
        <v>0</v>
      </c>
      <c r="J12" s="39">
        <f t="shared" si="4"/>
        <v>14006</v>
      </c>
      <c r="K12" s="40">
        <f t="shared" si="4"/>
        <v>0</v>
      </c>
      <c r="L12" s="40">
        <f t="shared" si="4"/>
        <v>14006</v>
      </c>
      <c r="M12" s="40">
        <f t="shared" si="4"/>
        <v>13316.71</v>
      </c>
      <c r="N12" s="40">
        <f t="shared" si="4"/>
        <v>689.29000000000087</v>
      </c>
      <c r="O12" s="40">
        <f t="shared" si="4"/>
        <v>0.23519999999999999</v>
      </c>
      <c r="P12" s="40">
        <f t="shared" si="4"/>
        <v>162.12100800000019</v>
      </c>
      <c r="Q12" s="40">
        <f t="shared" si="4"/>
        <v>2133.3000000000002</v>
      </c>
      <c r="R12" s="40">
        <f t="shared" si="4"/>
        <v>2295.4210080000003</v>
      </c>
      <c r="S12" s="40">
        <f t="shared" si="4"/>
        <v>0</v>
      </c>
      <c r="T12" s="40">
        <f t="shared" si="4"/>
        <v>2295.4210080000003</v>
      </c>
      <c r="U12" s="39">
        <f t="shared" si="4"/>
        <v>0</v>
      </c>
      <c r="V12" s="39">
        <f t="shared" si="4"/>
        <v>2295.4210080000003</v>
      </c>
      <c r="W12" s="39">
        <f t="shared" si="4"/>
        <v>2295.4210080000003</v>
      </c>
      <c r="X12" s="39">
        <f t="shared" si="4"/>
        <v>11710.578991999999</v>
      </c>
    </row>
    <row r="13" spans="1:25" ht="13.5" thickTop="1" x14ac:dyDescent="0.2"/>
    <row r="23" spans="4:37" ht="14.25" x14ac:dyDescent="0.2">
      <c r="D23" s="186" t="s">
        <v>279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 t="s">
        <v>280</v>
      </c>
      <c r="W23" s="186"/>
      <c r="X23" s="186"/>
      <c r="Y23" s="186"/>
    </row>
    <row r="24" spans="4:37" ht="15" x14ac:dyDescent="0.25">
      <c r="D24" s="191" t="s">
        <v>226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91" t="s">
        <v>241</v>
      </c>
      <c r="W24" s="186"/>
      <c r="X24" s="186"/>
      <c r="Y24" s="186"/>
    </row>
    <row r="25" spans="4:37" ht="15" x14ac:dyDescent="0.25">
      <c r="D25" s="191" t="s">
        <v>281</v>
      </c>
      <c r="E25" s="191"/>
      <c r="F25" s="191"/>
      <c r="G25" s="191"/>
      <c r="H25" s="191"/>
      <c r="I25" s="191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91" t="s">
        <v>97</v>
      </c>
      <c r="W25" s="191"/>
      <c r="X25" s="191"/>
      <c r="Y25" s="191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30" t="s">
        <v>1</v>
      </c>
      <c r="I6" s="331"/>
      <c r="J6" s="332"/>
      <c r="K6" s="24" t="s">
        <v>26</v>
      </c>
      <c r="L6" s="25"/>
      <c r="M6" s="333" t="s">
        <v>9</v>
      </c>
      <c r="N6" s="334"/>
      <c r="O6" s="334"/>
      <c r="P6" s="334"/>
      <c r="Q6" s="334"/>
      <c r="R6" s="335"/>
      <c r="S6" s="24" t="s">
        <v>30</v>
      </c>
      <c r="T6" s="24" t="s">
        <v>10</v>
      </c>
      <c r="U6" s="23" t="s">
        <v>54</v>
      </c>
      <c r="V6" s="336" t="s">
        <v>2</v>
      </c>
      <c r="W6" s="337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144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100</v>
      </c>
      <c r="B10" s="62" t="s">
        <v>146</v>
      </c>
      <c r="C10" s="62" t="s">
        <v>142</v>
      </c>
      <c r="D10" s="174" t="s">
        <v>147</v>
      </c>
      <c r="E10" s="164" t="s">
        <v>145</v>
      </c>
      <c r="F10" s="165">
        <v>15</v>
      </c>
      <c r="G10" s="166">
        <f>H10/F10</f>
        <v>250.4</v>
      </c>
      <c r="H10" s="167">
        <v>3756</v>
      </c>
      <c r="I10" s="168">
        <v>0</v>
      </c>
      <c r="J10" s="169">
        <f>SUM(H10:I10)</f>
        <v>3756</v>
      </c>
      <c r="K10" s="170">
        <f>IF(H10/15&lt;=SMG,0,I10/2)</f>
        <v>0</v>
      </c>
      <c r="L10" s="170">
        <f t="shared" ref="L10" si="0">H10+K10</f>
        <v>3756</v>
      </c>
      <c r="M10" s="170">
        <f>VLOOKUP(L10,Tarifa1,1)</f>
        <v>2699.41</v>
      </c>
      <c r="N10" s="170">
        <f t="shared" ref="N10" si="1">L10-M10</f>
        <v>1056.5900000000001</v>
      </c>
      <c r="O10" s="171">
        <f>VLOOKUP(L10,Tarifa1,3)</f>
        <v>0.10879999999999999</v>
      </c>
      <c r="P10" s="170">
        <f t="shared" ref="P10" si="2">N10*O10</f>
        <v>114.95699200000001</v>
      </c>
      <c r="Q10" s="172">
        <f>VLOOKUP(L10,Tarifa1,2)</f>
        <v>158.55000000000001</v>
      </c>
      <c r="R10" s="170">
        <f t="shared" ref="R10" si="3">P10+Q10</f>
        <v>273.50699200000003</v>
      </c>
      <c r="S10" s="291">
        <f>VLOOKUP(L10,Credito1,2)</f>
        <v>0</v>
      </c>
      <c r="T10" s="170">
        <f t="shared" ref="T10" si="4">ROUND(R10-S10,2)</f>
        <v>273.51</v>
      </c>
      <c r="U10" s="169">
        <f>-IF(T10&gt;0,0,T10)</f>
        <v>0</v>
      </c>
      <c r="V10" s="173">
        <f>IF(T10&lt;0,0,T10)</f>
        <v>273.51</v>
      </c>
      <c r="W10" s="169">
        <f>SUM(V10:V10)</f>
        <v>273.51</v>
      </c>
      <c r="X10" s="169">
        <f>J10+U10-W10</f>
        <v>3482.49</v>
      </c>
      <c r="Y10" s="185"/>
    </row>
    <row r="11" spans="1:25" s="186" customFormat="1" ht="69.95" customHeight="1" x14ac:dyDescent="0.2">
      <c r="A11" s="60" t="s">
        <v>101</v>
      </c>
      <c r="B11" s="62" t="s">
        <v>148</v>
      </c>
      <c r="C11" s="62" t="s">
        <v>142</v>
      </c>
      <c r="D11" s="174" t="s">
        <v>149</v>
      </c>
      <c r="E11" s="164" t="s">
        <v>145</v>
      </c>
      <c r="F11" s="165">
        <v>7</v>
      </c>
      <c r="G11" s="166">
        <v>208.2</v>
      </c>
      <c r="H11" s="167">
        <v>3756</v>
      </c>
      <c r="I11" s="168">
        <v>0</v>
      </c>
      <c r="J11" s="169">
        <f>SUM(H11:I11)</f>
        <v>3756</v>
      </c>
      <c r="K11" s="170">
        <f>IF(H11/15&lt;=SMG,0,I11/2)</f>
        <v>0</v>
      </c>
      <c r="L11" s="170">
        <f t="shared" ref="L11:L13" si="5">H11+K11</f>
        <v>3756</v>
      </c>
      <c r="M11" s="170">
        <f>VLOOKUP(L11,Tarifa1,1)</f>
        <v>2699.41</v>
      </c>
      <c r="N11" s="170">
        <f t="shared" ref="N11:N13" si="6">L11-M11</f>
        <v>1056.5900000000001</v>
      </c>
      <c r="O11" s="171">
        <f>VLOOKUP(L11,Tarifa1,3)</f>
        <v>0.10879999999999999</v>
      </c>
      <c r="P11" s="170">
        <f t="shared" ref="P11:P13" si="7">N11*O11</f>
        <v>114.95699200000001</v>
      </c>
      <c r="Q11" s="172">
        <f>VLOOKUP(L11,Tarifa1,2)</f>
        <v>158.55000000000001</v>
      </c>
      <c r="R11" s="170">
        <f t="shared" ref="R11:R13" si="8">P11+Q11</f>
        <v>273.50699200000003</v>
      </c>
      <c r="S11" s="291">
        <f>VLOOKUP(L11,Credito1,2)</f>
        <v>0</v>
      </c>
      <c r="T11" s="170">
        <f t="shared" ref="T11:T13" si="9">ROUND(R11-S11,2)</f>
        <v>273.51</v>
      </c>
      <c r="U11" s="169">
        <f>-IF(T11&gt;0,0,T11)</f>
        <v>0</v>
      </c>
      <c r="V11" s="173">
        <f>IF(T11&lt;0,0,T11)</f>
        <v>273.51</v>
      </c>
      <c r="W11" s="169">
        <f>SUM(V11:V11)</f>
        <v>273.51</v>
      </c>
      <c r="X11" s="169">
        <f>J11+U11-W11</f>
        <v>3482.49</v>
      </c>
      <c r="Y11" s="185"/>
    </row>
    <row r="12" spans="1:25" s="186" customFormat="1" ht="69.95" customHeight="1" x14ac:dyDescent="0.2">
      <c r="A12" s="123"/>
      <c r="B12" s="208" t="s">
        <v>272</v>
      </c>
      <c r="C12" s="62" t="s">
        <v>142</v>
      </c>
      <c r="D12" s="209" t="s">
        <v>222</v>
      </c>
      <c r="E12" s="164" t="s">
        <v>145</v>
      </c>
      <c r="F12" s="165">
        <v>7</v>
      </c>
      <c r="G12" s="166">
        <v>208.2</v>
      </c>
      <c r="H12" s="167">
        <v>3756</v>
      </c>
      <c r="I12" s="168">
        <v>0</v>
      </c>
      <c r="J12" s="169">
        <f>SUM(H12:I12)</f>
        <v>3756</v>
      </c>
      <c r="K12" s="170">
        <f>IF(H12/15&lt;=SMG,0,I12/2)</f>
        <v>0</v>
      </c>
      <c r="L12" s="170">
        <f t="shared" si="5"/>
        <v>3756</v>
      </c>
      <c r="M12" s="170">
        <f>VLOOKUP(L12,Tarifa1,1)</f>
        <v>2699.41</v>
      </c>
      <c r="N12" s="170">
        <f t="shared" si="6"/>
        <v>1056.5900000000001</v>
      </c>
      <c r="O12" s="171">
        <f>VLOOKUP(L12,Tarifa1,3)</f>
        <v>0.10879999999999999</v>
      </c>
      <c r="P12" s="170">
        <f t="shared" si="7"/>
        <v>114.95699200000001</v>
      </c>
      <c r="Q12" s="172">
        <f>VLOOKUP(L12,Tarifa1,2)</f>
        <v>158.55000000000001</v>
      </c>
      <c r="R12" s="170">
        <f t="shared" si="8"/>
        <v>273.50699200000003</v>
      </c>
      <c r="S12" s="291">
        <f>VLOOKUP(L12,Credito1,2)</f>
        <v>0</v>
      </c>
      <c r="T12" s="170">
        <f t="shared" si="9"/>
        <v>273.51</v>
      </c>
      <c r="U12" s="169">
        <f>-IF(T12&gt;0,0,T12)</f>
        <v>0</v>
      </c>
      <c r="V12" s="173">
        <f>IF(T12&lt;0,0,T12)</f>
        <v>273.51</v>
      </c>
      <c r="W12" s="169">
        <f>SUM(V12:V12)</f>
        <v>273.51</v>
      </c>
      <c r="X12" s="169">
        <f>J12+U12-W12</f>
        <v>3482.49</v>
      </c>
      <c r="Y12" s="185"/>
    </row>
    <row r="13" spans="1:25" s="186" customFormat="1" ht="69.95" customHeight="1" x14ac:dyDescent="0.2">
      <c r="A13" s="200"/>
      <c r="B13" s="210">
        <v>188</v>
      </c>
      <c r="C13" s="62" t="s">
        <v>142</v>
      </c>
      <c r="D13" s="211" t="s">
        <v>278</v>
      </c>
      <c r="E13" s="164" t="s">
        <v>145</v>
      </c>
      <c r="F13" s="165">
        <v>7</v>
      </c>
      <c r="G13" s="166">
        <v>208.2</v>
      </c>
      <c r="H13" s="167">
        <v>3756</v>
      </c>
      <c r="I13" s="168">
        <v>0</v>
      </c>
      <c r="J13" s="169">
        <f>SUM(H13:I13)</f>
        <v>3756</v>
      </c>
      <c r="K13" s="170">
        <f>IF(H13/15&lt;=SMG,0,I13/2)</f>
        <v>0</v>
      </c>
      <c r="L13" s="170">
        <f t="shared" si="5"/>
        <v>3756</v>
      </c>
      <c r="M13" s="170">
        <f>VLOOKUP(L13,Tarifa1,1)</f>
        <v>2699.41</v>
      </c>
      <c r="N13" s="170">
        <f t="shared" si="6"/>
        <v>1056.5900000000001</v>
      </c>
      <c r="O13" s="171">
        <f>VLOOKUP(L13,Tarifa1,3)</f>
        <v>0.10879999999999999</v>
      </c>
      <c r="P13" s="170">
        <f t="shared" si="7"/>
        <v>114.95699200000001</v>
      </c>
      <c r="Q13" s="172">
        <f>VLOOKUP(L13,Tarifa1,2)</f>
        <v>158.55000000000001</v>
      </c>
      <c r="R13" s="170">
        <f t="shared" si="8"/>
        <v>273.50699200000003</v>
      </c>
      <c r="S13" s="291">
        <f>VLOOKUP(L13,Credito1,2)</f>
        <v>0</v>
      </c>
      <c r="T13" s="170">
        <f t="shared" si="9"/>
        <v>273.51</v>
      </c>
      <c r="U13" s="169">
        <f>-IF(T13&gt;0,0,T13)</f>
        <v>0</v>
      </c>
      <c r="V13" s="173">
        <f>IF(T13&lt;0,0,T13)</f>
        <v>273.51</v>
      </c>
      <c r="W13" s="169">
        <f>SUM(V13:V13)</f>
        <v>273.51</v>
      </c>
      <c r="X13" s="169">
        <f>J13+U13-W13</f>
        <v>3482.49</v>
      </c>
      <c r="Y13" s="185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16" t="s">
        <v>45</v>
      </c>
      <c r="B15" s="317"/>
      <c r="C15" s="317"/>
      <c r="D15" s="317"/>
      <c r="E15" s="317"/>
      <c r="F15" s="317"/>
      <c r="G15" s="318"/>
      <c r="H15" s="39">
        <f>SUM(H10:H14)</f>
        <v>15024</v>
      </c>
      <c r="I15" s="39">
        <f>SUM(I10:I14)</f>
        <v>0</v>
      </c>
      <c r="J15" s="39">
        <f>SUM(J10:J14)</f>
        <v>15024</v>
      </c>
      <c r="K15" s="40">
        <f t="shared" ref="K15:T15" si="10">SUM(K10:K14)</f>
        <v>0</v>
      </c>
      <c r="L15" s="40">
        <f t="shared" si="10"/>
        <v>15024</v>
      </c>
      <c r="M15" s="40">
        <f t="shared" si="10"/>
        <v>10797.64</v>
      </c>
      <c r="N15" s="40">
        <f t="shared" si="10"/>
        <v>4226.3600000000006</v>
      </c>
      <c r="O15" s="40">
        <f t="shared" si="10"/>
        <v>0.43519999999999998</v>
      </c>
      <c r="P15" s="40">
        <f t="shared" si="10"/>
        <v>459.82796800000006</v>
      </c>
      <c r="Q15" s="40">
        <f t="shared" si="10"/>
        <v>634.20000000000005</v>
      </c>
      <c r="R15" s="40">
        <f t="shared" si="10"/>
        <v>1094.0279680000001</v>
      </c>
      <c r="S15" s="40">
        <f t="shared" si="10"/>
        <v>0</v>
      </c>
      <c r="T15" s="40">
        <f t="shared" si="10"/>
        <v>1094.04</v>
      </c>
      <c r="U15" s="39">
        <f>SUM(U10:U14)</f>
        <v>0</v>
      </c>
      <c r="V15" s="39">
        <f>SUM(V10:V14)</f>
        <v>1094.04</v>
      </c>
      <c r="W15" s="39">
        <f>SUM(W10:W14)</f>
        <v>1094.04</v>
      </c>
      <c r="X15" s="39">
        <f>SUM(X10:X14)</f>
        <v>13929.96</v>
      </c>
    </row>
    <row r="16" spans="1:25" ht="13.5" thickTop="1" x14ac:dyDescent="0.2"/>
    <row r="24" spans="4:25" x14ac:dyDescent="0.2">
      <c r="D24" s="4" t="s">
        <v>243</v>
      </c>
      <c r="V24" s="4" t="s">
        <v>234</v>
      </c>
    </row>
    <row r="25" spans="4:25" x14ac:dyDescent="0.2">
      <c r="D25" s="78" t="s">
        <v>226</v>
      </c>
      <c r="H25" s="4"/>
      <c r="V25" s="78" t="s">
        <v>245</v>
      </c>
    </row>
    <row r="26" spans="4:25" x14ac:dyDescent="0.2">
      <c r="D26" s="51" t="s">
        <v>244</v>
      </c>
      <c r="E26" s="51"/>
      <c r="F26" s="51"/>
      <c r="G26" s="51"/>
      <c r="H26" s="51"/>
      <c r="I26" s="51"/>
      <c r="V26" s="51" t="s">
        <v>242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9" t="s">
        <v>91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4"/>
    </row>
    <row r="2" spans="1:25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4"/>
    </row>
    <row r="3" spans="1:25" ht="15" x14ac:dyDescent="0.2">
      <c r="A3" s="50" t="s">
        <v>336</v>
      </c>
      <c r="B3" s="320" t="s">
        <v>386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30" t="s">
        <v>1</v>
      </c>
      <c r="G5" s="331"/>
      <c r="H5" s="332"/>
      <c r="I5" s="24" t="s">
        <v>26</v>
      </c>
      <c r="J5" s="25"/>
      <c r="K5" s="333" t="s">
        <v>9</v>
      </c>
      <c r="L5" s="334"/>
      <c r="M5" s="334"/>
      <c r="N5" s="334"/>
      <c r="O5" s="334"/>
      <c r="P5" s="335"/>
      <c r="Q5" s="24" t="s">
        <v>30</v>
      </c>
      <c r="R5" s="24" t="s">
        <v>10</v>
      </c>
      <c r="S5" s="23" t="s">
        <v>54</v>
      </c>
      <c r="T5" s="336" t="s">
        <v>2</v>
      </c>
      <c r="U5" s="337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121</v>
      </c>
      <c r="C6" s="61" t="s">
        <v>143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166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3" t="s">
        <v>99</v>
      </c>
      <c r="B9" s="234" t="s">
        <v>183</v>
      </c>
      <c r="C9" s="234" t="s">
        <v>142</v>
      </c>
      <c r="D9" s="235" t="s">
        <v>72</v>
      </c>
      <c r="E9" s="236">
        <v>15</v>
      </c>
      <c r="F9" s="237">
        <v>9702</v>
      </c>
      <c r="G9" s="238">
        <v>0</v>
      </c>
      <c r="H9" s="239">
        <f t="shared" ref="H9:H15" si="0">SUM(F9:G9)</f>
        <v>9702</v>
      </c>
      <c r="I9" s="240">
        <f t="shared" ref="I9:I20" si="1">IF(F9/15&lt;=SMG,0,G9/2)</f>
        <v>0</v>
      </c>
      <c r="J9" s="240">
        <f t="shared" ref="J9" si="2">F9+I9</f>
        <v>9702</v>
      </c>
      <c r="K9" s="240">
        <f t="shared" ref="K9:K20" si="3">VLOOKUP(J9,Tarifa1,1)</f>
        <v>6602.71</v>
      </c>
      <c r="L9" s="240">
        <f t="shared" ref="L9" si="4">J9-K9</f>
        <v>3099.29</v>
      </c>
      <c r="M9" s="241">
        <f t="shared" ref="M9:M20" si="5">VLOOKUP(J9,Tarifa1,3)</f>
        <v>0.21360000000000001</v>
      </c>
      <c r="N9" s="240">
        <f t="shared" ref="N9" si="6">L9*M9</f>
        <v>662.00834400000008</v>
      </c>
      <c r="O9" s="242">
        <f t="shared" ref="O9:O20" si="7">VLOOKUP(J9,Tarifa1,2)</f>
        <v>699.3</v>
      </c>
      <c r="P9" s="240">
        <f t="shared" ref="P9" si="8">N9+O9</f>
        <v>1361.308344</v>
      </c>
      <c r="Q9" s="240">
        <f t="shared" ref="Q9:Q20" si="9">VLOOKUP(J9,Credito1,2)</f>
        <v>0</v>
      </c>
      <c r="R9" s="240">
        <f t="shared" ref="R9" si="10">ROUND(P9-Q9,2)</f>
        <v>1361.31</v>
      </c>
      <c r="S9" s="239">
        <f t="shared" ref="S9:S11" si="11">-IF(R9&gt;0,0,R9)</f>
        <v>0</v>
      </c>
      <c r="T9" s="239">
        <f t="shared" ref="T9:T11" si="12">IF(R9&lt;0,0,R9)</f>
        <v>1361.31</v>
      </c>
      <c r="U9" s="239">
        <f>SUM(T9:T9)</f>
        <v>1361.31</v>
      </c>
      <c r="V9" s="239">
        <f>H9+S9-U9</f>
        <v>8340.69</v>
      </c>
      <c r="W9" s="119"/>
      <c r="X9" s="4"/>
    </row>
    <row r="10" spans="1:25" s="186" customFormat="1" ht="65.099999999999994" customHeight="1" x14ac:dyDescent="0.2">
      <c r="A10" s="233"/>
      <c r="B10" s="234" t="s">
        <v>313</v>
      </c>
      <c r="C10" s="234" t="s">
        <v>142</v>
      </c>
      <c r="D10" s="235" t="s">
        <v>93</v>
      </c>
      <c r="E10" s="236">
        <v>15</v>
      </c>
      <c r="F10" s="237">
        <v>7926</v>
      </c>
      <c r="G10" s="238">
        <v>0</v>
      </c>
      <c r="H10" s="239">
        <f t="shared" si="0"/>
        <v>7926</v>
      </c>
      <c r="I10" s="240">
        <f t="shared" si="1"/>
        <v>0</v>
      </c>
      <c r="J10" s="240">
        <f t="shared" ref="J10:J20" si="13">F10+I10</f>
        <v>7926</v>
      </c>
      <c r="K10" s="240">
        <f t="shared" si="3"/>
        <v>6602.71</v>
      </c>
      <c r="L10" s="240">
        <f t="shared" ref="L10:L20" si="14">J10-K10</f>
        <v>1323.29</v>
      </c>
      <c r="M10" s="241">
        <f t="shared" si="5"/>
        <v>0.21360000000000001</v>
      </c>
      <c r="N10" s="240">
        <f t="shared" ref="N10:N20" si="15">L10*M10</f>
        <v>282.65474399999999</v>
      </c>
      <c r="O10" s="242">
        <f t="shared" si="7"/>
        <v>699.3</v>
      </c>
      <c r="P10" s="240">
        <f t="shared" ref="P10:P20" si="16">N10+O10</f>
        <v>981.95474399999989</v>
      </c>
      <c r="Q10" s="240">
        <f t="shared" si="9"/>
        <v>0</v>
      </c>
      <c r="R10" s="240">
        <f t="shared" ref="R10:R20" si="17">ROUND(P10-Q10,2)</f>
        <v>981.95</v>
      </c>
      <c r="S10" s="239">
        <f t="shared" si="11"/>
        <v>0</v>
      </c>
      <c r="T10" s="239">
        <f t="shared" si="12"/>
        <v>981.95</v>
      </c>
      <c r="U10" s="239">
        <f>SUM(T10:T10)</f>
        <v>981.95</v>
      </c>
      <c r="V10" s="239">
        <f>H10+S10-U10</f>
        <v>6944.05</v>
      </c>
      <c r="W10" s="119"/>
      <c r="X10" s="4"/>
    </row>
    <row r="11" spans="1:25" s="186" customFormat="1" ht="65.099999999999994" customHeight="1" x14ac:dyDescent="0.2">
      <c r="A11" s="233"/>
      <c r="B11" s="234" t="s">
        <v>335</v>
      </c>
      <c r="C11" s="234" t="s">
        <v>142</v>
      </c>
      <c r="D11" s="235" t="s">
        <v>93</v>
      </c>
      <c r="E11" s="236">
        <v>15</v>
      </c>
      <c r="F11" s="237">
        <v>7926</v>
      </c>
      <c r="G11" s="238">
        <v>0</v>
      </c>
      <c r="H11" s="239">
        <f t="shared" si="0"/>
        <v>7926</v>
      </c>
      <c r="I11" s="240">
        <f t="shared" si="1"/>
        <v>0</v>
      </c>
      <c r="J11" s="240">
        <f t="shared" si="13"/>
        <v>7926</v>
      </c>
      <c r="K11" s="240">
        <f t="shared" si="3"/>
        <v>6602.71</v>
      </c>
      <c r="L11" s="240">
        <f t="shared" si="14"/>
        <v>1323.29</v>
      </c>
      <c r="M11" s="241">
        <f t="shared" si="5"/>
        <v>0.21360000000000001</v>
      </c>
      <c r="N11" s="240">
        <f t="shared" si="15"/>
        <v>282.65474399999999</v>
      </c>
      <c r="O11" s="242">
        <f t="shared" si="7"/>
        <v>699.3</v>
      </c>
      <c r="P11" s="240">
        <f t="shared" si="16"/>
        <v>981.95474399999989</v>
      </c>
      <c r="Q11" s="240">
        <f t="shared" si="9"/>
        <v>0</v>
      </c>
      <c r="R11" s="240">
        <f t="shared" si="17"/>
        <v>981.95</v>
      </c>
      <c r="S11" s="239">
        <f t="shared" si="11"/>
        <v>0</v>
      </c>
      <c r="T11" s="239">
        <f t="shared" si="12"/>
        <v>981.95</v>
      </c>
      <c r="U11" s="239">
        <f>SUM(T11:T11)</f>
        <v>981.95</v>
      </c>
      <c r="V11" s="239">
        <f>H11+S11-U11</f>
        <v>6944.05</v>
      </c>
      <c r="W11" s="119"/>
      <c r="X11" s="4"/>
    </row>
    <row r="12" spans="1:25" s="186" customFormat="1" ht="65.099999999999994" customHeight="1" x14ac:dyDescent="0.2">
      <c r="A12" s="264"/>
      <c r="B12" s="234" t="s">
        <v>127</v>
      </c>
      <c r="C12" s="234" t="s">
        <v>142</v>
      </c>
      <c r="D12" s="235" t="s">
        <v>94</v>
      </c>
      <c r="E12" s="236">
        <v>15</v>
      </c>
      <c r="F12" s="237">
        <v>7185.5</v>
      </c>
      <c r="G12" s="238">
        <v>0</v>
      </c>
      <c r="H12" s="239">
        <f t="shared" si="0"/>
        <v>7185.5</v>
      </c>
      <c r="I12" s="240">
        <f t="shared" si="1"/>
        <v>0</v>
      </c>
      <c r="J12" s="240">
        <f t="shared" si="13"/>
        <v>7185.5</v>
      </c>
      <c r="K12" s="240">
        <f t="shared" si="3"/>
        <v>6602.71</v>
      </c>
      <c r="L12" s="240">
        <f t="shared" si="14"/>
        <v>582.79</v>
      </c>
      <c r="M12" s="241">
        <f t="shared" si="5"/>
        <v>0.21360000000000001</v>
      </c>
      <c r="N12" s="240">
        <f t="shared" si="15"/>
        <v>124.48394399999999</v>
      </c>
      <c r="O12" s="242">
        <f t="shared" si="7"/>
        <v>699.3</v>
      </c>
      <c r="P12" s="240">
        <f t="shared" si="16"/>
        <v>823.78394399999991</v>
      </c>
      <c r="Q12" s="240">
        <f t="shared" si="9"/>
        <v>0</v>
      </c>
      <c r="R12" s="240">
        <f t="shared" si="17"/>
        <v>823.78</v>
      </c>
      <c r="S12" s="239">
        <f t="shared" ref="S12:S15" si="18">-IF(R12&gt;0,0,R12)</f>
        <v>0</v>
      </c>
      <c r="T12" s="239">
        <f t="shared" ref="T12:T15" si="19">IF(R12&lt;0,0,R12)</f>
        <v>823.78</v>
      </c>
      <c r="U12" s="239">
        <f>SUM(T12:T12)</f>
        <v>823.78</v>
      </c>
      <c r="V12" s="239">
        <f>H12+S12-U12</f>
        <v>6361.72</v>
      </c>
      <c r="W12" s="120"/>
      <c r="X12" s="4"/>
    </row>
    <row r="13" spans="1:25" s="186" customFormat="1" ht="65.099999999999994" customHeight="1" x14ac:dyDescent="0.2">
      <c r="A13" s="264"/>
      <c r="B13" s="234" t="s">
        <v>301</v>
      </c>
      <c r="C13" s="234" t="s">
        <v>142</v>
      </c>
      <c r="D13" s="235" t="s">
        <v>94</v>
      </c>
      <c r="E13" s="236">
        <v>15</v>
      </c>
      <c r="F13" s="237">
        <v>7185.5</v>
      </c>
      <c r="G13" s="238">
        <v>0</v>
      </c>
      <c r="H13" s="239">
        <f t="shared" si="0"/>
        <v>7185.5</v>
      </c>
      <c r="I13" s="240">
        <f t="shared" si="1"/>
        <v>0</v>
      </c>
      <c r="J13" s="240">
        <f t="shared" si="13"/>
        <v>7185.5</v>
      </c>
      <c r="K13" s="240">
        <f t="shared" si="3"/>
        <v>6602.71</v>
      </c>
      <c r="L13" s="240">
        <f t="shared" si="14"/>
        <v>582.79</v>
      </c>
      <c r="M13" s="241">
        <f t="shared" si="5"/>
        <v>0.21360000000000001</v>
      </c>
      <c r="N13" s="240">
        <f t="shared" si="15"/>
        <v>124.48394399999999</v>
      </c>
      <c r="O13" s="242">
        <f t="shared" si="7"/>
        <v>699.3</v>
      </c>
      <c r="P13" s="240">
        <f t="shared" si="16"/>
        <v>823.78394399999991</v>
      </c>
      <c r="Q13" s="240">
        <f t="shared" si="9"/>
        <v>0</v>
      </c>
      <c r="R13" s="240">
        <f t="shared" si="17"/>
        <v>823.78</v>
      </c>
      <c r="S13" s="239">
        <f t="shared" si="18"/>
        <v>0</v>
      </c>
      <c r="T13" s="239">
        <f t="shared" si="19"/>
        <v>823.78</v>
      </c>
      <c r="U13" s="239">
        <f>SUM(T13:T13)</f>
        <v>823.78</v>
      </c>
      <c r="V13" s="239">
        <f>H13+S13-U13</f>
        <v>6361.72</v>
      </c>
      <c r="W13" s="120"/>
      <c r="X13" s="4"/>
    </row>
    <row r="14" spans="1:25" s="186" customFormat="1" ht="65.099999999999994" customHeight="1" x14ac:dyDescent="0.2">
      <c r="A14" s="264"/>
      <c r="B14" s="234" t="s">
        <v>312</v>
      </c>
      <c r="C14" s="234" t="s">
        <v>142</v>
      </c>
      <c r="D14" s="235" t="s">
        <v>94</v>
      </c>
      <c r="E14" s="236">
        <v>15</v>
      </c>
      <c r="F14" s="237">
        <v>7185.5</v>
      </c>
      <c r="G14" s="238">
        <v>0</v>
      </c>
      <c r="H14" s="239">
        <f t="shared" si="0"/>
        <v>7185.5</v>
      </c>
      <c r="I14" s="240">
        <f t="shared" si="1"/>
        <v>0</v>
      </c>
      <c r="J14" s="240">
        <f t="shared" si="13"/>
        <v>7185.5</v>
      </c>
      <c r="K14" s="240">
        <f t="shared" si="3"/>
        <v>6602.71</v>
      </c>
      <c r="L14" s="240">
        <f t="shared" si="14"/>
        <v>582.79</v>
      </c>
      <c r="M14" s="241">
        <f t="shared" si="5"/>
        <v>0.21360000000000001</v>
      </c>
      <c r="N14" s="240">
        <f t="shared" si="15"/>
        <v>124.48394399999999</v>
      </c>
      <c r="O14" s="242">
        <f t="shared" si="7"/>
        <v>699.3</v>
      </c>
      <c r="P14" s="240">
        <f t="shared" si="16"/>
        <v>823.78394399999991</v>
      </c>
      <c r="Q14" s="240">
        <f t="shared" si="9"/>
        <v>0</v>
      </c>
      <c r="R14" s="240">
        <f t="shared" si="17"/>
        <v>823.78</v>
      </c>
      <c r="S14" s="239">
        <f t="shared" si="18"/>
        <v>0</v>
      </c>
      <c r="T14" s="239">
        <f t="shared" si="19"/>
        <v>823.78</v>
      </c>
      <c r="U14" s="239">
        <f>SUM(T14:T14)</f>
        <v>823.78</v>
      </c>
      <c r="V14" s="239">
        <f>H14+S14-U14</f>
        <v>6361.72</v>
      </c>
      <c r="W14" s="120"/>
      <c r="X14" s="4"/>
    </row>
    <row r="15" spans="1:25" ht="65.099999999999994" customHeight="1" x14ac:dyDescent="0.2">
      <c r="A15" s="264"/>
      <c r="B15" s="234" t="s">
        <v>325</v>
      </c>
      <c r="C15" s="234" t="s">
        <v>142</v>
      </c>
      <c r="D15" s="235" t="s">
        <v>94</v>
      </c>
      <c r="E15" s="236">
        <v>15</v>
      </c>
      <c r="F15" s="237">
        <v>7185.5</v>
      </c>
      <c r="G15" s="238">
        <v>0</v>
      </c>
      <c r="H15" s="239">
        <f t="shared" si="0"/>
        <v>7185.5</v>
      </c>
      <c r="I15" s="240">
        <f t="shared" si="1"/>
        <v>0</v>
      </c>
      <c r="J15" s="240">
        <f t="shared" si="13"/>
        <v>7185.5</v>
      </c>
      <c r="K15" s="240">
        <f t="shared" si="3"/>
        <v>6602.71</v>
      </c>
      <c r="L15" s="240">
        <f t="shared" si="14"/>
        <v>582.79</v>
      </c>
      <c r="M15" s="241">
        <f t="shared" si="5"/>
        <v>0.21360000000000001</v>
      </c>
      <c r="N15" s="240">
        <f t="shared" si="15"/>
        <v>124.48394399999999</v>
      </c>
      <c r="O15" s="242">
        <f t="shared" si="7"/>
        <v>699.3</v>
      </c>
      <c r="P15" s="240">
        <f t="shared" si="16"/>
        <v>823.78394399999991</v>
      </c>
      <c r="Q15" s="240">
        <f t="shared" si="9"/>
        <v>0</v>
      </c>
      <c r="R15" s="240">
        <f t="shared" si="17"/>
        <v>823.78</v>
      </c>
      <c r="S15" s="239">
        <f t="shared" si="18"/>
        <v>0</v>
      </c>
      <c r="T15" s="239">
        <f t="shared" si="19"/>
        <v>823.78</v>
      </c>
      <c r="U15" s="239">
        <f>SUM(T15:T15)</f>
        <v>823.78</v>
      </c>
      <c r="V15" s="239">
        <f>H15+S15-U15</f>
        <v>6361.72</v>
      </c>
      <c r="W15" s="120"/>
      <c r="X15" s="4"/>
    </row>
    <row r="16" spans="1:25" ht="65.099999999999994" customHeight="1" x14ac:dyDescent="0.2">
      <c r="A16" s="264"/>
      <c r="B16" s="234" t="s">
        <v>346</v>
      </c>
      <c r="C16" s="234" t="s">
        <v>142</v>
      </c>
      <c r="D16" s="235" t="s">
        <v>94</v>
      </c>
      <c r="E16" s="265">
        <v>15</v>
      </c>
      <c r="F16" s="237">
        <v>7185.5</v>
      </c>
      <c r="G16" s="238">
        <v>0</v>
      </c>
      <c r="H16" s="239">
        <f t="shared" ref="H16" si="20">SUM(F16:G16)</f>
        <v>7185.5</v>
      </c>
      <c r="I16" s="240">
        <f t="shared" si="1"/>
        <v>0</v>
      </c>
      <c r="J16" s="240">
        <f t="shared" si="13"/>
        <v>7185.5</v>
      </c>
      <c r="K16" s="240">
        <f t="shared" si="3"/>
        <v>6602.71</v>
      </c>
      <c r="L16" s="240">
        <f t="shared" si="14"/>
        <v>582.79</v>
      </c>
      <c r="M16" s="241">
        <f t="shared" si="5"/>
        <v>0.21360000000000001</v>
      </c>
      <c r="N16" s="240">
        <f t="shared" si="15"/>
        <v>124.48394399999999</v>
      </c>
      <c r="O16" s="242">
        <f t="shared" si="7"/>
        <v>699.3</v>
      </c>
      <c r="P16" s="240">
        <f t="shared" si="16"/>
        <v>823.78394399999991</v>
      </c>
      <c r="Q16" s="240">
        <f t="shared" si="9"/>
        <v>0</v>
      </c>
      <c r="R16" s="240">
        <f t="shared" si="17"/>
        <v>823.78</v>
      </c>
      <c r="S16" s="239">
        <f t="shared" ref="S16" si="21">-IF(R16&gt;0,0,R16)</f>
        <v>0</v>
      </c>
      <c r="T16" s="239">
        <f t="shared" ref="T16" si="22">IF(R16&lt;0,0,R16)</f>
        <v>823.78</v>
      </c>
      <c r="U16" s="239">
        <f>SUM(T16:T16)</f>
        <v>823.78</v>
      </c>
      <c r="V16" s="239">
        <f>H16+S16-U16</f>
        <v>6361.72</v>
      </c>
      <c r="W16" s="120"/>
      <c r="X16" s="4"/>
    </row>
    <row r="17" spans="1:36" ht="65.099999999999994" customHeight="1" x14ac:dyDescent="0.2">
      <c r="A17" s="264"/>
      <c r="B17" s="234" t="s">
        <v>354</v>
      </c>
      <c r="C17" s="234" t="s">
        <v>142</v>
      </c>
      <c r="D17" s="235" t="s">
        <v>94</v>
      </c>
      <c r="E17" s="236">
        <v>15</v>
      </c>
      <c r="F17" s="237">
        <v>7185.5</v>
      </c>
      <c r="G17" s="238">
        <v>0</v>
      </c>
      <c r="H17" s="239">
        <f t="shared" ref="H17:H18" si="23">SUM(F17:G17)</f>
        <v>7185.5</v>
      </c>
      <c r="I17" s="240">
        <f t="shared" si="1"/>
        <v>0</v>
      </c>
      <c r="J17" s="240">
        <f t="shared" si="13"/>
        <v>7185.5</v>
      </c>
      <c r="K17" s="240">
        <f t="shared" si="3"/>
        <v>6602.71</v>
      </c>
      <c r="L17" s="240">
        <f t="shared" si="14"/>
        <v>582.79</v>
      </c>
      <c r="M17" s="241">
        <f t="shared" si="5"/>
        <v>0.21360000000000001</v>
      </c>
      <c r="N17" s="240">
        <f t="shared" si="15"/>
        <v>124.48394399999999</v>
      </c>
      <c r="O17" s="242">
        <f t="shared" si="7"/>
        <v>699.3</v>
      </c>
      <c r="P17" s="240">
        <f t="shared" si="16"/>
        <v>823.78394399999991</v>
      </c>
      <c r="Q17" s="240">
        <f t="shared" si="9"/>
        <v>0</v>
      </c>
      <c r="R17" s="240">
        <f t="shared" si="17"/>
        <v>823.78</v>
      </c>
      <c r="S17" s="239">
        <f t="shared" ref="S17:S21" si="24">-IF(R17&gt;0,0,R17)</f>
        <v>0</v>
      </c>
      <c r="T17" s="239">
        <f t="shared" ref="T17:T21" si="25">IF(R17&lt;0,0,R17)</f>
        <v>823.78</v>
      </c>
      <c r="U17" s="239">
        <f>SUM(T17:T17)</f>
        <v>823.78</v>
      </c>
      <c r="V17" s="239">
        <f>H17+S17-U17</f>
        <v>6361.72</v>
      </c>
      <c r="W17" s="120"/>
      <c r="X17" s="4"/>
    </row>
    <row r="18" spans="1:36" ht="65.099999999999994" customHeight="1" x14ac:dyDescent="0.2">
      <c r="A18" s="264"/>
      <c r="B18" s="234" t="s">
        <v>355</v>
      </c>
      <c r="C18" s="234" t="s">
        <v>142</v>
      </c>
      <c r="D18" s="235" t="s">
        <v>94</v>
      </c>
      <c r="E18" s="236">
        <v>15</v>
      </c>
      <c r="F18" s="237">
        <v>7185.5</v>
      </c>
      <c r="G18" s="238">
        <v>0</v>
      </c>
      <c r="H18" s="239">
        <f t="shared" si="23"/>
        <v>7185.5</v>
      </c>
      <c r="I18" s="240">
        <f t="shared" si="1"/>
        <v>0</v>
      </c>
      <c r="J18" s="240">
        <f t="shared" si="13"/>
        <v>7185.5</v>
      </c>
      <c r="K18" s="240">
        <f t="shared" si="3"/>
        <v>6602.71</v>
      </c>
      <c r="L18" s="240">
        <f t="shared" si="14"/>
        <v>582.79</v>
      </c>
      <c r="M18" s="241">
        <f t="shared" si="5"/>
        <v>0.21360000000000001</v>
      </c>
      <c r="N18" s="240">
        <f t="shared" si="15"/>
        <v>124.48394399999999</v>
      </c>
      <c r="O18" s="242">
        <f t="shared" si="7"/>
        <v>699.3</v>
      </c>
      <c r="P18" s="240">
        <f t="shared" si="16"/>
        <v>823.78394399999991</v>
      </c>
      <c r="Q18" s="240">
        <f t="shared" si="9"/>
        <v>0</v>
      </c>
      <c r="R18" s="240">
        <f t="shared" si="17"/>
        <v>823.78</v>
      </c>
      <c r="S18" s="239">
        <f t="shared" si="24"/>
        <v>0</v>
      </c>
      <c r="T18" s="239">
        <f t="shared" si="25"/>
        <v>823.78</v>
      </c>
      <c r="U18" s="239">
        <f>SUM(T18:T18)</f>
        <v>823.78</v>
      </c>
      <c r="V18" s="239">
        <f>H18+S18-U18</f>
        <v>6361.72</v>
      </c>
      <c r="W18" s="120"/>
      <c r="X18" s="4"/>
    </row>
    <row r="19" spans="1:36" ht="65.099999999999994" customHeight="1" x14ac:dyDescent="0.2">
      <c r="A19" s="264"/>
      <c r="B19" s="234" t="s">
        <v>381</v>
      </c>
      <c r="C19" s="234" t="s">
        <v>142</v>
      </c>
      <c r="D19" s="235" t="s">
        <v>94</v>
      </c>
      <c r="E19" s="236">
        <v>15</v>
      </c>
      <c r="F19" s="237">
        <v>7185.5</v>
      </c>
      <c r="G19" s="238">
        <v>0</v>
      </c>
      <c r="H19" s="239">
        <f t="shared" ref="H19" si="26">SUM(F19:G19)</f>
        <v>7185.5</v>
      </c>
      <c r="I19" s="240">
        <f t="shared" si="1"/>
        <v>0</v>
      </c>
      <c r="J19" s="240">
        <f t="shared" si="13"/>
        <v>7185.5</v>
      </c>
      <c r="K19" s="240">
        <f t="shared" si="3"/>
        <v>6602.71</v>
      </c>
      <c r="L19" s="240">
        <f t="shared" si="14"/>
        <v>582.79</v>
      </c>
      <c r="M19" s="241">
        <f t="shared" si="5"/>
        <v>0.21360000000000001</v>
      </c>
      <c r="N19" s="240">
        <f t="shared" si="15"/>
        <v>124.48394399999999</v>
      </c>
      <c r="O19" s="242">
        <f t="shared" si="7"/>
        <v>699.3</v>
      </c>
      <c r="P19" s="240">
        <f t="shared" si="16"/>
        <v>823.78394399999991</v>
      </c>
      <c r="Q19" s="240">
        <f t="shared" si="9"/>
        <v>0</v>
      </c>
      <c r="R19" s="240">
        <f t="shared" si="17"/>
        <v>823.78</v>
      </c>
      <c r="S19" s="239">
        <f t="shared" si="24"/>
        <v>0</v>
      </c>
      <c r="T19" s="239">
        <f t="shared" si="25"/>
        <v>823.78</v>
      </c>
      <c r="U19" s="239">
        <f>SUM(T19:T19)</f>
        <v>823.78</v>
      </c>
      <c r="V19" s="239">
        <f>H19+S19-U19</f>
        <v>6361.72</v>
      </c>
      <c r="W19" s="120"/>
      <c r="X19" s="4"/>
    </row>
    <row r="20" spans="1:36" ht="65.099999999999994" customHeight="1" x14ac:dyDescent="0.2">
      <c r="A20" s="264"/>
      <c r="B20" s="234" t="s">
        <v>379</v>
      </c>
      <c r="C20" s="234" t="s">
        <v>142</v>
      </c>
      <c r="D20" s="235" t="s">
        <v>94</v>
      </c>
      <c r="E20" s="236">
        <v>15</v>
      </c>
      <c r="F20" s="237">
        <v>7185.5</v>
      </c>
      <c r="G20" s="238">
        <v>0</v>
      </c>
      <c r="H20" s="239">
        <f t="shared" ref="H20:H21" si="27">SUM(F20:G20)</f>
        <v>7185.5</v>
      </c>
      <c r="I20" s="240">
        <f t="shared" si="1"/>
        <v>0</v>
      </c>
      <c r="J20" s="240">
        <f t="shared" si="13"/>
        <v>7185.5</v>
      </c>
      <c r="K20" s="240">
        <f t="shared" si="3"/>
        <v>6602.71</v>
      </c>
      <c r="L20" s="240">
        <f t="shared" si="14"/>
        <v>582.79</v>
      </c>
      <c r="M20" s="241">
        <f t="shared" si="5"/>
        <v>0.21360000000000001</v>
      </c>
      <c r="N20" s="240">
        <f t="shared" si="15"/>
        <v>124.48394399999999</v>
      </c>
      <c r="O20" s="242">
        <f t="shared" si="7"/>
        <v>699.3</v>
      </c>
      <c r="P20" s="240">
        <f t="shared" si="16"/>
        <v>823.78394399999991</v>
      </c>
      <c r="Q20" s="240">
        <f t="shared" si="9"/>
        <v>0</v>
      </c>
      <c r="R20" s="240">
        <f t="shared" si="17"/>
        <v>823.78</v>
      </c>
      <c r="S20" s="239">
        <f t="shared" si="24"/>
        <v>0</v>
      </c>
      <c r="T20" s="239">
        <f t="shared" si="25"/>
        <v>823.78</v>
      </c>
      <c r="U20" s="239">
        <f>SUM(T20:T20)</f>
        <v>823.78</v>
      </c>
      <c r="V20" s="239">
        <f>H20+S20-U20</f>
        <v>6361.72</v>
      </c>
      <c r="W20" s="120"/>
      <c r="X20" s="4"/>
    </row>
    <row r="21" spans="1:36" ht="65.099999999999994" customHeight="1" x14ac:dyDescent="0.2">
      <c r="A21" s="264"/>
      <c r="B21" s="234" t="s">
        <v>380</v>
      </c>
      <c r="C21" s="234" t="s">
        <v>142</v>
      </c>
      <c r="D21" s="235" t="s">
        <v>94</v>
      </c>
      <c r="E21" s="236">
        <v>15</v>
      </c>
      <c r="F21" s="237">
        <v>7185.5</v>
      </c>
      <c r="G21" s="238">
        <v>0</v>
      </c>
      <c r="H21" s="239">
        <f t="shared" si="27"/>
        <v>7185.5</v>
      </c>
      <c r="I21" s="240">
        <f t="shared" ref="I21" si="28">IF(F21/15&lt;=SMG,0,G21/2)</f>
        <v>0</v>
      </c>
      <c r="J21" s="240">
        <f t="shared" ref="J21" si="29">F21+I21</f>
        <v>7185.5</v>
      </c>
      <c r="K21" s="240">
        <f t="shared" ref="K21" si="30">VLOOKUP(J21,Tarifa1,1)</f>
        <v>6602.71</v>
      </c>
      <c r="L21" s="240">
        <f t="shared" ref="L21" si="31">J21-K21</f>
        <v>582.79</v>
      </c>
      <c r="M21" s="241">
        <f t="shared" ref="M21" si="32">VLOOKUP(J21,Tarifa1,3)</f>
        <v>0.21360000000000001</v>
      </c>
      <c r="N21" s="240">
        <f t="shared" ref="N21" si="33">L21*M21</f>
        <v>124.48394399999999</v>
      </c>
      <c r="O21" s="242">
        <f t="shared" ref="O21" si="34">VLOOKUP(J21,Tarifa1,2)</f>
        <v>699.3</v>
      </c>
      <c r="P21" s="240">
        <f t="shared" ref="P21" si="35">N21+O21</f>
        <v>823.78394399999991</v>
      </c>
      <c r="Q21" s="240">
        <f t="shared" ref="Q21" si="36">VLOOKUP(J21,Credito1,2)</f>
        <v>0</v>
      </c>
      <c r="R21" s="240">
        <f t="shared" ref="R21" si="37">ROUND(P21-Q21,2)</f>
        <v>823.78</v>
      </c>
      <c r="S21" s="239">
        <f t="shared" si="24"/>
        <v>0</v>
      </c>
      <c r="T21" s="239">
        <f t="shared" si="25"/>
        <v>823.78</v>
      </c>
      <c r="U21" s="239">
        <f>SUM(T21:T21)</f>
        <v>823.78</v>
      </c>
      <c r="V21" s="239">
        <f>H21+S21-U21</f>
        <v>6361.72</v>
      </c>
      <c r="W21" s="120"/>
      <c r="X21" s="4"/>
    </row>
    <row r="22" spans="1:36" ht="65.099999999999994" customHeight="1" x14ac:dyDescent="0.2">
      <c r="A22" s="264"/>
      <c r="B22" s="234" t="s">
        <v>382</v>
      </c>
      <c r="C22" s="234" t="s">
        <v>142</v>
      </c>
      <c r="D22" s="235" t="s">
        <v>94</v>
      </c>
      <c r="E22" s="236"/>
      <c r="F22" s="237">
        <v>6706.46</v>
      </c>
      <c r="G22" s="238">
        <v>0</v>
      </c>
      <c r="H22" s="239">
        <f t="shared" ref="H22" si="38">SUM(F22:G22)</f>
        <v>6706.46</v>
      </c>
      <c r="I22" s="240">
        <f t="shared" ref="I22" si="39">IF(F22/15&lt;=SMG,0,G22/2)</f>
        <v>0</v>
      </c>
      <c r="J22" s="240">
        <f t="shared" ref="J22" si="40">F22+I22</f>
        <v>6706.46</v>
      </c>
      <c r="K22" s="240">
        <f t="shared" ref="K22" si="41">VLOOKUP(J22,Tarifa1,1)</f>
        <v>6602.71</v>
      </c>
      <c r="L22" s="240">
        <f t="shared" ref="L22" si="42">J22-K22</f>
        <v>103.75</v>
      </c>
      <c r="M22" s="241">
        <f t="shared" ref="M22" si="43">VLOOKUP(J22,Tarifa1,3)</f>
        <v>0.21360000000000001</v>
      </c>
      <c r="N22" s="240">
        <f t="shared" ref="N22" si="44">L22*M22</f>
        <v>22.161000000000001</v>
      </c>
      <c r="O22" s="242">
        <f t="shared" ref="O22" si="45">VLOOKUP(J22,Tarifa1,2)</f>
        <v>699.3</v>
      </c>
      <c r="P22" s="240">
        <f t="shared" ref="P22" si="46">N22+O22</f>
        <v>721.46100000000001</v>
      </c>
      <c r="Q22" s="240">
        <f t="shared" ref="Q22" si="47">VLOOKUP(J22,Credito1,2)</f>
        <v>0</v>
      </c>
      <c r="R22" s="240">
        <f t="shared" ref="R22" si="48">ROUND(P22-Q22,2)</f>
        <v>721.46</v>
      </c>
      <c r="S22" s="239">
        <f t="shared" ref="S22" si="49">-IF(R22&gt;0,0,R22)</f>
        <v>0</v>
      </c>
      <c r="T22" s="239">
        <f t="shared" ref="T22" si="50">IF(R22&lt;0,0,R22)</f>
        <v>721.46</v>
      </c>
      <c r="U22" s="239">
        <f>SUM(T22:T22)</f>
        <v>721.46</v>
      </c>
      <c r="V22" s="239">
        <f>H22+S22-U22</f>
        <v>5985</v>
      </c>
      <c r="W22" s="120"/>
      <c r="X22" s="4"/>
    </row>
    <row r="23" spans="1:36" ht="38.1" customHeight="1" thickBot="1" x14ac:dyDescent="0.3">
      <c r="A23" s="351" t="s">
        <v>45</v>
      </c>
      <c r="B23" s="352"/>
      <c r="C23" s="352"/>
      <c r="D23" s="352"/>
      <c r="E23" s="352"/>
      <c r="F23" s="244">
        <f>SUM(F9:F22)</f>
        <v>104115.46</v>
      </c>
      <c r="G23" s="244">
        <f>SUM(G9:G22)</f>
        <v>0</v>
      </c>
      <c r="H23" s="244">
        <f>SUM(H9:H22)</f>
        <v>104115.46</v>
      </c>
      <c r="I23" s="245">
        <f t="shared" ref="I23:R23" si="51">SUM(I9:I15)</f>
        <v>0</v>
      </c>
      <c r="J23" s="245">
        <f t="shared" si="51"/>
        <v>54296</v>
      </c>
      <c r="K23" s="245">
        <f t="shared" si="51"/>
        <v>46218.97</v>
      </c>
      <c r="L23" s="245">
        <f t="shared" si="51"/>
        <v>8077.03</v>
      </c>
      <c r="M23" s="245">
        <f t="shared" si="51"/>
        <v>1.4952000000000001</v>
      </c>
      <c r="N23" s="245">
        <f t="shared" si="51"/>
        <v>1725.2536080000002</v>
      </c>
      <c r="O23" s="245">
        <f t="shared" si="51"/>
        <v>4895.1000000000004</v>
      </c>
      <c r="P23" s="245">
        <f t="shared" si="51"/>
        <v>6620.3536079999985</v>
      </c>
      <c r="Q23" s="245">
        <f t="shared" si="51"/>
        <v>0</v>
      </c>
      <c r="R23" s="245">
        <f t="shared" si="51"/>
        <v>6620.329999999999</v>
      </c>
      <c r="S23" s="244">
        <f>SUM(S9:S22)</f>
        <v>0</v>
      </c>
      <c r="T23" s="244">
        <f>SUM(T9:T22)</f>
        <v>12284.470000000001</v>
      </c>
      <c r="U23" s="244">
        <f>SUM(U9:U22)</f>
        <v>12284.470000000001</v>
      </c>
      <c r="V23" s="244">
        <f>SUM(V9:V22)</f>
        <v>91830.99</v>
      </c>
      <c r="W23" s="4"/>
      <c r="X23" s="4"/>
    </row>
    <row r="24" spans="1:36" ht="13.5" thickTop="1" x14ac:dyDescent="0.2"/>
    <row r="30" spans="1:36" x14ac:dyDescent="0.2">
      <c r="G30" s="112"/>
    </row>
    <row r="31" spans="1:36" x14ac:dyDescent="0.2">
      <c r="D31" s="113"/>
      <c r="E31" s="113"/>
      <c r="F31" s="113"/>
      <c r="G31" s="113"/>
      <c r="H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I31" s="113"/>
      <c r="AJ31" s="113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9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54" t="s">
        <v>91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</row>
    <row r="2" spans="1:25" ht="18" x14ac:dyDescent="0.25">
      <c r="A2" s="354" t="s">
        <v>66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</row>
    <row r="3" spans="1:25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55" t="s">
        <v>1</v>
      </c>
      <c r="I6" s="356"/>
      <c r="J6" s="357"/>
      <c r="K6" s="94" t="s">
        <v>26</v>
      </c>
      <c r="L6" s="95"/>
      <c r="M6" s="358" t="s">
        <v>9</v>
      </c>
      <c r="N6" s="359"/>
      <c r="O6" s="359"/>
      <c r="P6" s="359"/>
      <c r="Q6" s="359"/>
      <c r="R6" s="360"/>
      <c r="S6" s="94" t="s">
        <v>30</v>
      </c>
      <c r="T6" s="94" t="s">
        <v>10</v>
      </c>
      <c r="U6" s="93" t="s">
        <v>54</v>
      </c>
      <c r="V6" s="361" t="s">
        <v>2</v>
      </c>
      <c r="W6" s="362"/>
      <c r="X6" s="93" t="s">
        <v>0</v>
      </c>
      <c r="Y6" s="96"/>
    </row>
    <row r="7" spans="1:25" ht="22.5" x14ac:dyDescent="0.2">
      <c r="A7" s="97" t="s">
        <v>21</v>
      </c>
      <c r="B7" s="98" t="s">
        <v>121</v>
      </c>
      <c r="C7" s="98" t="s">
        <v>143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166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181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3" t="s">
        <v>102</v>
      </c>
      <c r="B10" s="234" t="s">
        <v>383</v>
      </c>
      <c r="C10" s="234" t="s">
        <v>142</v>
      </c>
      <c r="D10" s="243" t="s">
        <v>385</v>
      </c>
      <c r="E10" s="288" t="s">
        <v>384</v>
      </c>
      <c r="F10" s="236"/>
      <c r="G10" s="289"/>
      <c r="H10" s="237">
        <v>3089.59</v>
      </c>
      <c r="I10" s="238">
        <v>0</v>
      </c>
      <c r="J10" s="239">
        <f t="shared" ref="J10" si="0">SUM(H10:I10)</f>
        <v>3089.59</v>
      </c>
      <c r="K10" s="240">
        <f t="shared" ref="K10" si="1">IF(H10/15&lt;=SMG,0,I10/2)</f>
        <v>0</v>
      </c>
      <c r="L10" s="240">
        <f t="shared" ref="L10" si="2">H10+K10</f>
        <v>3089.59</v>
      </c>
      <c r="M10" s="240">
        <f t="shared" ref="M10" si="3">VLOOKUP(L10,Tarifa1,1)</f>
        <v>2699.41</v>
      </c>
      <c r="N10" s="240">
        <f t="shared" ref="N10" si="4">L10-M10</f>
        <v>390.18000000000029</v>
      </c>
      <c r="O10" s="241">
        <f t="shared" ref="O10" si="5">VLOOKUP(L10,Tarifa1,3)</f>
        <v>0.10879999999999999</v>
      </c>
      <c r="P10" s="240">
        <f t="shared" ref="P10" si="6">N10*O10</f>
        <v>42.451584000000032</v>
      </c>
      <c r="Q10" s="242">
        <f t="shared" ref="Q10" si="7">VLOOKUP(L10,Tarifa1,2)</f>
        <v>158.55000000000001</v>
      </c>
      <c r="R10" s="240">
        <f t="shared" ref="R10" si="8">P10+Q10</f>
        <v>201.00158400000004</v>
      </c>
      <c r="S10" s="240">
        <f t="shared" ref="S10" si="9">VLOOKUP(L10,Credito1,2)</f>
        <v>125.1</v>
      </c>
      <c r="T10" s="240">
        <f t="shared" ref="T10" si="10">ROUND(R10-S10,2)</f>
        <v>75.900000000000006</v>
      </c>
      <c r="U10" s="239">
        <f t="shared" ref="U10" si="11">-IF(T10&gt;0,0,T10)</f>
        <v>0</v>
      </c>
      <c r="V10" s="239">
        <f t="shared" ref="V10" si="12">IF(T10&lt;0,0,T10)</f>
        <v>75.900000000000006</v>
      </c>
      <c r="W10" s="239">
        <f>SUM(V10:V10)</f>
        <v>75.900000000000006</v>
      </c>
      <c r="X10" s="239">
        <f>J10+U10-W10</f>
        <v>3013.69</v>
      </c>
      <c r="Y10" s="185"/>
    </row>
    <row r="11" spans="1:25" s="186" customFormat="1" ht="75" customHeight="1" x14ac:dyDescent="0.2">
      <c r="A11" s="233"/>
      <c r="B11" s="234" t="s">
        <v>184</v>
      </c>
      <c r="C11" s="234" t="s">
        <v>142</v>
      </c>
      <c r="D11" s="243" t="s">
        <v>269</v>
      </c>
      <c r="E11" s="235" t="s">
        <v>178</v>
      </c>
      <c r="F11" s="236">
        <v>15</v>
      </c>
      <c r="G11" s="289">
        <f>H11/F11</f>
        <v>390.16666666666669</v>
      </c>
      <c r="H11" s="237">
        <v>5852.5</v>
      </c>
      <c r="I11" s="238">
        <v>0</v>
      </c>
      <c r="J11" s="239">
        <f t="shared" ref="J11" si="13">SUM(H11:I11)</f>
        <v>5852.5</v>
      </c>
      <c r="K11" s="240">
        <f t="shared" ref="K11" si="14">IF(H11/15&lt;=SMG,0,I11/2)</f>
        <v>0</v>
      </c>
      <c r="L11" s="240">
        <f t="shared" ref="L11" si="15">H11+K11</f>
        <v>5852.5</v>
      </c>
      <c r="M11" s="240">
        <f t="shared" ref="M11" si="16">VLOOKUP(L11,Tarifa1,1)</f>
        <v>5514.76</v>
      </c>
      <c r="N11" s="240">
        <f t="shared" ref="N11" si="17">L11-M11</f>
        <v>337.73999999999978</v>
      </c>
      <c r="O11" s="241">
        <f t="shared" ref="O11" si="18">VLOOKUP(L11,Tarifa1,3)</f>
        <v>0.1792</v>
      </c>
      <c r="P11" s="240">
        <f t="shared" ref="P11" si="19">N11*O11</f>
        <v>60.523007999999962</v>
      </c>
      <c r="Q11" s="242">
        <f t="shared" ref="Q11" si="20">VLOOKUP(L11,Tarifa1,2)</f>
        <v>504.3</v>
      </c>
      <c r="R11" s="240">
        <f t="shared" ref="R11" si="21">P11+Q11</f>
        <v>564.82300799999996</v>
      </c>
      <c r="S11" s="240">
        <f t="shared" ref="S11" si="22">VLOOKUP(L11,Credito1,2)</f>
        <v>0</v>
      </c>
      <c r="T11" s="240">
        <f t="shared" ref="T11" si="23">ROUND(R11-S11,2)</f>
        <v>564.82000000000005</v>
      </c>
      <c r="U11" s="239">
        <f t="shared" ref="U11" si="24">-IF(T11&gt;0,0,T11)</f>
        <v>0</v>
      </c>
      <c r="V11" s="239">
        <f t="shared" ref="V11" si="25">IF(T11&lt;0,0,T11)</f>
        <v>564.82000000000005</v>
      </c>
      <c r="W11" s="239">
        <f>SUM(V11:V11)</f>
        <v>564.82000000000005</v>
      </c>
      <c r="X11" s="239">
        <f>J11+U11-W11</f>
        <v>5287.68</v>
      </c>
      <c r="Y11" s="185"/>
    </row>
    <row r="12" spans="1:25" s="186" customFormat="1" ht="75" customHeight="1" x14ac:dyDescent="0.2">
      <c r="A12" s="233"/>
      <c r="B12" s="234" t="s">
        <v>328</v>
      </c>
      <c r="C12" s="234" t="s">
        <v>142</v>
      </c>
      <c r="D12" s="243" t="s">
        <v>329</v>
      </c>
      <c r="E12" s="235" t="s">
        <v>178</v>
      </c>
      <c r="F12" s="236"/>
      <c r="G12" s="289"/>
      <c r="H12" s="237">
        <v>5599.5</v>
      </c>
      <c r="I12" s="238">
        <v>0</v>
      </c>
      <c r="J12" s="239">
        <f t="shared" ref="J12" si="26">SUM(H12:I12)</f>
        <v>5599.5</v>
      </c>
      <c r="K12" s="240">
        <f t="shared" ref="K12:K16" si="27">IF(H12/15&lt;=SMG,0,I12/2)</f>
        <v>0</v>
      </c>
      <c r="L12" s="240">
        <f t="shared" ref="L12:L16" si="28">H12+K12</f>
        <v>5599.5</v>
      </c>
      <c r="M12" s="240">
        <f t="shared" ref="M12:M16" si="29">VLOOKUP(L12,Tarifa1,1)</f>
        <v>5514.76</v>
      </c>
      <c r="N12" s="240">
        <f t="shared" ref="N12:N16" si="30">L12-M12</f>
        <v>84.739999999999782</v>
      </c>
      <c r="O12" s="241">
        <f t="shared" ref="O12:O16" si="31">VLOOKUP(L12,Tarifa1,3)</f>
        <v>0.1792</v>
      </c>
      <c r="P12" s="240">
        <f t="shared" ref="P12:P16" si="32">N12*O12</f>
        <v>15.185407999999962</v>
      </c>
      <c r="Q12" s="242">
        <f t="shared" ref="Q12:Q16" si="33">VLOOKUP(L12,Tarifa1,2)</f>
        <v>504.3</v>
      </c>
      <c r="R12" s="240">
        <f t="shared" ref="R12:R16" si="34">P12+Q12</f>
        <v>519.48540800000001</v>
      </c>
      <c r="S12" s="240">
        <f t="shared" ref="S12:S16" si="35">VLOOKUP(L12,Credito1,2)</f>
        <v>0</v>
      </c>
      <c r="T12" s="240">
        <f t="shared" ref="T12:T16" si="36">ROUND(R12-S12,2)</f>
        <v>519.49</v>
      </c>
      <c r="U12" s="239">
        <f t="shared" ref="U12" si="37">-IF(T12&gt;0,0,T12)</f>
        <v>0</v>
      </c>
      <c r="V12" s="239">
        <f t="shared" ref="V12:V14" si="38">IF(T12&lt;0,0,T12)</f>
        <v>519.49</v>
      </c>
      <c r="W12" s="239">
        <f>SUM(V12:V12)</f>
        <v>519.49</v>
      </c>
      <c r="X12" s="239">
        <f>J12+U12-W12</f>
        <v>5080.01</v>
      </c>
      <c r="Y12" s="185"/>
    </row>
    <row r="13" spans="1:25" s="186" customFormat="1" ht="75" customHeight="1" x14ac:dyDescent="0.2">
      <c r="A13" s="233"/>
      <c r="B13" s="234" t="s">
        <v>366</v>
      </c>
      <c r="C13" s="234" t="s">
        <v>142</v>
      </c>
      <c r="D13" s="243" t="s">
        <v>362</v>
      </c>
      <c r="E13" s="235" t="s">
        <v>178</v>
      </c>
      <c r="F13" s="236"/>
      <c r="G13" s="289"/>
      <c r="H13" s="237">
        <v>5599.5</v>
      </c>
      <c r="I13" s="238">
        <v>0</v>
      </c>
      <c r="J13" s="239">
        <f t="shared" ref="J13" si="39">SUM(H13:I13)</f>
        <v>5599.5</v>
      </c>
      <c r="K13" s="240">
        <f t="shared" ref="K13" si="40">IF(H13/15&lt;=SMG,0,I13/2)</f>
        <v>0</v>
      </c>
      <c r="L13" s="240">
        <f t="shared" ref="L13" si="41">H13+K13</f>
        <v>5599.5</v>
      </c>
      <c r="M13" s="240">
        <f t="shared" ref="M13" si="42">VLOOKUP(L13,Tarifa1,1)</f>
        <v>5514.76</v>
      </c>
      <c r="N13" s="240">
        <f t="shared" ref="N13" si="43">L13-M13</f>
        <v>84.739999999999782</v>
      </c>
      <c r="O13" s="241">
        <f t="shared" ref="O13" si="44">VLOOKUP(L13,Tarifa1,3)</f>
        <v>0.1792</v>
      </c>
      <c r="P13" s="240">
        <f t="shared" ref="P13" si="45">N13*O13</f>
        <v>15.185407999999962</v>
      </c>
      <c r="Q13" s="242">
        <f t="shared" ref="Q13" si="46">VLOOKUP(L13,Tarifa1,2)</f>
        <v>504.3</v>
      </c>
      <c r="R13" s="240">
        <f t="shared" ref="R13" si="47">P13+Q13</f>
        <v>519.48540800000001</v>
      </c>
      <c r="S13" s="240">
        <f t="shared" ref="S13" si="48">VLOOKUP(L13,Credito1,2)</f>
        <v>0</v>
      </c>
      <c r="T13" s="240">
        <f t="shared" ref="T13" si="49">ROUND(R13-S13,2)</f>
        <v>519.49</v>
      </c>
      <c r="U13" s="239">
        <f t="shared" ref="U13" si="50">-IF(T13&gt;0,0,T13)</f>
        <v>0</v>
      </c>
      <c r="V13" s="239">
        <f t="shared" ref="V13" si="51">IF(T13&lt;0,0,T13)</f>
        <v>519.49</v>
      </c>
      <c r="W13" s="239">
        <f>SUM(V13:V13)</f>
        <v>519.49</v>
      </c>
      <c r="X13" s="239">
        <f>J13+U13-W13</f>
        <v>5080.01</v>
      </c>
      <c r="Y13" s="185"/>
    </row>
    <row r="14" spans="1:25" s="186" customFormat="1" ht="75" customHeight="1" x14ac:dyDescent="0.2">
      <c r="A14" s="233" t="s">
        <v>107</v>
      </c>
      <c r="B14" s="234" t="s">
        <v>185</v>
      </c>
      <c r="C14" s="234" t="s">
        <v>224</v>
      </c>
      <c r="D14" s="243" t="s">
        <v>177</v>
      </c>
      <c r="E14" s="288" t="s">
        <v>179</v>
      </c>
      <c r="F14" s="236">
        <v>15</v>
      </c>
      <c r="G14" s="289">
        <f>H14/F14</f>
        <v>290.56666666666666</v>
      </c>
      <c r="H14" s="237">
        <v>4358.5</v>
      </c>
      <c r="I14" s="238">
        <v>0</v>
      </c>
      <c r="J14" s="239">
        <f>SUM(H14:I14)</f>
        <v>4358.5</v>
      </c>
      <c r="K14" s="240">
        <f t="shared" si="27"/>
        <v>0</v>
      </c>
      <c r="L14" s="240">
        <f t="shared" si="28"/>
        <v>4358.5</v>
      </c>
      <c r="M14" s="240">
        <f t="shared" si="29"/>
        <v>2699.41</v>
      </c>
      <c r="N14" s="240">
        <f t="shared" si="30"/>
        <v>1659.0900000000001</v>
      </c>
      <c r="O14" s="241">
        <f t="shared" si="31"/>
        <v>0.10879999999999999</v>
      </c>
      <c r="P14" s="240">
        <f t="shared" si="32"/>
        <v>180.50899200000001</v>
      </c>
      <c r="Q14" s="242">
        <f t="shared" si="33"/>
        <v>158.55000000000001</v>
      </c>
      <c r="R14" s="240">
        <f t="shared" si="34"/>
        <v>339.05899199999999</v>
      </c>
      <c r="S14" s="240">
        <f t="shared" si="35"/>
        <v>0</v>
      </c>
      <c r="T14" s="240">
        <f t="shared" si="36"/>
        <v>339.06</v>
      </c>
      <c r="U14" s="239">
        <f>-IF(T14&gt;0,0,T14)</f>
        <v>0</v>
      </c>
      <c r="V14" s="239">
        <f t="shared" si="38"/>
        <v>339.06</v>
      </c>
      <c r="W14" s="239">
        <f>SUM(V14:V14)</f>
        <v>339.06</v>
      </c>
      <c r="X14" s="239">
        <f>J14+U14-W14</f>
        <v>4019.44</v>
      </c>
      <c r="Y14" s="185"/>
    </row>
    <row r="15" spans="1:25" s="186" customFormat="1" ht="75" customHeight="1" x14ac:dyDescent="0.2">
      <c r="A15" s="264"/>
      <c r="B15" s="234" t="s">
        <v>186</v>
      </c>
      <c r="C15" s="234" t="s">
        <v>142</v>
      </c>
      <c r="D15" s="243" t="s">
        <v>176</v>
      </c>
      <c r="E15" s="288" t="s">
        <v>179</v>
      </c>
      <c r="F15" s="236">
        <v>15</v>
      </c>
      <c r="G15" s="289">
        <f>H15/F15</f>
        <v>290.56666666666666</v>
      </c>
      <c r="H15" s="237">
        <v>4358.5</v>
      </c>
      <c r="I15" s="238">
        <v>0</v>
      </c>
      <c r="J15" s="239">
        <f>SUM(H15:I15)</f>
        <v>4358.5</v>
      </c>
      <c r="K15" s="240">
        <f t="shared" si="27"/>
        <v>0</v>
      </c>
      <c r="L15" s="240">
        <f t="shared" si="28"/>
        <v>4358.5</v>
      </c>
      <c r="M15" s="240">
        <f t="shared" si="29"/>
        <v>2699.41</v>
      </c>
      <c r="N15" s="240">
        <f t="shared" si="30"/>
        <v>1659.0900000000001</v>
      </c>
      <c r="O15" s="241">
        <f t="shared" si="31"/>
        <v>0.10879999999999999</v>
      </c>
      <c r="P15" s="240">
        <f t="shared" si="32"/>
        <v>180.50899200000001</v>
      </c>
      <c r="Q15" s="242">
        <f t="shared" si="33"/>
        <v>158.55000000000001</v>
      </c>
      <c r="R15" s="240">
        <f t="shared" si="34"/>
        <v>339.05899199999999</v>
      </c>
      <c r="S15" s="240">
        <f t="shared" si="35"/>
        <v>0</v>
      </c>
      <c r="T15" s="240">
        <f t="shared" si="36"/>
        <v>339.06</v>
      </c>
      <c r="U15" s="239">
        <f>-IF(T15&gt;0,0,T15)</f>
        <v>0</v>
      </c>
      <c r="V15" s="239">
        <f t="shared" ref="V15:V16" si="52">IF(T15&lt;0,0,T15)</f>
        <v>339.06</v>
      </c>
      <c r="W15" s="239">
        <f>SUM(V15:V15)</f>
        <v>339.06</v>
      </c>
      <c r="X15" s="239">
        <f>J15+U15-W15</f>
        <v>4019.44</v>
      </c>
      <c r="Y15" s="185"/>
    </row>
    <row r="16" spans="1:25" s="186" customFormat="1" ht="75" customHeight="1" x14ac:dyDescent="0.2">
      <c r="A16" s="264"/>
      <c r="B16" s="234" t="s">
        <v>367</v>
      </c>
      <c r="C16" s="234" t="s">
        <v>142</v>
      </c>
      <c r="D16" s="243" t="s">
        <v>365</v>
      </c>
      <c r="E16" s="288" t="s">
        <v>363</v>
      </c>
      <c r="F16" s="236">
        <v>15</v>
      </c>
      <c r="G16" s="289">
        <f>H16/F16</f>
        <v>223.5</v>
      </c>
      <c r="H16" s="237">
        <v>3352.5</v>
      </c>
      <c r="I16" s="238">
        <v>0</v>
      </c>
      <c r="J16" s="239">
        <f t="shared" ref="J16" si="53">SUM(H16:I16)</f>
        <v>3352.5</v>
      </c>
      <c r="K16" s="240">
        <f t="shared" si="27"/>
        <v>0</v>
      </c>
      <c r="L16" s="240">
        <f t="shared" si="28"/>
        <v>3352.5</v>
      </c>
      <c r="M16" s="240">
        <f t="shared" si="29"/>
        <v>2699.41</v>
      </c>
      <c r="N16" s="240">
        <f t="shared" si="30"/>
        <v>653.09000000000015</v>
      </c>
      <c r="O16" s="241">
        <f t="shared" si="31"/>
        <v>0.10879999999999999</v>
      </c>
      <c r="P16" s="240">
        <f t="shared" si="32"/>
        <v>71.05619200000001</v>
      </c>
      <c r="Q16" s="242">
        <f t="shared" si="33"/>
        <v>158.55000000000001</v>
      </c>
      <c r="R16" s="240">
        <f t="shared" si="34"/>
        <v>229.60619200000002</v>
      </c>
      <c r="S16" s="240">
        <f t="shared" si="35"/>
        <v>125.1</v>
      </c>
      <c r="T16" s="240">
        <f t="shared" si="36"/>
        <v>104.51</v>
      </c>
      <c r="U16" s="239">
        <f t="shared" ref="U16" si="54">-IF(T16&gt;0,0,T16)</f>
        <v>0</v>
      </c>
      <c r="V16" s="239">
        <f t="shared" si="52"/>
        <v>104.51</v>
      </c>
      <c r="W16" s="239">
        <f>SUM(V16:V16)</f>
        <v>104.51</v>
      </c>
      <c r="X16" s="239">
        <f>J16+U16-W16</f>
        <v>3247.99</v>
      </c>
      <c r="Y16" s="185"/>
    </row>
    <row r="17" spans="1:37" ht="40.5" customHeight="1" thickBot="1" x14ac:dyDescent="0.3">
      <c r="A17" s="351" t="s">
        <v>45</v>
      </c>
      <c r="B17" s="352"/>
      <c r="C17" s="352"/>
      <c r="D17" s="352"/>
      <c r="E17" s="352"/>
      <c r="F17" s="352"/>
      <c r="G17" s="353"/>
      <c r="H17" s="244">
        <f t="shared" ref="H17:X17" si="55">SUM(H10:H16)</f>
        <v>32210.59</v>
      </c>
      <c r="I17" s="244">
        <f t="shared" si="55"/>
        <v>0</v>
      </c>
      <c r="J17" s="244">
        <f t="shared" si="55"/>
        <v>32210.59</v>
      </c>
      <c r="K17" s="245">
        <f t="shared" si="55"/>
        <v>0</v>
      </c>
      <c r="L17" s="245">
        <f t="shared" si="55"/>
        <v>32210.59</v>
      </c>
      <c r="M17" s="245">
        <f t="shared" si="55"/>
        <v>27341.920000000002</v>
      </c>
      <c r="N17" s="245">
        <f t="shared" si="55"/>
        <v>4868.67</v>
      </c>
      <c r="O17" s="245">
        <f t="shared" si="55"/>
        <v>0.9728</v>
      </c>
      <c r="P17" s="245">
        <f t="shared" si="55"/>
        <v>565.41958399999999</v>
      </c>
      <c r="Q17" s="245">
        <f t="shared" si="55"/>
        <v>2147.1</v>
      </c>
      <c r="R17" s="245">
        <f t="shared" si="55"/>
        <v>2712.5195840000006</v>
      </c>
      <c r="S17" s="245">
        <f t="shared" si="55"/>
        <v>250.2</v>
      </c>
      <c r="T17" s="245">
        <f t="shared" si="55"/>
        <v>2462.3300000000004</v>
      </c>
      <c r="U17" s="244">
        <f t="shared" si="55"/>
        <v>0</v>
      </c>
      <c r="V17" s="244">
        <f t="shared" si="55"/>
        <v>2462.3300000000004</v>
      </c>
      <c r="W17" s="244">
        <f t="shared" si="55"/>
        <v>2462.3300000000004</v>
      </c>
      <c r="X17" s="244">
        <f t="shared" si="55"/>
        <v>29748.259999999995</v>
      </c>
    </row>
    <row r="18" spans="1:37" ht="13.5" thickTop="1" x14ac:dyDescent="0.2"/>
    <row r="28" spans="1:37" x14ac:dyDescent="0.2">
      <c r="D28" s="78" t="s">
        <v>226</v>
      </c>
      <c r="H28" s="112"/>
      <c r="V28" s="78" t="s">
        <v>246</v>
      </c>
    </row>
    <row r="29" spans="1:37" x14ac:dyDescent="0.2">
      <c r="D29" s="51" t="s">
        <v>236</v>
      </c>
      <c r="E29" s="113"/>
      <c r="F29" s="113"/>
      <c r="G29" s="113"/>
      <c r="H29" s="113"/>
      <c r="I29" s="113"/>
      <c r="V29" s="51" t="s">
        <v>242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J29" s="113"/>
      <c r="AK29" s="113"/>
    </row>
  </sheetData>
  <mergeCells count="7">
    <mergeCell ref="A17:G17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8"/>
  <sheetViews>
    <sheetView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19" t="s">
        <v>91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31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31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22" t="s">
        <v>1</v>
      </c>
      <c r="I6" s="323"/>
      <c r="J6" s="324"/>
      <c r="K6" s="67" t="s">
        <v>26</v>
      </c>
      <c r="L6" s="68"/>
      <c r="M6" s="325" t="s">
        <v>9</v>
      </c>
      <c r="N6" s="326"/>
      <c r="O6" s="326"/>
      <c r="P6" s="326"/>
      <c r="Q6" s="326"/>
      <c r="R6" s="327"/>
      <c r="S6" s="67" t="s">
        <v>54</v>
      </c>
      <c r="T6" s="67" t="s">
        <v>10</v>
      </c>
      <c r="U6" s="66" t="s">
        <v>54</v>
      </c>
      <c r="V6" s="328" t="s">
        <v>2</v>
      </c>
      <c r="W6" s="329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160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121</v>
      </c>
      <c r="C9" s="83" t="s">
        <v>159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99</v>
      </c>
      <c r="B10" s="137" t="s">
        <v>248</v>
      </c>
      <c r="C10" s="114" t="s">
        <v>142</v>
      </c>
      <c r="D10" s="119" t="s">
        <v>187</v>
      </c>
      <c r="E10" s="119" t="s">
        <v>188</v>
      </c>
      <c r="F10" s="131">
        <v>15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100</v>
      </c>
      <c r="B11" s="137" t="s">
        <v>249</v>
      </c>
      <c r="C11" s="114" t="s">
        <v>142</v>
      </c>
      <c r="D11" s="119" t="s">
        <v>189</v>
      </c>
      <c r="E11" s="119" t="s">
        <v>67</v>
      </c>
      <c r="F11" s="131">
        <v>15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:L12" si="0">H11+K11</f>
        <v>13237</v>
      </c>
      <c r="M11" s="126">
        <f>VLOOKUP(L11,Tarifa1,1)</f>
        <v>6602.71</v>
      </c>
      <c r="N11" s="126">
        <f t="shared" ref="N11:N12" si="1">L11-M11</f>
        <v>6634.29</v>
      </c>
      <c r="O11" s="127">
        <f>VLOOKUP(L11,Tarifa1,3)</f>
        <v>0.21360000000000001</v>
      </c>
      <c r="P11" s="126">
        <f t="shared" ref="P11:P12" si="2">N11*O11</f>
        <v>1417.0843440000001</v>
      </c>
      <c r="Q11" s="128">
        <f>VLOOKUP(L11,Tarifa1,2)</f>
        <v>699.3</v>
      </c>
      <c r="R11" s="126">
        <f t="shared" ref="R11:R12" si="3">P11+Q11</f>
        <v>2116.3843440000001</v>
      </c>
      <c r="S11" s="126">
        <f>VLOOKUP(L11,Credito1,2)</f>
        <v>0</v>
      </c>
      <c r="T11" s="126">
        <f t="shared" ref="T11:T12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129</v>
      </c>
      <c r="C12" s="137" t="s">
        <v>142</v>
      </c>
      <c r="D12" s="119" t="s">
        <v>68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si="0"/>
        <v>5311</v>
      </c>
      <c r="M12" s="126">
        <f>VLOOKUP(L12,Tarifa1,1)</f>
        <v>4744.0600000000004</v>
      </c>
      <c r="N12" s="126">
        <f t="shared" si="1"/>
        <v>566.9399999999996</v>
      </c>
      <c r="O12" s="127">
        <f>VLOOKUP(L12,Tarifa1,3)</f>
        <v>0.16</v>
      </c>
      <c r="P12" s="126">
        <f t="shared" si="2"/>
        <v>90.710399999999936</v>
      </c>
      <c r="Q12" s="128">
        <f>VLOOKUP(L12,Tarifa1,2)</f>
        <v>381</v>
      </c>
      <c r="R12" s="126">
        <f t="shared" si="3"/>
        <v>471.71039999999994</v>
      </c>
      <c r="S12" s="126">
        <f>VLOOKUP(L12,Credito1,2)</f>
        <v>0</v>
      </c>
      <c r="T12" s="126">
        <f t="shared" si="4"/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121</v>
      </c>
      <c r="C13" s="138" t="s">
        <v>159</v>
      </c>
      <c r="D13" s="139" t="s">
        <v>150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101</v>
      </c>
      <c r="B14" s="137" t="s">
        <v>250</v>
      </c>
      <c r="C14" s="114" t="s">
        <v>142</v>
      </c>
      <c r="D14" s="134" t="s">
        <v>190</v>
      </c>
      <c r="E14" s="121" t="s">
        <v>115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5">H14+K14</f>
        <v>5947</v>
      </c>
      <c r="M14" s="126">
        <f>VLOOKUP(L14,Tarifa1,1)</f>
        <v>5514.76</v>
      </c>
      <c r="N14" s="126">
        <f t="shared" ref="N14" si="6">L14-M14</f>
        <v>432.23999999999978</v>
      </c>
      <c r="O14" s="127">
        <f>VLOOKUP(L14,Tarifa1,3)</f>
        <v>0.1792</v>
      </c>
      <c r="P14" s="126">
        <f t="shared" ref="P14" si="7">N14*O14</f>
        <v>77.457407999999958</v>
      </c>
      <c r="Q14" s="128">
        <f>VLOOKUP(L14,Tarifa1,2)</f>
        <v>504.3</v>
      </c>
      <c r="R14" s="126">
        <f t="shared" ref="R14" si="8">P14+Q14</f>
        <v>581.75740799999994</v>
      </c>
      <c r="S14" s="126">
        <f>VLOOKUP(L14,Credito1,2)</f>
        <v>0</v>
      </c>
      <c r="T14" s="126">
        <f t="shared" ref="T14" si="9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121</v>
      </c>
      <c r="C15" s="138" t="s">
        <v>159</v>
      </c>
      <c r="D15" s="139" t="s">
        <v>151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103</v>
      </c>
      <c r="B16" s="114" t="s">
        <v>130</v>
      </c>
      <c r="C16" s="114" t="s">
        <v>142</v>
      </c>
      <c r="D16" s="119" t="s">
        <v>118</v>
      </c>
      <c r="E16" s="119" t="s">
        <v>69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0">H16+K16</f>
        <v>4754</v>
      </c>
      <c r="M16" s="126">
        <f>VLOOKUP(L16,Tarifa1,1)</f>
        <v>4744.0600000000004</v>
      </c>
      <c r="N16" s="126">
        <f t="shared" ref="N16" si="11">L16-M16</f>
        <v>9.9399999999995998</v>
      </c>
      <c r="O16" s="127">
        <f>VLOOKUP(L16,Tarifa1,3)</f>
        <v>0.16</v>
      </c>
      <c r="P16" s="126">
        <f t="shared" ref="P16" si="12">N16*O16</f>
        <v>1.5903999999999361</v>
      </c>
      <c r="Q16" s="128">
        <f>VLOOKUP(L16,Tarifa1,2)</f>
        <v>381</v>
      </c>
      <c r="R16" s="126">
        <f t="shared" ref="R16" si="13">P16+Q16</f>
        <v>382.59039999999993</v>
      </c>
      <c r="S16" s="126">
        <f>VLOOKUP(L16,Credito1,2)</f>
        <v>0</v>
      </c>
      <c r="T16" s="126">
        <f t="shared" ref="T16" si="14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121</v>
      </c>
      <c r="C17" s="138" t="s">
        <v>159</v>
      </c>
      <c r="D17" s="139" t="s">
        <v>152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104</v>
      </c>
      <c r="B18" s="137" t="s">
        <v>251</v>
      </c>
      <c r="C18" s="114" t="s">
        <v>142</v>
      </c>
      <c r="D18" s="119" t="s">
        <v>191</v>
      </c>
      <c r="E18" s="119" t="s">
        <v>98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15">H18+K18</f>
        <v>9744.5</v>
      </c>
      <c r="M18" s="126">
        <f>VLOOKUP(L18,Tarifa1,1)</f>
        <v>6602.71</v>
      </c>
      <c r="N18" s="126">
        <f t="shared" ref="N18:N19" si="16">L18-M18</f>
        <v>3141.79</v>
      </c>
      <c r="O18" s="127">
        <f>VLOOKUP(L18,Tarifa1,3)</f>
        <v>0.21360000000000001</v>
      </c>
      <c r="P18" s="126">
        <f t="shared" ref="P18:P19" si="17">N18*O18</f>
        <v>671.08634400000005</v>
      </c>
      <c r="Q18" s="128">
        <f>VLOOKUP(L18,Tarifa1,2)</f>
        <v>699.3</v>
      </c>
      <c r="R18" s="126">
        <f t="shared" ref="R18:R19" si="18">P18+Q18</f>
        <v>1370.386344</v>
      </c>
      <c r="S18" s="126">
        <f>VLOOKUP(L18,Credito1,2)</f>
        <v>0</v>
      </c>
      <c r="T18" s="126">
        <f t="shared" ref="T18:T19" si="19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282</v>
      </c>
      <c r="C19" s="145" t="s">
        <v>142</v>
      </c>
      <c r="D19" s="146" t="s">
        <v>270</v>
      </c>
      <c r="E19" s="147" t="s">
        <v>271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15"/>
        <v>4256.5</v>
      </c>
      <c r="M19" s="126">
        <f>VLOOKUP(L19,Tarifa1,1)</f>
        <v>2699.41</v>
      </c>
      <c r="N19" s="126">
        <f t="shared" si="16"/>
        <v>1557.0900000000001</v>
      </c>
      <c r="O19" s="127">
        <f>VLOOKUP(L19,Tarifa1,3)</f>
        <v>0.10879999999999999</v>
      </c>
      <c r="P19" s="126">
        <f t="shared" si="17"/>
        <v>169.41139200000001</v>
      </c>
      <c r="Q19" s="128">
        <f>VLOOKUP(L19,Tarifa1,2)</f>
        <v>158.55000000000001</v>
      </c>
      <c r="R19" s="126">
        <f t="shared" si="18"/>
        <v>327.96139200000005</v>
      </c>
      <c r="S19" s="126">
        <f>VLOOKUP(L19,Credito1,2)</f>
        <v>0</v>
      </c>
      <c r="T19" s="126">
        <f t="shared" si="19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121</v>
      </c>
      <c r="C20" s="138" t="s">
        <v>159</v>
      </c>
      <c r="D20" s="139" t="s">
        <v>153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105</v>
      </c>
      <c r="B21" s="114" t="s">
        <v>131</v>
      </c>
      <c r="C21" s="114" t="s">
        <v>142</v>
      </c>
      <c r="D21" s="119" t="s">
        <v>70</v>
      </c>
      <c r="E21" s="119" t="s">
        <v>90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0">H21+K21</f>
        <v>2624</v>
      </c>
      <c r="M21" s="126">
        <f>VLOOKUP(L21,Tarifa1,1)</f>
        <v>318.01</v>
      </c>
      <c r="N21" s="126">
        <f t="shared" ref="N21" si="21">L21-M21</f>
        <v>2305.9899999999998</v>
      </c>
      <c r="O21" s="127">
        <f>VLOOKUP(L21,Tarifa1,3)</f>
        <v>6.4000000000000001E-2</v>
      </c>
      <c r="P21" s="126">
        <f t="shared" ref="P21" si="22">N21*O21</f>
        <v>147.58336</v>
      </c>
      <c r="Q21" s="128">
        <f>VLOOKUP(L21,Tarifa1,2)</f>
        <v>6.15</v>
      </c>
      <c r="R21" s="126">
        <f t="shared" ref="R21" si="23">P21+Q21</f>
        <v>153.73336</v>
      </c>
      <c r="S21" s="126">
        <f>VLOOKUP(L21,Credito1,2)</f>
        <v>160.35</v>
      </c>
      <c r="T21" s="126">
        <f t="shared" ref="T21" si="24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90" customFormat="1" ht="54.95" customHeight="1" x14ac:dyDescent="0.2">
      <c r="A23" s="114" t="s">
        <v>106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  <c r="BRZ23" s="69"/>
      <c r="BSA23" s="69"/>
      <c r="BSB23" s="69"/>
      <c r="BSC23" s="69"/>
      <c r="BSD23" s="69"/>
      <c r="BSE23" s="69"/>
      <c r="BSF23" s="69"/>
      <c r="BSG23" s="69"/>
      <c r="BSH23" s="69"/>
      <c r="BSI23" s="69"/>
      <c r="BSJ23" s="69"/>
      <c r="BSK23" s="69"/>
      <c r="BSL23" s="69"/>
      <c r="BSM23" s="69"/>
      <c r="BSN23" s="69"/>
      <c r="BSO23" s="69"/>
      <c r="BSP23" s="69"/>
      <c r="BSQ23" s="69"/>
      <c r="BSR23" s="69"/>
      <c r="BSS23" s="69"/>
      <c r="BST23" s="69"/>
      <c r="BSU23" s="69"/>
      <c r="BSV23" s="69"/>
      <c r="BSW23" s="69"/>
      <c r="BSX23" s="69"/>
      <c r="BSY23" s="69"/>
      <c r="BSZ23" s="69"/>
      <c r="BTA23" s="69"/>
      <c r="BTB23" s="69"/>
      <c r="BTC23" s="69"/>
      <c r="BTD23" s="69"/>
      <c r="BTE23" s="69"/>
      <c r="BTF23" s="69"/>
      <c r="BTG23" s="69"/>
      <c r="BTH23" s="69"/>
      <c r="BTI23" s="69"/>
      <c r="BTJ23" s="69"/>
      <c r="BTK23" s="69"/>
      <c r="BTL23" s="69"/>
      <c r="BTM23" s="69"/>
      <c r="BTN23" s="69"/>
      <c r="BTO23" s="69"/>
      <c r="BTP23" s="69"/>
      <c r="BTQ23" s="69"/>
      <c r="BTR23" s="69"/>
      <c r="BTS23" s="69"/>
      <c r="BTT23" s="69"/>
      <c r="BTU23" s="69"/>
      <c r="BTV23" s="69"/>
      <c r="BTW23" s="69"/>
      <c r="BTX23" s="69"/>
      <c r="BTY23" s="69"/>
      <c r="BTZ23" s="69"/>
      <c r="BUA23" s="69"/>
      <c r="BUB23" s="69"/>
      <c r="BUC23" s="69"/>
      <c r="BUD23" s="69"/>
      <c r="BUE23" s="69"/>
      <c r="BUF23" s="69"/>
      <c r="BUG23" s="69"/>
      <c r="BUH23" s="69"/>
      <c r="BUI23" s="69"/>
      <c r="BUJ23" s="69"/>
      <c r="BUK23" s="69"/>
      <c r="BUL23" s="69"/>
      <c r="BUM23" s="69"/>
      <c r="BUN23" s="69"/>
      <c r="BUO23" s="69"/>
      <c r="BUP23" s="69"/>
      <c r="BUQ23" s="69"/>
      <c r="BUR23" s="69"/>
      <c r="BUS23" s="69"/>
      <c r="BUT23" s="69"/>
      <c r="BUU23" s="69"/>
      <c r="BUV23" s="69"/>
      <c r="BUW23" s="69"/>
      <c r="BUX23" s="69"/>
      <c r="BUY23" s="69"/>
      <c r="BUZ23" s="69"/>
      <c r="BVA23" s="69"/>
      <c r="BVB23" s="69"/>
      <c r="BVC23" s="69"/>
      <c r="BVD23" s="69"/>
      <c r="BVE23" s="69"/>
      <c r="BVF23" s="69"/>
      <c r="BVG23" s="69"/>
      <c r="BVH23" s="69"/>
      <c r="BVI23" s="69"/>
      <c r="BVJ23" s="69"/>
      <c r="BVK23" s="69"/>
      <c r="BVL23" s="69"/>
      <c r="BVM23" s="69"/>
      <c r="BVN23" s="69"/>
      <c r="BVO23" s="69"/>
      <c r="BVP23" s="69"/>
      <c r="BVQ23" s="69"/>
      <c r="BVR23" s="69"/>
      <c r="BVS23" s="69"/>
      <c r="BVT23" s="69"/>
      <c r="BVU23" s="69"/>
      <c r="BVV23" s="69"/>
      <c r="BVW23" s="69"/>
      <c r="BVX23" s="69"/>
      <c r="BVY23" s="69"/>
      <c r="BVZ23" s="69"/>
      <c r="BWA23" s="69"/>
      <c r="BWB23" s="69"/>
      <c r="BWC23" s="69"/>
      <c r="BWD23" s="69"/>
      <c r="BWE23" s="69"/>
      <c r="BWF23" s="69"/>
      <c r="BWG23" s="69"/>
      <c r="BWH23" s="69"/>
      <c r="BWI23" s="69"/>
      <c r="BWJ23" s="69"/>
      <c r="BWK23" s="69"/>
      <c r="BWL23" s="69"/>
      <c r="BWM23" s="69"/>
      <c r="BWN23" s="69"/>
      <c r="BWO23" s="69"/>
      <c r="BWP23" s="69"/>
      <c r="BWQ23" s="69"/>
      <c r="BWR23" s="69"/>
      <c r="BWS23" s="69"/>
      <c r="BWT23" s="69"/>
      <c r="BWU23" s="69"/>
      <c r="BWV23" s="69"/>
      <c r="BWW23" s="69"/>
      <c r="BWX23" s="69"/>
      <c r="BWY23" s="69"/>
      <c r="BWZ23" s="69"/>
      <c r="BXA23" s="69"/>
      <c r="BXB23" s="69"/>
      <c r="BXC23" s="69"/>
      <c r="BXD23" s="69"/>
      <c r="BXE23" s="69"/>
      <c r="BXF23" s="69"/>
      <c r="BXG23" s="69"/>
      <c r="BXH23" s="69"/>
      <c r="BXI23" s="69"/>
      <c r="BXJ23" s="69"/>
      <c r="BXK23" s="69"/>
      <c r="BXL23" s="69"/>
      <c r="BXM23" s="69"/>
      <c r="BXN23" s="69"/>
      <c r="BXO23" s="69"/>
      <c r="BXP23" s="69"/>
      <c r="BXQ23" s="69"/>
      <c r="BXR23" s="69"/>
      <c r="BXS23" s="69"/>
      <c r="BXT23" s="69"/>
      <c r="BXU23" s="69"/>
      <c r="BXV23" s="69"/>
      <c r="BXW23" s="69"/>
      <c r="BXX23" s="69"/>
      <c r="BXY23" s="69"/>
      <c r="BXZ23" s="69"/>
      <c r="BYA23" s="69"/>
      <c r="BYB23" s="69"/>
      <c r="BYC23" s="69"/>
      <c r="BYD23" s="69"/>
      <c r="BYE23" s="69"/>
      <c r="BYF23" s="69"/>
      <c r="BYG23" s="69"/>
      <c r="BYH23" s="69"/>
      <c r="BYI23" s="69"/>
      <c r="BYJ23" s="69"/>
      <c r="BYK23" s="69"/>
      <c r="BYL23" s="69"/>
      <c r="BYM23" s="69"/>
      <c r="BYN23" s="69"/>
      <c r="BYO23" s="69"/>
      <c r="BYP23" s="69"/>
      <c r="BYQ23" s="69"/>
      <c r="BYR23" s="69"/>
      <c r="BYS23" s="69"/>
      <c r="BYT23" s="69"/>
      <c r="BYU23" s="69"/>
      <c r="BYV23" s="69"/>
      <c r="BYW23" s="69"/>
      <c r="BYX23" s="69"/>
      <c r="BYY23" s="69"/>
      <c r="BYZ23" s="69"/>
      <c r="BZA23" s="69"/>
      <c r="BZB23" s="69"/>
      <c r="BZC23" s="69"/>
      <c r="BZD23" s="69"/>
      <c r="BZE23" s="69"/>
      <c r="BZF23" s="69"/>
      <c r="BZG23" s="69"/>
      <c r="BZH23" s="69"/>
      <c r="BZI23" s="69"/>
      <c r="BZJ23" s="69"/>
      <c r="BZK23" s="69"/>
      <c r="BZL23" s="69"/>
      <c r="BZM23" s="69"/>
      <c r="BZN23" s="69"/>
      <c r="BZO23" s="69"/>
      <c r="BZP23" s="69"/>
      <c r="BZQ23" s="69"/>
      <c r="BZR23" s="69"/>
      <c r="BZS23" s="69"/>
      <c r="BZT23" s="69"/>
      <c r="BZU23" s="69"/>
      <c r="BZV23" s="69"/>
      <c r="BZW23" s="69"/>
      <c r="BZX23" s="69"/>
      <c r="BZY23" s="69"/>
      <c r="BZZ23" s="69"/>
      <c r="CAA23" s="69"/>
      <c r="CAB23" s="69"/>
      <c r="CAC23" s="69"/>
      <c r="CAD23" s="69"/>
      <c r="CAE23" s="69"/>
      <c r="CAF23" s="69"/>
      <c r="CAG23" s="69"/>
      <c r="CAH23" s="69"/>
      <c r="CAI23" s="69"/>
      <c r="CAJ23" s="69"/>
      <c r="CAK23" s="69"/>
      <c r="CAL23" s="69"/>
      <c r="CAM23" s="69"/>
      <c r="CAN23" s="69"/>
      <c r="CAO23" s="69"/>
      <c r="CAP23" s="69"/>
      <c r="CAQ23" s="69"/>
      <c r="CAR23" s="69"/>
      <c r="CAS23" s="69"/>
      <c r="CAT23" s="69"/>
      <c r="CAU23" s="69"/>
      <c r="CAV23" s="69"/>
      <c r="CAW23" s="69"/>
      <c r="CAX23" s="69"/>
      <c r="CAY23" s="69"/>
      <c r="CAZ23" s="69"/>
      <c r="CBA23" s="69"/>
      <c r="CBB23" s="69"/>
      <c r="CBC23" s="69"/>
      <c r="CBD23" s="69"/>
      <c r="CBE23" s="69"/>
      <c r="CBF23" s="69"/>
      <c r="CBG23" s="69"/>
      <c r="CBH23" s="69"/>
      <c r="CBI23" s="69"/>
      <c r="CBJ23" s="69"/>
      <c r="CBK23" s="69"/>
      <c r="CBL23" s="69"/>
      <c r="CBM23" s="69"/>
      <c r="CBN23" s="69"/>
      <c r="CBO23" s="69"/>
      <c r="CBP23" s="69"/>
      <c r="CBQ23" s="69"/>
      <c r="CBR23" s="69"/>
      <c r="CBS23" s="69"/>
      <c r="CBT23" s="69"/>
      <c r="CBU23" s="69"/>
      <c r="CBV23" s="69"/>
      <c r="CBW23" s="69"/>
      <c r="CBX23" s="69"/>
      <c r="CBY23" s="69"/>
      <c r="CBZ23" s="69"/>
      <c r="CCA23" s="69"/>
      <c r="CCB23" s="69"/>
      <c r="CCC23" s="69"/>
      <c r="CCD23" s="69"/>
      <c r="CCE23" s="69"/>
      <c r="CCF23" s="69"/>
      <c r="CCG23" s="69"/>
      <c r="CCH23" s="69"/>
      <c r="CCI23" s="69"/>
      <c r="CCJ23" s="69"/>
      <c r="CCK23" s="69"/>
      <c r="CCL23" s="69"/>
      <c r="CCM23" s="69"/>
      <c r="CCN23" s="69"/>
      <c r="CCO23" s="69"/>
      <c r="CCP23" s="69"/>
      <c r="CCQ23" s="69"/>
      <c r="CCR23" s="69"/>
      <c r="CCS23" s="69"/>
      <c r="CCT23" s="69"/>
      <c r="CCU23" s="69"/>
      <c r="CCV23" s="69"/>
      <c r="CCW23" s="69"/>
      <c r="CCX23" s="69"/>
      <c r="CCY23" s="69"/>
      <c r="CCZ23" s="69"/>
      <c r="CDA23" s="69"/>
      <c r="CDB23" s="69"/>
      <c r="CDC23" s="69"/>
      <c r="CDD23" s="69"/>
      <c r="CDE23" s="69"/>
      <c r="CDF23" s="69"/>
      <c r="CDG23" s="69"/>
      <c r="CDH23" s="69"/>
      <c r="CDI23" s="69"/>
      <c r="CDJ23" s="69"/>
      <c r="CDK23" s="69"/>
      <c r="CDL23" s="69"/>
      <c r="CDM23" s="69"/>
      <c r="CDN23" s="69"/>
      <c r="CDO23" s="69"/>
      <c r="CDP23" s="69"/>
      <c r="CDQ23" s="69"/>
      <c r="CDR23" s="69"/>
      <c r="CDS23" s="69"/>
      <c r="CDT23" s="69"/>
      <c r="CDU23" s="69"/>
      <c r="CDV23" s="69"/>
      <c r="CDW23" s="69"/>
      <c r="CDX23" s="69"/>
      <c r="CDY23" s="69"/>
      <c r="CDZ23" s="69"/>
      <c r="CEA23" s="69"/>
      <c r="CEB23" s="69"/>
      <c r="CEC23" s="69"/>
      <c r="CED23" s="69"/>
      <c r="CEE23" s="69"/>
      <c r="CEF23" s="69"/>
      <c r="CEG23" s="69"/>
      <c r="CEH23" s="69"/>
      <c r="CEI23" s="69"/>
      <c r="CEJ23" s="69"/>
      <c r="CEK23" s="69"/>
      <c r="CEL23" s="69"/>
      <c r="CEM23" s="69"/>
      <c r="CEN23" s="69"/>
      <c r="CEO23" s="69"/>
      <c r="CEP23" s="69"/>
      <c r="CEQ23" s="69"/>
      <c r="CER23" s="69"/>
      <c r="CES23" s="69"/>
      <c r="CET23" s="69"/>
      <c r="CEU23" s="69"/>
      <c r="CEV23" s="69"/>
      <c r="CEW23" s="69"/>
      <c r="CEX23" s="69"/>
      <c r="CEY23" s="69"/>
      <c r="CEZ23" s="69"/>
      <c r="CFA23" s="69"/>
      <c r="CFB23" s="69"/>
      <c r="CFC23" s="69"/>
      <c r="CFD23" s="69"/>
      <c r="CFE23" s="69"/>
      <c r="CFF23" s="69"/>
      <c r="CFG23" s="69"/>
      <c r="CFH23" s="69"/>
      <c r="CFI23" s="69"/>
      <c r="CFJ23" s="69"/>
      <c r="CFK23" s="69"/>
      <c r="CFL23" s="69"/>
      <c r="CFM23" s="69"/>
      <c r="CFN23" s="69"/>
      <c r="CFO23" s="69"/>
      <c r="CFP23" s="69"/>
      <c r="CFQ23" s="69"/>
      <c r="CFR23" s="69"/>
      <c r="CFS23" s="69"/>
      <c r="CFT23" s="69"/>
      <c r="CFU23" s="69"/>
      <c r="CFV23" s="69"/>
      <c r="CFW23" s="69"/>
      <c r="CFX23" s="69"/>
      <c r="CFY23" s="69"/>
      <c r="CFZ23" s="69"/>
      <c r="CGA23" s="69"/>
      <c r="CGB23" s="69"/>
      <c r="CGC23" s="69"/>
      <c r="CGD23" s="69"/>
      <c r="CGE23" s="69"/>
      <c r="CGF23" s="69"/>
      <c r="CGG23" s="69"/>
      <c r="CGH23" s="69"/>
      <c r="CGI23" s="69"/>
      <c r="CGJ23" s="69"/>
      <c r="CGK23" s="69"/>
      <c r="CGL23" s="69"/>
      <c r="CGM23" s="69"/>
      <c r="CGN23" s="69"/>
      <c r="CGO23" s="69"/>
      <c r="CGP23" s="69"/>
      <c r="CGQ23" s="69"/>
      <c r="CGR23" s="69"/>
      <c r="CGS23" s="69"/>
      <c r="CGT23" s="69"/>
      <c r="CGU23" s="69"/>
      <c r="CGV23" s="69"/>
      <c r="CGW23" s="69"/>
      <c r="CGX23" s="69"/>
      <c r="CGY23" s="69"/>
      <c r="CGZ23" s="69"/>
      <c r="CHA23" s="69"/>
      <c r="CHB23" s="69"/>
      <c r="CHC23" s="69"/>
      <c r="CHD23" s="69"/>
      <c r="CHE23" s="69"/>
      <c r="CHF23" s="69"/>
      <c r="CHG23" s="69"/>
      <c r="CHH23" s="69"/>
      <c r="CHI23" s="69"/>
      <c r="CHJ23" s="69"/>
      <c r="CHK23" s="69"/>
      <c r="CHL23" s="69"/>
      <c r="CHM23" s="69"/>
      <c r="CHN23" s="69"/>
      <c r="CHO23" s="69"/>
      <c r="CHP23" s="69"/>
      <c r="CHQ23" s="69"/>
      <c r="CHR23" s="69"/>
      <c r="CHS23" s="69"/>
      <c r="CHT23" s="69"/>
      <c r="CHU23" s="69"/>
      <c r="CHV23" s="69"/>
      <c r="CHW23" s="69"/>
      <c r="CHX23" s="69"/>
      <c r="CHY23" s="69"/>
      <c r="CHZ23" s="69"/>
      <c r="CIA23" s="69"/>
      <c r="CIB23" s="69"/>
      <c r="CIC23" s="69"/>
      <c r="CID23" s="69"/>
      <c r="CIE23" s="69"/>
      <c r="CIF23" s="69"/>
      <c r="CIG23" s="69"/>
      <c r="CIH23" s="69"/>
      <c r="CII23" s="69"/>
      <c r="CIJ23" s="69"/>
      <c r="CIK23" s="69"/>
      <c r="CIL23" s="69"/>
      <c r="CIM23" s="69"/>
      <c r="CIN23" s="69"/>
      <c r="CIO23" s="69"/>
      <c r="CIP23" s="69"/>
      <c r="CIQ23" s="69"/>
      <c r="CIR23" s="69"/>
      <c r="CIS23" s="69"/>
      <c r="CIT23" s="69"/>
      <c r="CIU23" s="69"/>
      <c r="CIV23" s="69"/>
      <c r="CIW23" s="69"/>
      <c r="CIX23" s="69"/>
      <c r="CIY23" s="69"/>
      <c r="CIZ23" s="69"/>
      <c r="CJA23" s="69"/>
      <c r="CJB23" s="69"/>
      <c r="CJC23" s="69"/>
      <c r="CJD23" s="69"/>
      <c r="CJE23" s="69"/>
      <c r="CJF23" s="69"/>
      <c r="CJG23" s="69"/>
      <c r="CJH23" s="69"/>
      <c r="CJI23" s="69"/>
      <c r="CJJ23" s="69"/>
      <c r="CJK23" s="69"/>
      <c r="CJL23" s="69"/>
      <c r="CJM23" s="69"/>
      <c r="CJN23" s="69"/>
      <c r="CJO23" s="69"/>
      <c r="CJP23" s="69"/>
      <c r="CJQ23" s="69"/>
      <c r="CJR23" s="69"/>
      <c r="CJS23" s="69"/>
      <c r="CJT23" s="69"/>
      <c r="CJU23" s="69"/>
      <c r="CJV23" s="69"/>
      <c r="CJW23" s="69"/>
      <c r="CJX23" s="69"/>
      <c r="CJY23" s="69"/>
      <c r="CJZ23" s="69"/>
      <c r="CKA23" s="69"/>
      <c r="CKB23" s="69"/>
      <c r="CKC23" s="69"/>
      <c r="CKD23" s="69"/>
      <c r="CKE23" s="69"/>
      <c r="CKF23" s="69"/>
      <c r="CKG23" s="69"/>
      <c r="CKH23" s="69"/>
      <c r="CKI23" s="69"/>
      <c r="CKJ23" s="69"/>
      <c r="CKK23" s="69"/>
      <c r="CKL23" s="69"/>
      <c r="CKM23" s="69"/>
      <c r="CKN23" s="69"/>
      <c r="CKO23" s="69"/>
      <c r="CKP23" s="69"/>
      <c r="CKQ23" s="69"/>
      <c r="CKR23" s="69"/>
      <c r="CKS23" s="69"/>
      <c r="CKT23" s="69"/>
      <c r="CKU23" s="69"/>
      <c r="CKV23" s="69"/>
      <c r="CKW23" s="69"/>
      <c r="CKX23" s="69"/>
      <c r="CKY23" s="69"/>
      <c r="CKZ23" s="69"/>
      <c r="CLA23" s="69"/>
      <c r="CLB23" s="69"/>
      <c r="CLC23" s="69"/>
      <c r="CLD23" s="69"/>
      <c r="CLE23" s="69"/>
      <c r="CLF23" s="69"/>
      <c r="CLG23" s="69"/>
      <c r="CLH23" s="69"/>
      <c r="CLI23" s="69"/>
      <c r="CLJ23" s="69"/>
      <c r="CLK23" s="69"/>
      <c r="CLL23" s="69"/>
      <c r="CLM23" s="69"/>
      <c r="CLN23" s="69"/>
      <c r="CLO23" s="69"/>
      <c r="CLP23" s="69"/>
      <c r="CLQ23" s="69"/>
      <c r="CLR23" s="69"/>
      <c r="CLS23" s="69"/>
      <c r="CLT23" s="69"/>
      <c r="CLU23" s="69"/>
      <c r="CLV23" s="69"/>
      <c r="CLW23" s="69"/>
      <c r="CLX23" s="69"/>
      <c r="CLY23" s="69"/>
      <c r="CLZ23" s="69"/>
      <c r="CMA23" s="69"/>
      <c r="CMB23" s="69"/>
      <c r="CMC23" s="69"/>
      <c r="CMD23" s="69"/>
      <c r="CME23" s="69"/>
      <c r="CMF23" s="69"/>
      <c r="CMG23" s="69"/>
      <c r="CMH23" s="69"/>
      <c r="CMI23" s="69"/>
      <c r="CMJ23" s="69"/>
      <c r="CMK23" s="69"/>
      <c r="CML23" s="69"/>
      <c r="CMM23" s="69"/>
      <c r="CMN23" s="69"/>
      <c r="CMO23" s="69"/>
      <c r="CMP23" s="69"/>
      <c r="CMQ23" s="69"/>
      <c r="CMR23" s="69"/>
      <c r="CMS23" s="69"/>
      <c r="CMT23" s="69"/>
      <c r="CMU23" s="69"/>
      <c r="CMV23" s="69"/>
      <c r="CMW23" s="69"/>
      <c r="CMX23" s="69"/>
      <c r="CMY23" s="69"/>
      <c r="CMZ23" s="69"/>
      <c r="CNA23" s="69"/>
      <c r="CNB23" s="69"/>
      <c r="CNC23" s="69"/>
      <c r="CND23" s="69"/>
      <c r="CNE23" s="69"/>
      <c r="CNF23" s="69"/>
      <c r="CNG23" s="69"/>
      <c r="CNH23" s="69"/>
      <c r="CNI23" s="69"/>
      <c r="CNJ23" s="69"/>
      <c r="CNK23" s="69"/>
      <c r="CNL23" s="69"/>
      <c r="CNM23" s="69"/>
      <c r="CNN23" s="69"/>
      <c r="CNO23" s="69"/>
      <c r="CNP23" s="69"/>
      <c r="CNQ23" s="69"/>
      <c r="CNR23" s="69"/>
      <c r="CNS23" s="69"/>
      <c r="CNT23" s="69"/>
      <c r="CNU23" s="69"/>
      <c r="CNV23" s="69"/>
      <c r="CNW23" s="69"/>
      <c r="CNX23" s="69"/>
      <c r="CNY23" s="69"/>
      <c r="CNZ23" s="69"/>
      <c r="COA23" s="69"/>
      <c r="COB23" s="69"/>
      <c r="COC23" s="69"/>
      <c r="COD23" s="69"/>
      <c r="COE23" s="69"/>
      <c r="COF23" s="69"/>
      <c r="COG23" s="69"/>
      <c r="COH23" s="69"/>
      <c r="COI23" s="69"/>
      <c r="COJ23" s="69"/>
      <c r="COK23" s="69"/>
      <c r="COL23" s="69"/>
      <c r="COM23" s="69"/>
      <c r="CON23" s="69"/>
      <c r="COO23" s="69"/>
      <c r="COP23" s="69"/>
      <c r="COQ23" s="69"/>
      <c r="COR23" s="69"/>
      <c r="COS23" s="69"/>
      <c r="COT23" s="69"/>
      <c r="COU23" s="69"/>
      <c r="COV23" s="69"/>
      <c r="COW23" s="69"/>
      <c r="COX23" s="69"/>
      <c r="COY23" s="69"/>
      <c r="COZ23" s="69"/>
      <c r="CPA23" s="69"/>
      <c r="CPB23" s="69"/>
      <c r="CPC23" s="69"/>
      <c r="CPD23" s="69"/>
      <c r="CPE23" s="69"/>
      <c r="CPF23" s="69"/>
      <c r="CPG23" s="69"/>
      <c r="CPH23" s="69"/>
      <c r="CPI23" s="69"/>
      <c r="CPJ23" s="69"/>
      <c r="CPK23" s="69"/>
      <c r="CPL23" s="69"/>
      <c r="CPM23" s="69"/>
      <c r="CPN23" s="69"/>
      <c r="CPO23" s="69"/>
      <c r="CPP23" s="69"/>
      <c r="CPQ23" s="69"/>
      <c r="CPR23" s="69"/>
      <c r="CPS23" s="69"/>
      <c r="CPT23" s="69"/>
      <c r="CPU23" s="69"/>
      <c r="CPV23" s="69"/>
      <c r="CPW23" s="69"/>
      <c r="CPX23" s="69"/>
      <c r="CPY23" s="69"/>
      <c r="CPZ23" s="69"/>
      <c r="CQA23" s="69"/>
      <c r="CQB23" s="69"/>
      <c r="CQC23" s="69"/>
      <c r="CQD23" s="69"/>
      <c r="CQE23" s="69"/>
      <c r="CQF23" s="69"/>
      <c r="CQG23" s="69"/>
      <c r="CQH23" s="69"/>
      <c r="CQI23" s="69"/>
      <c r="CQJ23" s="69"/>
      <c r="CQK23" s="69"/>
      <c r="CQL23" s="69"/>
      <c r="CQM23" s="69"/>
      <c r="CQN23" s="69"/>
      <c r="CQO23" s="69"/>
      <c r="CQP23" s="69"/>
      <c r="CQQ23" s="69"/>
      <c r="CQR23" s="69"/>
      <c r="CQS23" s="69"/>
      <c r="CQT23" s="69"/>
      <c r="CQU23" s="69"/>
      <c r="CQV23" s="69"/>
      <c r="CQW23" s="69"/>
      <c r="CQX23" s="69"/>
      <c r="CQY23" s="69"/>
      <c r="CQZ23" s="69"/>
      <c r="CRA23" s="69"/>
      <c r="CRB23" s="69"/>
      <c r="CRC23" s="69"/>
      <c r="CRD23" s="69"/>
      <c r="CRE23" s="69"/>
      <c r="CRF23" s="69"/>
      <c r="CRG23" s="69"/>
      <c r="CRH23" s="69"/>
      <c r="CRI23" s="69"/>
      <c r="CRJ23" s="69"/>
      <c r="CRK23" s="69"/>
      <c r="CRL23" s="69"/>
      <c r="CRM23" s="69"/>
      <c r="CRN23" s="69"/>
      <c r="CRO23" s="69"/>
      <c r="CRP23" s="69"/>
      <c r="CRQ23" s="69"/>
      <c r="CRR23" s="69"/>
      <c r="CRS23" s="69"/>
      <c r="CRT23" s="69"/>
      <c r="CRU23" s="69"/>
      <c r="CRV23" s="69"/>
      <c r="CRW23" s="69"/>
      <c r="CRX23" s="69"/>
      <c r="CRY23" s="69"/>
      <c r="CRZ23" s="69"/>
      <c r="CSA23" s="69"/>
      <c r="CSB23" s="69"/>
      <c r="CSC23" s="69"/>
      <c r="CSD23" s="69"/>
      <c r="CSE23" s="69"/>
      <c r="CSF23" s="69"/>
      <c r="CSG23" s="69"/>
      <c r="CSH23" s="69"/>
      <c r="CSI23" s="69"/>
      <c r="CSJ23" s="69"/>
      <c r="CSK23" s="69"/>
      <c r="CSL23" s="69"/>
      <c r="CSM23" s="69"/>
      <c r="CSN23" s="69"/>
      <c r="CSO23" s="69"/>
      <c r="CSP23" s="69"/>
      <c r="CSQ23" s="69"/>
      <c r="CSR23" s="69"/>
      <c r="CSS23" s="69"/>
      <c r="CST23" s="69"/>
      <c r="CSU23" s="69"/>
      <c r="CSV23" s="69"/>
      <c r="CSW23" s="69"/>
      <c r="CSX23" s="69"/>
      <c r="CSY23" s="69"/>
      <c r="CSZ23" s="69"/>
      <c r="CTA23" s="69"/>
      <c r="CTB23" s="69"/>
      <c r="CTC23" s="69"/>
      <c r="CTD23" s="69"/>
      <c r="CTE23" s="69"/>
      <c r="CTF23" s="69"/>
      <c r="CTG23" s="69"/>
      <c r="CTH23" s="69"/>
      <c r="CTI23" s="69"/>
      <c r="CTJ23" s="69"/>
      <c r="CTK23" s="69"/>
      <c r="CTL23" s="69"/>
      <c r="CTM23" s="69"/>
      <c r="CTN23" s="69"/>
      <c r="CTO23" s="69"/>
      <c r="CTP23" s="69"/>
      <c r="CTQ23" s="69"/>
      <c r="CTR23" s="69"/>
      <c r="CTS23" s="69"/>
      <c r="CTT23" s="69"/>
      <c r="CTU23" s="69"/>
      <c r="CTV23" s="69"/>
      <c r="CTW23" s="69"/>
      <c r="CTX23" s="69"/>
      <c r="CTY23" s="69"/>
      <c r="CTZ23" s="69"/>
      <c r="CUA23" s="69"/>
      <c r="CUB23" s="69"/>
      <c r="CUC23" s="69"/>
      <c r="CUD23" s="69"/>
      <c r="CUE23" s="69"/>
      <c r="CUF23" s="69"/>
      <c r="CUG23" s="69"/>
      <c r="CUH23" s="69"/>
      <c r="CUI23" s="69"/>
      <c r="CUJ23" s="69"/>
      <c r="CUK23" s="69"/>
      <c r="CUL23" s="69"/>
      <c r="CUM23" s="69"/>
      <c r="CUN23" s="69"/>
      <c r="CUO23" s="69"/>
      <c r="CUP23" s="69"/>
      <c r="CUQ23" s="69"/>
      <c r="CUR23" s="69"/>
      <c r="CUS23" s="69"/>
      <c r="CUT23" s="69"/>
      <c r="CUU23" s="69"/>
      <c r="CUV23" s="69"/>
      <c r="CUW23" s="69"/>
      <c r="CUX23" s="69"/>
      <c r="CUY23" s="69"/>
      <c r="CUZ23" s="69"/>
      <c r="CVA23" s="69"/>
      <c r="CVB23" s="69"/>
      <c r="CVC23" s="69"/>
      <c r="CVD23" s="69"/>
      <c r="CVE23" s="69"/>
      <c r="CVF23" s="69"/>
      <c r="CVG23" s="69"/>
      <c r="CVH23" s="69"/>
      <c r="CVI23" s="69"/>
      <c r="CVJ23" s="69"/>
      <c r="CVK23" s="69"/>
      <c r="CVL23" s="69"/>
      <c r="CVM23" s="69"/>
      <c r="CVN23" s="69"/>
      <c r="CVO23" s="69"/>
      <c r="CVP23" s="69"/>
      <c r="CVQ23" s="69"/>
      <c r="CVR23" s="69"/>
      <c r="CVS23" s="69"/>
      <c r="CVT23" s="69"/>
      <c r="CVU23" s="69"/>
      <c r="CVV23" s="69"/>
      <c r="CVW23" s="69"/>
      <c r="CVX23" s="69"/>
      <c r="CVY23" s="69"/>
      <c r="CVZ23" s="69"/>
      <c r="CWA23" s="69"/>
      <c r="CWB23" s="69"/>
      <c r="CWC23" s="69"/>
      <c r="CWD23" s="69"/>
      <c r="CWE23" s="69"/>
      <c r="CWF23" s="69"/>
      <c r="CWG23" s="69"/>
      <c r="CWH23" s="69"/>
      <c r="CWI23" s="69"/>
      <c r="CWJ23" s="69"/>
      <c r="CWK23" s="69"/>
      <c r="CWL23" s="69"/>
      <c r="CWM23" s="69"/>
      <c r="CWN23" s="69"/>
      <c r="CWO23" s="69"/>
      <c r="CWP23" s="69"/>
      <c r="CWQ23" s="69"/>
      <c r="CWR23" s="69"/>
      <c r="CWS23" s="69"/>
      <c r="CWT23" s="69"/>
      <c r="CWU23" s="69"/>
      <c r="CWV23" s="69"/>
      <c r="CWW23" s="69"/>
      <c r="CWX23" s="69"/>
      <c r="CWY23" s="69"/>
      <c r="CWZ23" s="69"/>
      <c r="CXA23" s="69"/>
      <c r="CXB23" s="69"/>
      <c r="CXC23" s="69"/>
      <c r="CXD23" s="69"/>
      <c r="CXE23" s="69"/>
      <c r="CXF23" s="69"/>
      <c r="CXG23" s="69"/>
      <c r="CXH23" s="69"/>
      <c r="CXI23" s="69"/>
      <c r="CXJ23" s="69"/>
      <c r="CXK23" s="69"/>
      <c r="CXL23" s="69"/>
      <c r="CXM23" s="69"/>
      <c r="CXN23" s="69"/>
      <c r="CXO23" s="69"/>
      <c r="CXP23" s="69"/>
      <c r="CXQ23" s="69"/>
      <c r="CXR23" s="69"/>
      <c r="CXS23" s="69"/>
      <c r="CXT23" s="69"/>
      <c r="CXU23" s="69"/>
      <c r="CXV23" s="69"/>
      <c r="CXW23" s="69"/>
      <c r="CXX23" s="69"/>
      <c r="CXY23" s="69"/>
      <c r="CXZ23" s="69"/>
      <c r="CYA23" s="69"/>
      <c r="CYB23" s="69"/>
      <c r="CYC23" s="69"/>
      <c r="CYD23" s="69"/>
      <c r="CYE23" s="69"/>
      <c r="CYF23" s="69"/>
      <c r="CYG23" s="69"/>
      <c r="CYH23" s="69"/>
      <c r="CYI23" s="69"/>
      <c r="CYJ23" s="69"/>
      <c r="CYK23" s="69"/>
      <c r="CYL23" s="69"/>
      <c r="CYM23" s="69"/>
      <c r="CYN23" s="69"/>
      <c r="CYO23" s="69"/>
      <c r="CYP23" s="69"/>
      <c r="CYQ23" s="69"/>
      <c r="CYR23" s="69"/>
      <c r="CYS23" s="69"/>
      <c r="CYT23" s="69"/>
      <c r="CYU23" s="69"/>
      <c r="CYV23" s="69"/>
      <c r="CYW23" s="69"/>
      <c r="CYX23" s="69"/>
      <c r="CYY23" s="69"/>
      <c r="CYZ23" s="69"/>
      <c r="CZA23" s="69"/>
      <c r="CZB23" s="69"/>
      <c r="CZC23" s="69"/>
      <c r="CZD23" s="69"/>
      <c r="CZE23" s="69"/>
      <c r="CZF23" s="69"/>
      <c r="CZG23" s="69"/>
      <c r="CZH23" s="69"/>
      <c r="CZI23" s="69"/>
      <c r="CZJ23" s="69"/>
      <c r="CZK23" s="69"/>
      <c r="CZL23" s="69"/>
      <c r="CZM23" s="69"/>
      <c r="CZN23" s="69"/>
      <c r="CZO23" s="69"/>
      <c r="CZP23" s="69"/>
      <c r="CZQ23" s="69"/>
      <c r="CZR23" s="69"/>
      <c r="CZS23" s="69"/>
      <c r="CZT23" s="69"/>
      <c r="CZU23" s="69"/>
      <c r="CZV23" s="69"/>
      <c r="CZW23" s="69"/>
      <c r="CZX23" s="69"/>
      <c r="CZY23" s="69"/>
      <c r="CZZ23" s="69"/>
      <c r="DAA23" s="69"/>
      <c r="DAB23" s="69"/>
      <c r="DAC23" s="69"/>
      <c r="DAD23" s="69"/>
      <c r="DAE23" s="69"/>
      <c r="DAF23" s="69"/>
      <c r="DAG23" s="69"/>
      <c r="DAH23" s="69"/>
      <c r="DAI23" s="69"/>
      <c r="DAJ23" s="69"/>
      <c r="DAK23" s="69"/>
      <c r="DAL23" s="69"/>
      <c r="DAM23" s="69"/>
      <c r="DAN23" s="69"/>
      <c r="DAO23" s="69"/>
      <c r="DAP23" s="69"/>
      <c r="DAQ23" s="69"/>
      <c r="DAR23" s="69"/>
      <c r="DAS23" s="69"/>
      <c r="DAT23" s="69"/>
      <c r="DAU23" s="69"/>
      <c r="DAV23" s="69"/>
      <c r="DAW23" s="69"/>
      <c r="DAX23" s="69"/>
      <c r="DAY23" s="69"/>
      <c r="DAZ23" s="69"/>
      <c r="DBA23" s="69"/>
      <c r="DBB23" s="69"/>
      <c r="DBC23" s="69"/>
      <c r="DBD23" s="69"/>
      <c r="DBE23" s="69"/>
      <c r="DBF23" s="69"/>
      <c r="DBG23" s="69"/>
      <c r="DBH23" s="69"/>
      <c r="DBI23" s="69"/>
      <c r="DBJ23" s="69"/>
      <c r="DBK23" s="69"/>
      <c r="DBL23" s="69"/>
      <c r="DBM23" s="69"/>
      <c r="DBN23" s="69"/>
      <c r="DBO23" s="69"/>
      <c r="DBP23" s="69"/>
      <c r="DBQ23" s="69"/>
      <c r="DBR23" s="69"/>
      <c r="DBS23" s="69"/>
      <c r="DBT23" s="69"/>
      <c r="DBU23" s="69"/>
      <c r="DBV23" s="69"/>
      <c r="DBW23" s="69"/>
      <c r="DBX23" s="69"/>
      <c r="DBY23" s="69"/>
      <c r="DBZ23" s="69"/>
      <c r="DCA23" s="69"/>
      <c r="DCB23" s="69"/>
      <c r="DCC23" s="69"/>
      <c r="DCD23" s="69"/>
      <c r="DCE23" s="69"/>
      <c r="DCF23" s="69"/>
      <c r="DCG23" s="69"/>
      <c r="DCH23" s="69"/>
      <c r="DCI23" s="69"/>
      <c r="DCJ23" s="69"/>
      <c r="DCK23" s="69"/>
      <c r="DCL23" s="69"/>
      <c r="DCM23" s="69"/>
      <c r="DCN23" s="69"/>
      <c r="DCO23" s="69"/>
      <c r="DCP23" s="69"/>
      <c r="DCQ23" s="69"/>
      <c r="DCR23" s="69"/>
      <c r="DCS23" s="69"/>
      <c r="DCT23" s="69"/>
      <c r="DCU23" s="69"/>
      <c r="DCV23" s="69"/>
      <c r="DCW23" s="69"/>
      <c r="DCX23" s="69"/>
      <c r="DCY23" s="69"/>
      <c r="DCZ23" s="69"/>
      <c r="DDA23" s="69"/>
      <c r="DDB23" s="69"/>
      <c r="DDC23" s="69"/>
      <c r="DDD23" s="69"/>
      <c r="DDE23" s="69"/>
      <c r="DDF23" s="69"/>
      <c r="DDG23" s="69"/>
      <c r="DDH23" s="69"/>
      <c r="DDI23" s="69"/>
      <c r="DDJ23" s="69"/>
      <c r="DDK23" s="69"/>
      <c r="DDL23" s="69"/>
      <c r="DDM23" s="69"/>
      <c r="DDN23" s="69"/>
      <c r="DDO23" s="69"/>
      <c r="DDP23" s="69"/>
      <c r="DDQ23" s="69"/>
      <c r="DDR23" s="69"/>
      <c r="DDS23" s="69"/>
      <c r="DDT23" s="69"/>
      <c r="DDU23" s="69"/>
      <c r="DDV23" s="69"/>
      <c r="DDW23" s="69"/>
      <c r="DDX23" s="69"/>
      <c r="DDY23" s="69"/>
      <c r="DDZ23" s="69"/>
      <c r="DEA23" s="69"/>
      <c r="DEB23" s="69"/>
      <c r="DEC23" s="69"/>
      <c r="DED23" s="69"/>
      <c r="DEE23" s="69"/>
      <c r="DEF23" s="69"/>
      <c r="DEG23" s="69"/>
      <c r="DEH23" s="69"/>
      <c r="DEI23" s="69"/>
      <c r="DEJ23" s="69"/>
      <c r="DEK23" s="69"/>
      <c r="DEL23" s="69"/>
      <c r="DEM23" s="69"/>
      <c r="DEN23" s="69"/>
      <c r="DEO23" s="69"/>
      <c r="DEP23" s="69"/>
      <c r="DEQ23" s="69"/>
      <c r="DER23" s="69"/>
      <c r="DES23" s="69"/>
      <c r="DET23" s="69"/>
      <c r="DEU23" s="69"/>
      <c r="DEV23" s="69"/>
      <c r="DEW23" s="69"/>
      <c r="DEX23" s="69"/>
      <c r="DEY23" s="69"/>
      <c r="DEZ23" s="69"/>
      <c r="DFA23" s="69"/>
      <c r="DFB23" s="69"/>
      <c r="DFC23" s="69"/>
      <c r="DFD23" s="69"/>
      <c r="DFE23" s="69"/>
      <c r="DFF23" s="69"/>
      <c r="DFG23" s="69"/>
      <c r="DFH23" s="69"/>
      <c r="DFI23" s="69"/>
      <c r="DFJ23" s="69"/>
      <c r="DFK23" s="69"/>
      <c r="DFL23" s="69"/>
      <c r="DFM23" s="69"/>
      <c r="DFN23" s="69"/>
      <c r="DFO23" s="69"/>
      <c r="DFP23" s="69"/>
      <c r="DFQ23" s="69"/>
      <c r="DFR23" s="69"/>
      <c r="DFS23" s="69"/>
      <c r="DFT23" s="69"/>
      <c r="DFU23" s="69"/>
      <c r="DFV23" s="69"/>
      <c r="DFW23" s="69"/>
      <c r="DFX23" s="69"/>
      <c r="DFY23" s="69"/>
      <c r="DFZ23" s="69"/>
      <c r="DGA23" s="69"/>
      <c r="DGB23" s="69"/>
      <c r="DGC23" s="69"/>
      <c r="DGD23" s="69"/>
      <c r="DGE23" s="69"/>
      <c r="DGF23" s="69"/>
      <c r="DGG23" s="69"/>
      <c r="DGH23" s="69"/>
      <c r="DGI23" s="69"/>
      <c r="DGJ23" s="69"/>
      <c r="DGK23" s="69"/>
      <c r="DGL23" s="69"/>
      <c r="DGM23" s="69"/>
      <c r="DGN23" s="69"/>
      <c r="DGO23" s="69"/>
      <c r="DGP23" s="69"/>
      <c r="DGQ23" s="69"/>
      <c r="DGR23" s="69"/>
      <c r="DGS23" s="69"/>
      <c r="DGT23" s="69"/>
      <c r="DGU23" s="69"/>
      <c r="DGV23" s="69"/>
      <c r="DGW23" s="69"/>
      <c r="DGX23" s="69"/>
      <c r="DGY23" s="69"/>
      <c r="DGZ23" s="69"/>
      <c r="DHA23" s="69"/>
      <c r="DHB23" s="69"/>
      <c r="DHC23" s="69"/>
      <c r="DHD23" s="69"/>
      <c r="DHE23" s="69"/>
      <c r="DHF23" s="69"/>
      <c r="DHG23" s="69"/>
      <c r="DHH23" s="69"/>
      <c r="DHI23" s="69"/>
      <c r="DHJ23" s="69"/>
      <c r="DHK23" s="69"/>
      <c r="DHL23" s="69"/>
      <c r="DHM23" s="69"/>
      <c r="DHN23" s="69"/>
      <c r="DHO23" s="69"/>
      <c r="DHP23" s="69"/>
      <c r="DHQ23" s="69"/>
      <c r="DHR23" s="69"/>
      <c r="DHS23" s="69"/>
      <c r="DHT23" s="69"/>
      <c r="DHU23" s="69"/>
      <c r="DHV23" s="69"/>
      <c r="DHW23" s="69"/>
      <c r="DHX23" s="69"/>
      <c r="DHY23" s="69"/>
      <c r="DHZ23" s="69"/>
      <c r="DIA23" s="69"/>
      <c r="DIB23" s="69"/>
      <c r="DIC23" s="69"/>
      <c r="DID23" s="69"/>
      <c r="DIE23" s="69"/>
      <c r="DIF23" s="69"/>
      <c r="DIG23" s="69"/>
      <c r="DIH23" s="69"/>
      <c r="DII23" s="69"/>
      <c r="DIJ23" s="69"/>
      <c r="DIK23" s="69"/>
      <c r="DIL23" s="69"/>
      <c r="DIM23" s="69"/>
      <c r="DIN23" s="69"/>
      <c r="DIO23" s="69"/>
      <c r="DIP23" s="69"/>
      <c r="DIQ23" s="69"/>
      <c r="DIR23" s="69"/>
      <c r="DIS23" s="69"/>
      <c r="DIT23" s="69"/>
      <c r="DIU23" s="69"/>
      <c r="DIV23" s="69"/>
      <c r="DIW23" s="69"/>
      <c r="DIX23" s="69"/>
      <c r="DIY23" s="69"/>
      <c r="DIZ23" s="69"/>
      <c r="DJA23" s="69"/>
      <c r="DJB23" s="69"/>
      <c r="DJC23" s="69"/>
      <c r="DJD23" s="69"/>
      <c r="DJE23" s="69"/>
      <c r="DJF23" s="69"/>
      <c r="DJG23" s="69"/>
      <c r="DJH23" s="69"/>
      <c r="DJI23" s="69"/>
      <c r="DJJ23" s="69"/>
      <c r="DJK23" s="69"/>
      <c r="DJL23" s="69"/>
      <c r="DJM23" s="69"/>
      <c r="DJN23" s="69"/>
      <c r="DJO23" s="69"/>
      <c r="DJP23" s="69"/>
      <c r="DJQ23" s="69"/>
      <c r="DJR23" s="69"/>
      <c r="DJS23" s="69"/>
      <c r="DJT23" s="69"/>
      <c r="DJU23" s="69"/>
      <c r="DJV23" s="69"/>
      <c r="DJW23" s="69"/>
      <c r="DJX23" s="69"/>
      <c r="DJY23" s="69"/>
      <c r="DJZ23" s="69"/>
      <c r="DKA23" s="69"/>
      <c r="DKB23" s="69"/>
      <c r="DKC23" s="69"/>
      <c r="DKD23" s="69"/>
      <c r="DKE23" s="69"/>
      <c r="DKF23" s="69"/>
      <c r="DKG23" s="69"/>
      <c r="DKH23" s="69"/>
      <c r="DKI23" s="69"/>
      <c r="DKJ23" s="69"/>
      <c r="DKK23" s="69"/>
      <c r="DKL23" s="69"/>
      <c r="DKM23" s="69"/>
      <c r="DKN23" s="69"/>
      <c r="DKO23" s="69"/>
      <c r="DKP23" s="69"/>
      <c r="DKQ23" s="69"/>
      <c r="DKR23" s="69"/>
      <c r="DKS23" s="69"/>
      <c r="DKT23" s="69"/>
      <c r="DKU23" s="69"/>
      <c r="DKV23" s="69"/>
      <c r="DKW23" s="69"/>
      <c r="DKX23" s="69"/>
      <c r="DKY23" s="69"/>
      <c r="DKZ23" s="69"/>
      <c r="DLA23" s="69"/>
      <c r="DLB23" s="69"/>
      <c r="DLC23" s="69"/>
      <c r="DLD23" s="69"/>
      <c r="DLE23" s="69"/>
      <c r="DLF23" s="69"/>
      <c r="DLG23" s="69"/>
      <c r="DLH23" s="69"/>
      <c r="DLI23" s="69"/>
      <c r="DLJ23" s="69"/>
      <c r="DLK23" s="69"/>
      <c r="DLL23" s="69"/>
      <c r="DLM23" s="69"/>
      <c r="DLN23" s="69"/>
      <c r="DLO23" s="69"/>
      <c r="DLP23" s="69"/>
      <c r="DLQ23" s="69"/>
      <c r="DLR23" s="69"/>
      <c r="DLS23" s="69"/>
      <c r="DLT23" s="69"/>
      <c r="DLU23" s="69"/>
      <c r="DLV23" s="69"/>
      <c r="DLW23" s="69"/>
      <c r="DLX23" s="69"/>
      <c r="DLY23" s="69"/>
      <c r="DLZ23" s="69"/>
      <c r="DMA23" s="69"/>
      <c r="DMB23" s="69"/>
      <c r="DMC23" s="69"/>
      <c r="DMD23" s="69"/>
      <c r="DME23" s="69"/>
      <c r="DMF23" s="69"/>
      <c r="DMG23" s="69"/>
      <c r="DMH23" s="69"/>
      <c r="DMI23" s="69"/>
      <c r="DMJ23" s="69"/>
      <c r="DMK23" s="69"/>
      <c r="DML23" s="69"/>
      <c r="DMM23" s="69"/>
      <c r="DMN23" s="69"/>
      <c r="DMO23" s="69"/>
      <c r="DMP23" s="69"/>
      <c r="DMQ23" s="69"/>
      <c r="DMR23" s="69"/>
      <c r="DMS23" s="69"/>
      <c r="DMT23" s="69"/>
      <c r="DMU23" s="69"/>
      <c r="DMV23" s="69"/>
      <c r="DMW23" s="69"/>
      <c r="DMX23" s="69"/>
      <c r="DMY23" s="69"/>
      <c r="DMZ23" s="69"/>
      <c r="DNA23" s="69"/>
      <c r="DNB23" s="69"/>
      <c r="DNC23" s="69"/>
      <c r="DND23" s="69"/>
      <c r="DNE23" s="69"/>
      <c r="DNF23" s="69"/>
      <c r="DNG23" s="69"/>
      <c r="DNH23" s="69"/>
      <c r="DNI23" s="69"/>
      <c r="DNJ23" s="69"/>
      <c r="DNK23" s="69"/>
      <c r="DNL23" s="69"/>
      <c r="DNM23" s="69"/>
      <c r="DNN23" s="69"/>
      <c r="DNO23" s="69"/>
      <c r="DNP23" s="69"/>
      <c r="DNQ23" s="69"/>
      <c r="DNR23" s="69"/>
      <c r="DNS23" s="69"/>
      <c r="DNT23" s="69"/>
      <c r="DNU23" s="69"/>
      <c r="DNV23" s="69"/>
      <c r="DNW23" s="69"/>
      <c r="DNX23" s="69"/>
      <c r="DNY23" s="69"/>
      <c r="DNZ23" s="69"/>
      <c r="DOA23" s="69"/>
      <c r="DOB23" s="69"/>
      <c r="DOC23" s="69"/>
      <c r="DOD23" s="69"/>
      <c r="DOE23" s="69"/>
      <c r="DOF23" s="69"/>
      <c r="DOG23" s="69"/>
      <c r="DOH23" s="69"/>
      <c r="DOI23" s="69"/>
      <c r="DOJ23" s="69"/>
      <c r="DOK23" s="69"/>
      <c r="DOL23" s="69"/>
      <c r="DOM23" s="69"/>
      <c r="DON23" s="69"/>
      <c r="DOO23" s="69"/>
      <c r="DOP23" s="69"/>
      <c r="DOQ23" s="69"/>
      <c r="DOR23" s="69"/>
      <c r="DOS23" s="69"/>
      <c r="DOT23" s="69"/>
      <c r="DOU23" s="69"/>
      <c r="DOV23" s="69"/>
      <c r="DOW23" s="69"/>
      <c r="DOX23" s="69"/>
      <c r="DOY23" s="69"/>
      <c r="DOZ23" s="69"/>
      <c r="DPA23" s="69"/>
      <c r="DPB23" s="69"/>
      <c r="DPC23" s="69"/>
      <c r="DPD23" s="69"/>
      <c r="DPE23" s="69"/>
      <c r="DPF23" s="69"/>
      <c r="DPG23" s="69"/>
      <c r="DPH23" s="69"/>
      <c r="DPI23" s="69"/>
      <c r="DPJ23" s="69"/>
      <c r="DPK23" s="69"/>
      <c r="DPL23" s="69"/>
      <c r="DPM23" s="69"/>
      <c r="DPN23" s="69"/>
      <c r="DPO23" s="69"/>
      <c r="DPP23" s="69"/>
      <c r="DPQ23" s="69"/>
      <c r="DPR23" s="69"/>
      <c r="DPS23" s="69"/>
      <c r="DPT23" s="69"/>
      <c r="DPU23" s="69"/>
      <c r="DPV23" s="69"/>
      <c r="DPW23" s="69"/>
      <c r="DPX23" s="69"/>
      <c r="DPY23" s="69"/>
      <c r="DPZ23" s="69"/>
      <c r="DQA23" s="69"/>
      <c r="DQB23" s="69"/>
      <c r="DQC23" s="69"/>
      <c r="DQD23" s="69"/>
      <c r="DQE23" s="69"/>
      <c r="DQF23" s="69"/>
      <c r="DQG23" s="69"/>
      <c r="DQH23" s="69"/>
      <c r="DQI23" s="69"/>
      <c r="DQJ23" s="69"/>
      <c r="DQK23" s="69"/>
      <c r="DQL23" s="69"/>
      <c r="DQM23" s="69"/>
      <c r="DQN23" s="69"/>
      <c r="DQO23" s="69"/>
      <c r="DQP23" s="69"/>
      <c r="DQQ23" s="69"/>
      <c r="DQR23" s="69"/>
      <c r="DQS23" s="69"/>
      <c r="DQT23" s="69"/>
      <c r="DQU23" s="69"/>
      <c r="DQV23" s="69"/>
      <c r="DQW23" s="69"/>
      <c r="DQX23" s="69"/>
      <c r="DQY23" s="69"/>
      <c r="DQZ23" s="69"/>
      <c r="DRA23" s="69"/>
      <c r="DRB23" s="69"/>
      <c r="DRC23" s="69"/>
      <c r="DRD23" s="69"/>
      <c r="DRE23" s="69"/>
      <c r="DRF23" s="69"/>
      <c r="DRG23" s="69"/>
      <c r="DRH23" s="69"/>
      <c r="DRI23" s="69"/>
      <c r="DRJ23" s="69"/>
      <c r="DRK23" s="69"/>
      <c r="DRL23" s="69"/>
      <c r="DRM23" s="69"/>
      <c r="DRN23" s="69"/>
      <c r="DRO23" s="69"/>
      <c r="DRP23" s="69"/>
      <c r="DRQ23" s="69"/>
      <c r="DRR23" s="69"/>
      <c r="DRS23" s="69"/>
      <c r="DRT23" s="69"/>
      <c r="DRU23" s="69"/>
      <c r="DRV23" s="69"/>
      <c r="DRW23" s="69"/>
      <c r="DRX23" s="69"/>
      <c r="DRY23" s="69"/>
      <c r="DRZ23" s="69"/>
      <c r="DSA23" s="69"/>
      <c r="DSB23" s="69"/>
      <c r="DSC23" s="69"/>
      <c r="DSD23" s="69"/>
      <c r="DSE23" s="69"/>
      <c r="DSF23" s="69"/>
      <c r="DSG23" s="69"/>
      <c r="DSH23" s="69"/>
      <c r="DSI23" s="69"/>
      <c r="DSJ23" s="69"/>
      <c r="DSK23" s="69"/>
      <c r="DSL23" s="69"/>
      <c r="DSM23" s="69"/>
      <c r="DSN23" s="69"/>
      <c r="DSO23" s="69"/>
      <c r="DSP23" s="69"/>
      <c r="DSQ23" s="69"/>
      <c r="DSR23" s="69"/>
      <c r="DSS23" s="69"/>
      <c r="DST23" s="69"/>
      <c r="DSU23" s="69"/>
      <c r="DSV23" s="69"/>
      <c r="DSW23" s="69"/>
      <c r="DSX23" s="69"/>
    </row>
    <row r="24" spans="1:3222" s="90" customFormat="1" ht="28.5" customHeight="1" x14ac:dyDescent="0.25">
      <c r="A24" s="152"/>
      <c r="B24" s="319" t="s">
        <v>91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1.75" customHeight="1" x14ac:dyDescent="0.25">
      <c r="A25" s="152"/>
      <c r="B25" s="319" t="s">
        <v>66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3.25" customHeight="1" x14ac:dyDescent="0.2">
      <c r="A26" s="152"/>
      <c r="B26" s="320" t="s">
        <v>386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13.5" customHeight="1" x14ac:dyDescent="0.2">
      <c r="A27" s="152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0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54.75" customHeight="1" x14ac:dyDescent="0.2">
      <c r="A29" s="152"/>
      <c r="B29" s="138" t="s">
        <v>121</v>
      </c>
      <c r="C29" s="138" t="s">
        <v>159</v>
      </c>
      <c r="D29" s="139" t="s">
        <v>154</v>
      </c>
      <c r="E29" s="140" t="s">
        <v>62</v>
      </c>
      <c r="F29" s="140"/>
      <c r="G29" s="140"/>
      <c r="H29" s="141">
        <f>SUM(H30:H31)</f>
        <v>5568</v>
      </c>
      <c r="I29" s="141">
        <f>SUM(I30:I31)</f>
        <v>0</v>
      </c>
      <c r="J29" s="141">
        <f>SUM(J30:J31)</f>
        <v>5568</v>
      </c>
      <c r="K29" s="140"/>
      <c r="L29" s="140"/>
      <c r="M29" s="140"/>
      <c r="N29" s="140"/>
      <c r="O29" s="140"/>
      <c r="P29" s="140"/>
      <c r="Q29" s="143"/>
      <c r="R29" s="140"/>
      <c r="S29" s="140"/>
      <c r="T29" s="142"/>
      <c r="U29" s="141">
        <f>SUM(U30:U31)</f>
        <v>0</v>
      </c>
      <c r="V29" s="141">
        <f>SUM(V30:V31)</f>
        <v>44.8</v>
      </c>
      <c r="W29" s="141">
        <f>SUM(W30:W31)</f>
        <v>44.8</v>
      </c>
      <c r="X29" s="141">
        <f>SUM(X30:X31)</f>
        <v>5523.2</v>
      </c>
      <c r="Y29" s="87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14" t="s">
        <v>133</v>
      </c>
      <c r="C30" s="114" t="s">
        <v>142</v>
      </c>
      <c r="D30" s="122" t="s">
        <v>108</v>
      </c>
      <c r="E30" s="122" t="s">
        <v>209</v>
      </c>
      <c r="F30" s="149">
        <v>15</v>
      </c>
      <c r="G30" s="132">
        <v>178.81533333333334</v>
      </c>
      <c r="H30" s="150">
        <v>2784</v>
      </c>
      <c r="I30" s="151">
        <v>0</v>
      </c>
      <c r="J30" s="150">
        <f>SUM(H30:I30)</f>
        <v>2784</v>
      </c>
      <c r="K30" s="126">
        <f>IF(H30/15&lt;=SMG,0,I30/2)</f>
        <v>0</v>
      </c>
      <c r="L30" s="126">
        <f t="shared" ref="L30:L31" si="25">H30+K30</f>
        <v>2784</v>
      </c>
      <c r="M30" s="126">
        <f>VLOOKUP(L30,Tarifa1,1)</f>
        <v>2699.41</v>
      </c>
      <c r="N30" s="126">
        <f t="shared" ref="N30:N31" si="26">L30-M30</f>
        <v>84.590000000000146</v>
      </c>
      <c r="O30" s="127">
        <f>VLOOKUP(L30,Tarifa1,3)</f>
        <v>0.10879999999999999</v>
      </c>
      <c r="P30" s="126">
        <f t="shared" ref="P30:P31" si="27">N30*O30</f>
        <v>9.2033920000000151</v>
      </c>
      <c r="Q30" s="128">
        <f>VLOOKUP(L30,Tarifa1,2)</f>
        <v>158.55000000000001</v>
      </c>
      <c r="R30" s="126">
        <f t="shared" ref="R30:R31" si="28">P30+Q30</f>
        <v>167.75339200000002</v>
      </c>
      <c r="S30" s="126">
        <f>VLOOKUP(L30,Credito1,2)</f>
        <v>145.35</v>
      </c>
      <c r="T30" s="126">
        <f t="shared" ref="T30:T31" si="29">ROUND(R30-S30,2)</f>
        <v>22.4</v>
      </c>
      <c r="U30" s="150">
        <f>-IF(T30&gt;0,0,T30)</f>
        <v>0</v>
      </c>
      <c r="V30" s="150">
        <f>IF(T30&lt;0,0,T30)</f>
        <v>22.4</v>
      </c>
      <c r="W30" s="150">
        <f>SUM(V30:V30)</f>
        <v>22.4</v>
      </c>
      <c r="X30" s="150">
        <f>J30+U30-W30</f>
        <v>2761.6</v>
      </c>
      <c r="Y30" s="89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69" customFormat="1" ht="54.95" customHeight="1" x14ac:dyDescent="0.2">
      <c r="A31" s="114"/>
      <c r="B31" s="114" t="s">
        <v>376</v>
      </c>
      <c r="C31" s="114" t="s">
        <v>142</v>
      </c>
      <c r="D31" s="119" t="s">
        <v>334</v>
      </c>
      <c r="E31" s="122" t="s">
        <v>209</v>
      </c>
      <c r="F31" s="131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si="25"/>
        <v>2784</v>
      </c>
      <c r="M31" s="126">
        <f>VLOOKUP(L31,Tarifa1,1)</f>
        <v>2699.41</v>
      </c>
      <c r="N31" s="126">
        <f t="shared" si="26"/>
        <v>84.590000000000146</v>
      </c>
      <c r="O31" s="127">
        <f>VLOOKUP(L31,Tarifa1,3)</f>
        <v>0.10879999999999999</v>
      </c>
      <c r="P31" s="126">
        <f t="shared" si="27"/>
        <v>9.2033920000000151</v>
      </c>
      <c r="Q31" s="128">
        <f>VLOOKUP(L31,Tarifa1,2)</f>
        <v>158.55000000000001</v>
      </c>
      <c r="R31" s="126">
        <f t="shared" si="28"/>
        <v>167.75339200000002</v>
      </c>
      <c r="S31" s="126">
        <f>VLOOKUP(L31,Credito1,2)</f>
        <v>145.35</v>
      </c>
      <c r="T31" s="126">
        <f t="shared" si="29"/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74"/>
    </row>
    <row r="32" spans="1:3222" s="69" customFormat="1" ht="54.95" customHeight="1" x14ac:dyDescent="0.2">
      <c r="A32" s="114"/>
      <c r="B32" s="138" t="s">
        <v>121</v>
      </c>
      <c r="C32" s="138" t="s">
        <v>159</v>
      </c>
      <c r="D32" s="139" t="s">
        <v>155</v>
      </c>
      <c r="E32" s="140" t="s">
        <v>62</v>
      </c>
      <c r="F32" s="140"/>
      <c r="G32" s="140"/>
      <c r="H32" s="141">
        <f>SUM(H33:H33)</f>
        <v>2399.5</v>
      </c>
      <c r="I32" s="141">
        <f>SUM(I33:I33)</f>
        <v>0</v>
      </c>
      <c r="J32" s="141">
        <f>SUM(J33:J33)</f>
        <v>2399.5</v>
      </c>
      <c r="K32" s="140"/>
      <c r="L32" s="140"/>
      <c r="M32" s="140"/>
      <c r="N32" s="140"/>
      <c r="O32" s="140"/>
      <c r="P32" s="140"/>
      <c r="Q32" s="143"/>
      <c r="R32" s="140"/>
      <c r="S32" s="140"/>
      <c r="T32" s="142"/>
      <c r="U32" s="141">
        <f>SUM(U33:U33)</f>
        <v>20.98</v>
      </c>
      <c r="V32" s="141">
        <f>SUM(V33:V33)</f>
        <v>0</v>
      </c>
      <c r="W32" s="141">
        <f>SUM(W33:W33)</f>
        <v>0</v>
      </c>
      <c r="X32" s="141">
        <f>SUM(X33:X33)</f>
        <v>2420.48</v>
      </c>
      <c r="Y32" s="285"/>
    </row>
    <row r="33" spans="1:37" s="69" customFormat="1" ht="54.95" customHeight="1" x14ac:dyDescent="0.2">
      <c r="A33" s="114"/>
      <c r="B33" s="114" t="s">
        <v>132</v>
      </c>
      <c r="C33" s="114" t="s">
        <v>142</v>
      </c>
      <c r="D33" s="119" t="s">
        <v>71</v>
      </c>
      <c r="E33" s="121" t="s">
        <v>88</v>
      </c>
      <c r="F33" s="131">
        <v>15</v>
      </c>
      <c r="G33" s="132">
        <v>73.040000000000006</v>
      </c>
      <c r="H33" s="117">
        <v>2399.5</v>
      </c>
      <c r="I33" s="124">
        <v>0</v>
      </c>
      <c r="J33" s="125">
        <f>SUM(H33:I33)</f>
        <v>2399.5</v>
      </c>
      <c r="K33" s="126">
        <f>IF(H33/15&lt;=SMG,0,I33/2)</f>
        <v>0</v>
      </c>
      <c r="L33" s="126">
        <f t="shared" ref="L33" si="30">H33+K33</f>
        <v>2399.5</v>
      </c>
      <c r="M33" s="126">
        <f>VLOOKUP(L33,Tarifa1,1)</f>
        <v>318.01</v>
      </c>
      <c r="N33" s="126">
        <f t="shared" ref="N33" si="31">L33-M33</f>
        <v>2081.4899999999998</v>
      </c>
      <c r="O33" s="127">
        <f>VLOOKUP(L33,Tarifa1,3)</f>
        <v>6.4000000000000001E-2</v>
      </c>
      <c r="P33" s="126">
        <f t="shared" ref="P33" si="32">N33*O33</f>
        <v>133.21535999999998</v>
      </c>
      <c r="Q33" s="128">
        <f>VLOOKUP(L33,Tarifa1,2)</f>
        <v>6.15</v>
      </c>
      <c r="R33" s="126">
        <f t="shared" ref="R33" si="33">P33+Q33</f>
        <v>139.36535999999998</v>
      </c>
      <c r="S33" s="126">
        <f>VLOOKUP(L33,Credito1,2)</f>
        <v>160.35</v>
      </c>
      <c r="T33" s="126">
        <f t="shared" ref="T33" si="34">ROUND(R33-S33,2)</f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89"/>
    </row>
    <row r="34" spans="1:37" s="69" customFormat="1" ht="21.75" customHeight="1" x14ac:dyDescent="0.2">
      <c r="A34" s="152"/>
      <c r="B34" s="153"/>
      <c r="C34" s="153"/>
      <c r="D34" s="154"/>
      <c r="E34" s="154"/>
      <c r="F34" s="155"/>
      <c r="G34" s="156"/>
      <c r="H34" s="157"/>
      <c r="I34" s="158"/>
      <c r="J34" s="159"/>
      <c r="K34" s="160"/>
      <c r="L34" s="160"/>
      <c r="M34" s="160"/>
      <c r="N34" s="160"/>
      <c r="O34" s="161"/>
      <c r="P34" s="160"/>
      <c r="Q34" s="160"/>
      <c r="R34" s="160"/>
      <c r="S34" s="160"/>
      <c r="T34" s="160"/>
      <c r="U34" s="159"/>
      <c r="V34" s="159"/>
      <c r="W34" s="159"/>
      <c r="X34" s="159"/>
      <c r="Y34" s="76"/>
    </row>
    <row r="35" spans="1:37" s="69" customFormat="1" ht="54.75" customHeight="1" thickBot="1" x14ac:dyDescent="0.25">
      <c r="A35" s="316" t="s">
        <v>45</v>
      </c>
      <c r="B35" s="317"/>
      <c r="C35" s="317"/>
      <c r="D35" s="317"/>
      <c r="E35" s="317"/>
      <c r="F35" s="317"/>
      <c r="G35" s="318"/>
      <c r="H35" s="162">
        <f>SUM(H9+H13+H15+H17+H20+H29+H32)</f>
        <v>79956</v>
      </c>
      <c r="I35" s="162">
        <f>SUM(I9+I13+I15+I17+I20+I29+I32)</f>
        <v>0</v>
      </c>
      <c r="J35" s="162">
        <f>SUM(J9+J13+J15+J17+J20+J29+J32)</f>
        <v>79956</v>
      </c>
      <c r="K35" s="163">
        <f t="shared" ref="K35:T35" si="35">SUM(K10:K33)</f>
        <v>0</v>
      </c>
      <c r="L35" s="163">
        <f t="shared" si="35"/>
        <v>79956</v>
      </c>
      <c r="M35" s="163">
        <f t="shared" si="35"/>
        <v>57931.46</v>
      </c>
      <c r="N35" s="163">
        <f t="shared" si="35"/>
        <v>22024.54</v>
      </c>
      <c r="O35" s="163">
        <f t="shared" si="35"/>
        <v>1.6808000000000003</v>
      </c>
      <c r="P35" s="163">
        <f t="shared" si="35"/>
        <v>4264.2227920000005</v>
      </c>
      <c r="Q35" s="163">
        <f t="shared" si="35"/>
        <v>7090.6500000000005</v>
      </c>
      <c r="R35" s="163">
        <f t="shared" si="35"/>
        <v>11354.872792</v>
      </c>
      <c r="S35" s="163">
        <f t="shared" si="35"/>
        <v>611.4</v>
      </c>
      <c r="T35" s="163">
        <f t="shared" si="35"/>
        <v>10743.469999999998</v>
      </c>
      <c r="U35" s="162">
        <f>SUM(U9+U13+U15+U17+U20+U29+U32)</f>
        <v>27.6</v>
      </c>
      <c r="V35" s="162">
        <f>SUM(V9+V13+V15+V17+V20+V29+V32)</f>
        <v>10771.07</v>
      </c>
      <c r="W35" s="162">
        <f>SUM(W9+W13+W15+W17+W20+W29+W32)</f>
        <v>10771.07</v>
      </c>
      <c r="X35" s="162">
        <f>SUM(X9+X13+X15+X17+X20+X29+X32)</f>
        <v>69212.53</v>
      </c>
    </row>
    <row r="36" spans="1:37" s="69" customFormat="1" ht="12" customHeight="1" thickTop="1" x14ac:dyDescent="0.2"/>
    <row r="37" spans="1:37" s="69" customFormat="1" ht="12" customHeight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x14ac:dyDescent="0.2"/>
    <row r="45" spans="1:37" s="69" customFormat="1" ht="12" x14ac:dyDescent="0.2">
      <c r="D45" s="69" t="s">
        <v>227</v>
      </c>
      <c r="V45" s="69" t="s">
        <v>109</v>
      </c>
    </row>
    <row r="46" spans="1:37" s="69" customFormat="1" ht="12" x14ac:dyDescent="0.2">
      <c r="D46" s="78" t="s">
        <v>226</v>
      </c>
      <c r="V46" s="78" t="s">
        <v>228</v>
      </c>
    </row>
    <row r="47" spans="1:37" s="69" customFormat="1" ht="12" x14ac:dyDescent="0.2">
      <c r="D47" s="78" t="s">
        <v>96</v>
      </c>
      <c r="E47" s="78"/>
      <c r="F47" s="78"/>
      <c r="G47" s="78"/>
      <c r="H47" s="78"/>
      <c r="I47" s="78"/>
      <c r="V47" s="78" t="s">
        <v>97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30" t="s">
        <v>1</v>
      </c>
      <c r="I6" s="331"/>
      <c r="J6" s="332"/>
      <c r="K6" s="24" t="s">
        <v>26</v>
      </c>
      <c r="L6" s="25"/>
      <c r="M6" s="333" t="s">
        <v>9</v>
      </c>
      <c r="N6" s="334"/>
      <c r="O6" s="334"/>
      <c r="P6" s="334"/>
      <c r="Q6" s="334"/>
      <c r="R6" s="335"/>
      <c r="S6" s="24" t="s">
        <v>54</v>
      </c>
      <c r="T6" s="24" t="s">
        <v>10</v>
      </c>
      <c r="U6" s="23" t="s">
        <v>54</v>
      </c>
      <c r="V6" s="336" t="s">
        <v>2</v>
      </c>
      <c r="W6" s="337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87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142</v>
      </c>
      <c r="D10" s="164" t="s">
        <v>223</v>
      </c>
      <c r="E10" s="164" t="s">
        <v>87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16" t="s">
        <v>45</v>
      </c>
      <c r="B12" s="317"/>
      <c r="C12" s="317"/>
      <c r="D12" s="317"/>
      <c r="E12" s="317"/>
      <c r="F12" s="317"/>
      <c r="G12" s="318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229</v>
      </c>
      <c r="V22" t="s">
        <v>109</v>
      </c>
    </row>
    <row r="23" spans="4:37" x14ac:dyDescent="0.2">
      <c r="D23" s="78" t="s">
        <v>226</v>
      </c>
      <c r="H23" s="4"/>
      <c r="V23" s="78" t="s">
        <v>231</v>
      </c>
    </row>
    <row r="24" spans="4:37" x14ac:dyDescent="0.2">
      <c r="D24" s="51" t="s">
        <v>230</v>
      </c>
      <c r="E24" s="51"/>
      <c r="F24" s="51"/>
      <c r="G24" s="51"/>
      <c r="H24" s="51"/>
      <c r="I24" s="51"/>
      <c r="V24" s="51" t="s">
        <v>97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9"/>
  <sheetViews>
    <sheetView topLeftCell="C1" zoomScale="66" zoomScaleNormal="66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.42578125" hidden="1" customWidth="1"/>
    <col min="3" max="3" width="11.85546875" customWidth="1"/>
    <col min="4" max="4" width="9.42578125" customWidth="1"/>
    <col min="5" max="5" width="38.140625" customWidth="1"/>
    <col min="6" max="6" width="28.7109375" customWidth="1"/>
    <col min="7" max="7" width="12.7109375" hidden="1" customWidth="1"/>
    <col min="9" max="11" width="14.42578125" customWidth="1"/>
    <col min="12" max="21" width="14.42578125" hidden="1" customWidth="1"/>
    <col min="22" max="25" width="14.42578125" customWidth="1"/>
    <col min="26" max="26" width="70.5703125" customWidth="1"/>
  </cols>
  <sheetData>
    <row r="1" spans="1:26" ht="18" x14ac:dyDescent="0.25">
      <c r="A1" s="296" t="s">
        <v>92</v>
      </c>
      <c r="B1" s="319" t="s">
        <v>92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</row>
    <row r="2" spans="1:26" ht="18" x14ac:dyDescent="0.25">
      <c r="A2" s="296" t="s">
        <v>66</v>
      </c>
      <c r="B2" s="319" t="s">
        <v>66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</row>
    <row r="3" spans="1:26" ht="15" x14ac:dyDescent="0.2">
      <c r="A3" s="50" t="s">
        <v>386</v>
      </c>
      <c r="B3" s="320" t="s">
        <v>386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s="69" customFormat="1" ht="12.75" customHeight="1" x14ac:dyDescent="0.2">
      <c r="A5" s="6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s="69" customFormat="1" x14ac:dyDescent="0.2">
      <c r="A6" s="70" t="s">
        <v>21</v>
      </c>
      <c r="B6" s="22"/>
      <c r="C6" s="225"/>
      <c r="D6" s="225"/>
      <c r="E6" s="225"/>
      <c r="F6" s="225"/>
      <c r="G6" s="298" t="s">
        <v>23</v>
      </c>
      <c r="H6" s="298" t="s">
        <v>6</v>
      </c>
      <c r="I6" s="338" t="s">
        <v>1</v>
      </c>
      <c r="J6" s="339"/>
      <c r="K6" s="340"/>
      <c r="L6" s="299" t="s">
        <v>26</v>
      </c>
      <c r="M6" s="300"/>
      <c r="N6" s="341" t="s">
        <v>9</v>
      </c>
      <c r="O6" s="342"/>
      <c r="P6" s="342"/>
      <c r="Q6" s="342"/>
      <c r="R6" s="342"/>
      <c r="S6" s="343"/>
      <c r="T6" s="299" t="s">
        <v>30</v>
      </c>
      <c r="U6" s="299" t="s">
        <v>10</v>
      </c>
      <c r="V6" s="298" t="s">
        <v>54</v>
      </c>
      <c r="W6" s="316" t="s">
        <v>2</v>
      </c>
      <c r="X6" s="318"/>
      <c r="Y6" s="298" t="s">
        <v>0</v>
      </c>
      <c r="Z6" s="225"/>
    </row>
    <row r="7" spans="1:26" s="69" customFormat="1" ht="25.5" x14ac:dyDescent="0.2">
      <c r="A7" s="79"/>
      <c r="B7" s="26" t="s">
        <v>21</v>
      </c>
      <c r="C7" s="301" t="s">
        <v>121</v>
      </c>
      <c r="D7" s="301" t="s">
        <v>143</v>
      </c>
      <c r="E7" s="44" t="s">
        <v>22</v>
      </c>
      <c r="F7" s="44"/>
      <c r="G7" s="302" t="s">
        <v>24</v>
      </c>
      <c r="H7" s="44" t="s">
        <v>25</v>
      </c>
      <c r="I7" s="298" t="s">
        <v>6</v>
      </c>
      <c r="J7" s="298" t="s">
        <v>59</v>
      </c>
      <c r="K7" s="298" t="s">
        <v>28</v>
      </c>
      <c r="L7" s="303" t="s">
        <v>27</v>
      </c>
      <c r="M7" s="300" t="s">
        <v>32</v>
      </c>
      <c r="N7" s="300" t="s">
        <v>12</v>
      </c>
      <c r="O7" s="300" t="s">
        <v>34</v>
      </c>
      <c r="P7" s="300" t="s">
        <v>36</v>
      </c>
      <c r="Q7" s="300" t="s">
        <v>37</v>
      </c>
      <c r="R7" s="300" t="s">
        <v>14</v>
      </c>
      <c r="S7" s="300" t="s">
        <v>10</v>
      </c>
      <c r="T7" s="303" t="s">
        <v>40</v>
      </c>
      <c r="U7" s="303" t="s">
        <v>41</v>
      </c>
      <c r="V7" s="44" t="s">
        <v>31</v>
      </c>
      <c r="W7" s="298" t="s">
        <v>3</v>
      </c>
      <c r="X7" s="298" t="s">
        <v>7</v>
      </c>
      <c r="Y7" s="44" t="s">
        <v>4</v>
      </c>
      <c r="Z7" s="44" t="s">
        <v>58</v>
      </c>
    </row>
    <row r="8" spans="1:26" s="69" customFormat="1" x14ac:dyDescent="0.2">
      <c r="A8" s="82"/>
      <c r="B8" s="29"/>
      <c r="C8" s="304"/>
      <c r="D8" s="304"/>
      <c r="E8" s="304"/>
      <c r="F8" s="304"/>
      <c r="G8" s="304"/>
      <c r="H8" s="304"/>
      <c r="I8" s="44" t="s">
        <v>47</v>
      </c>
      <c r="J8" s="44" t="s">
        <v>60</v>
      </c>
      <c r="K8" s="44" t="s">
        <v>29</v>
      </c>
      <c r="L8" s="303" t="s">
        <v>43</v>
      </c>
      <c r="M8" s="299" t="s">
        <v>33</v>
      </c>
      <c r="N8" s="299" t="s">
        <v>13</v>
      </c>
      <c r="O8" s="299" t="s">
        <v>35</v>
      </c>
      <c r="P8" s="299" t="s">
        <v>35</v>
      </c>
      <c r="Q8" s="299" t="s">
        <v>38</v>
      </c>
      <c r="R8" s="299" t="s">
        <v>15</v>
      </c>
      <c r="S8" s="299" t="s">
        <v>39</v>
      </c>
      <c r="T8" s="303" t="s">
        <v>19</v>
      </c>
      <c r="U8" s="305" t="s">
        <v>387</v>
      </c>
      <c r="V8" s="44" t="s">
        <v>53</v>
      </c>
      <c r="W8" s="44"/>
      <c r="X8" s="44" t="s">
        <v>44</v>
      </c>
      <c r="Y8" s="44" t="s">
        <v>5</v>
      </c>
      <c r="Z8" s="306"/>
    </row>
    <row r="9" spans="1:26" s="186" customFormat="1" ht="95.1" customHeight="1" x14ac:dyDescent="0.25">
      <c r="A9" s="246" t="s">
        <v>101</v>
      </c>
      <c r="B9" s="47"/>
      <c r="C9" s="47"/>
      <c r="D9" s="47"/>
      <c r="E9" s="129" t="s">
        <v>311</v>
      </c>
      <c r="F9" s="46" t="s">
        <v>62</v>
      </c>
      <c r="G9" s="47"/>
      <c r="H9" s="47"/>
      <c r="I9" s="224">
        <f>I10</f>
        <v>12048</v>
      </c>
      <c r="J9" s="224">
        <f>J10</f>
        <v>0</v>
      </c>
      <c r="K9" s="224">
        <f>K10</f>
        <v>12048</v>
      </c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24">
        <f>V10</f>
        <v>0</v>
      </c>
      <c r="W9" s="224">
        <f>W10</f>
        <v>1862.41</v>
      </c>
      <c r="X9" s="224">
        <f>X10</f>
        <v>1862.41</v>
      </c>
      <c r="Y9" s="224">
        <f>Y10</f>
        <v>10185.59</v>
      </c>
      <c r="Z9" s="49"/>
    </row>
    <row r="10" spans="1:26" s="186" customFormat="1" ht="95.1" customHeight="1" x14ac:dyDescent="0.25">
      <c r="A10" s="246"/>
      <c r="B10" s="177">
        <v>1</v>
      </c>
      <c r="C10" s="178">
        <v>161</v>
      </c>
      <c r="D10" s="136" t="s">
        <v>142</v>
      </c>
      <c r="E10" s="164" t="s">
        <v>203</v>
      </c>
      <c r="F10" s="175" t="s">
        <v>273</v>
      </c>
      <c r="G10" s="179">
        <v>15</v>
      </c>
      <c r="H10" s="180">
        <f>I10/G10</f>
        <v>803.2</v>
      </c>
      <c r="I10" s="181">
        <v>12048</v>
      </c>
      <c r="J10" s="182">
        <v>0</v>
      </c>
      <c r="K10" s="183">
        <f>SUM(I10:J10)</f>
        <v>12048</v>
      </c>
      <c r="L10" s="170">
        <f>IF(I10/15&lt;=SMG,0,J10/2)</f>
        <v>0</v>
      </c>
      <c r="M10" s="170">
        <f>I10+L10</f>
        <v>12048</v>
      </c>
      <c r="N10" s="170">
        <f>VLOOKUP(M10,Tarifa1,1)</f>
        <v>6602.71</v>
      </c>
      <c r="O10" s="170">
        <f>M10-N10</f>
        <v>5445.29</v>
      </c>
      <c r="P10" s="171">
        <f>VLOOKUP(M10,Tarifa1,3)</f>
        <v>0.21360000000000001</v>
      </c>
      <c r="Q10" s="170">
        <f>O10*P10</f>
        <v>1163.1139439999999</v>
      </c>
      <c r="R10" s="172">
        <f>VLOOKUP(M10,Tarifa1,2)</f>
        <v>699.3</v>
      </c>
      <c r="S10" s="170">
        <f>Q10+R10</f>
        <v>1862.4139439999999</v>
      </c>
      <c r="T10" s="170">
        <f>VLOOKUP(M10,Credito1,2)</f>
        <v>0</v>
      </c>
      <c r="U10" s="170">
        <f>ROUND(S10-T10,2)</f>
        <v>1862.41</v>
      </c>
      <c r="V10" s="183">
        <f>-IF(U10&gt;0,0,U10)</f>
        <v>0</v>
      </c>
      <c r="W10" s="184">
        <f>IF(U10&lt;0,0,U10)</f>
        <v>1862.41</v>
      </c>
      <c r="X10" s="183">
        <f>SUM(W10:W10)</f>
        <v>1862.41</v>
      </c>
      <c r="Y10" s="183">
        <f>K10+V10-X10</f>
        <v>10185.59</v>
      </c>
      <c r="Z10" s="185"/>
    </row>
    <row r="11" spans="1:26" s="186" customFormat="1" ht="95.1" customHeight="1" x14ac:dyDescent="0.25">
      <c r="A11" s="246" t="s">
        <v>102</v>
      </c>
      <c r="B11" s="200"/>
      <c r="C11" s="201" t="s">
        <v>121</v>
      </c>
      <c r="D11" s="201" t="s">
        <v>159</v>
      </c>
      <c r="E11" s="45" t="s">
        <v>162</v>
      </c>
      <c r="F11" s="45" t="s">
        <v>62</v>
      </c>
      <c r="G11" s="45"/>
      <c r="H11" s="45"/>
      <c r="I11" s="197">
        <f>SUM(I12)</f>
        <v>6728.5</v>
      </c>
      <c r="J11" s="197">
        <f>SUM(J12)</f>
        <v>0</v>
      </c>
      <c r="K11" s="197">
        <f>SUM(K12)</f>
        <v>6728.5</v>
      </c>
      <c r="L11" s="45"/>
      <c r="M11" s="45"/>
      <c r="N11" s="45"/>
      <c r="O11" s="45"/>
      <c r="P11" s="45"/>
      <c r="Q11" s="45"/>
      <c r="R11" s="198"/>
      <c r="S11" s="45"/>
      <c r="T11" s="45"/>
      <c r="U11" s="45"/>
      <c r="V11" s="197">
        <f>SUM(V12)</f>
        <v>0</v>
      </c>
      <c r="W11" s="197">
        <f>SUM(W12)</f>
        <v>726.17</v>
      </c>
      <c r="X11" s="197">
        <f>SUM(X12)</f>
        <v>726.17</v>
      </c>
      <c r="Y11" s="197">
        <f>SUM(Y12)</f>
        <v>6002.33</v>
      </c>
      <c r="Z11" s="49"/>
    </row>
    <row r="12" spans="1:26" s="186" customFormat="1" ht="95.1" customHeight="1" x14ac:dyDescent="0.25">
      <c r="A12" s="246" t="s">
        <v>103</v>
      </c>
      <c r="B12" s="56"/>
      <c r="C12" s="136" t="s">
        <v>257</v>
      </c>
      <c r="D12" s="62" t="s">
        <v>142</v>
      </c>
      <c r="E12" s="164" t="s">
        <v>225</v>
      </c>
      <c r="F12" s="164" t="s">
        <v>117</v>
      </c>
      <c r="G12" s="165">
        <v>15</v>
      </c>
      <c r="H12" s="166">
        <f t="shared" ref="H12" si="0">I12/G12</f>
        <v>448.56666666666666</v>
      </c>
      <c r="I12" s="167">
        <v>6728.5</v>
      </c>
      <c r="J12" s="168">
        <v>0</v>
      </c>
      <c r="K12" s="169">
        <f>SUM(I12:J12)</f>
        <v>6728.5</v>
      </c>
      <c r="L12" s="170">
        <f>IF(I12/15&lt;=SMG,0,J12/2)</f>
        <v>0</v>
      </c>
      <c r="M12" s="170">
        <f>I12+L12</f>
        <v>6728.5</v>
      </c>
      <c r="N12" s="170">
        <f>VLOOKUP(M12,Tarifa1,1)</f>
        <v>6602.71</v>
      </c>
      <c r="O12" s="170">
        <f>M12-N12</f>
        <v>125.78999999999996</v>
      </c>
      <c r="P12" s="171">
        <f>VLOOKUP(M12,Tarifa1,3)</f>
        <v>0.21360000000000001</v>
      </c>
      <c r="Q12" s="170">
        <f>O12*P12</f>
        <v>26.868743999999992</v>
      </c>
      <c r="R12" s="172">
        <f>VLOOKUP(M12,Tarifa1,2)</f>
        <v>699.3</v>
      </c>
      <c r="S12" s="170">
        <f>Q12+R12</f>
        <v>726.16874399999995</v>
      </c>
      <c r="T12" s="170">
        <f>VLOOKUP(M12,Credito1,2)</f>
        <v>0</v>
      </c>
      <c r="U12" s="170">
        <f>ROUND(S12-T12,2)</f>
        <v>726.17</v>
      </c>
      <c r="V12" s="169">
        <f>-IF(U12&gt;0,0,U12)</f>
        <v>0</v>
      </c>
      <c r="W12" s="169">
        <f>IF(U12&lt;0,0,U12)</f>
        <v>726.17</v>
      </c>
      <c r="X12" s="169">
        <f>SUM(W12:W12)</f>
        <v>726.17</v>
      </c>
      <c r="Y12" s="125">
        <f>K12+V12-X12</f>
        <v>6002.33</v>
      </c>
      <c r="Z12" s="41"/>
    </row>
    <row r="13" spans="1:26" s="186" customFormat="1" ht="48" customHeight="1" x14ac:dyDescent="0.25">
      <c r="A13" s="294"/>
      <c r="B13" s="56"/>
      <c r="C13" s="213"/>
      <c r="D13" s="214"/>
      <c r="E13" s="215"/>
      <c r="F13" s="215"/>
      <c r="G13" s="216"/>
      <c r="H13" s="217"/>
      <c r="I13" s="218"/>
      <c r="J13" s="219"/>
      <c r="K13" s="220"/>
      <c r="L13" s="221"/>
      <c r="M13" s="221"/>
      <c r="N13" s="221"/>
      <c r="O13" s="221"/>
      <c r="P13" s="222"/>
      <c r="Q13" s="221"/>
      <c r="R13" s="223"/>
      <c r="S13" s="221"/>
      <c r="T13" s="221"/>
      <c r="U13" s="221"/>
      <c r="V13" s="220"/>
      <c r="W13" s="220"/>
      <c r="X13" s="220"/>
      <c r="Y13" s="220"/>
      <c r="Z13"/>
    </row>
    <row r="14" spans="1:26" s="186" customFormat="1" ht="37.5" customHeight="1" thickBot="1" x14ac:dyDescent="0.3">
      <c r="A14" s="246"/>
      <c r="B14" s="316" t="s">
        <v>45</v>
      </c>
      <c r="C14" s="317"/>
      <c r="D14" s="317"/>
      <c r="E14" s="317"/>
      <c r="F14" s="317"/>
      <c r="G14" s="317"/>
      <c r="H14" s="318"/>
      <c r="I14" s="39">
        <f>I9+I11</f>
        <v>18776.5</v>
      </c>
      <c r="J14" s="39">
        <f>J9+J11</f>
        <v>0</v>
      </c>
      <c r="K14" s="39">
        <f>K9+K11</f>
        <v>18776.5</v>
      </c>
      <c r="L14" s="40">
        <f t="shared" ref="L14:U14" si="1">SUM(L10:L12)</f>
        <v>0</v>
      </c>
      <c r="M14" s="40">
        <f t="shared" si="1"/>
        <v>18776.5</v>
      </c>
      <c r="N14" s="40">
        <f t="shared" si="1"/>
        <v>13205.42</v>
      </c>
      <c r="O14" s="40">
        <f t="shared" si="1"/>
        <v>5571.08</v>
      </c>
      <c r="P14" s="40">
        <f t="shared" si="1"/>
        <v>0.42720000000000002</v>
      </c>
      <c r="Q14" s="40">
        <f t="shared" si="1"/>
        <v>1189.9826880000001</v>
      </c>
      <c r="R14" s="40">
        <f t="shared" si="1"/>
        <v>1398.6</v>
      </c>
      <c r="S14" s="40">
        <f t="shared" si="1"/>
        <v>2588.582688</v>
      </c>
      <c r="T14" s="40">
        <f t="shared" si="1"/>
        <v>0</v>
      </c>
      <c r="U14" s="40">
        <f t="shared" si="1"/>
        <v>2588.58</v>
      </c>
      <c r="V14" s="39">
        <f>V9+V11</f>
        <v>0</v>
      </c>
      <c r="W14" s="39">
        <f>W9+W11</f>
        <v>2588.58</v>
      </c>
      <c r="X14" s="39">
        <f>X9+X11</f>
        <v>2588.58</v>
      </c>
      <c r="Y14" s="39">
        <f>Y9+Y11</f>
        <v>16187.92</v>
      </c>
      <c r="Z14"/>
    </row>
    <row r="15" spans="1:26" s="186" customFormat="1" ht="95.1" customHeight="1" thickTop="1" x14ac:dyDescent="0.25">
      <c r="A15" s="266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86" customFormat="1" ht="24" customHeight="1" x14ac:dyDescent="0.25">
      <c r="A16" s="266"/>
      <c r="B16"/>
      <c r="C16"/>
      <c r="D16"/>
      <c r="E16" s="4" t="s">
        <v>388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4" t="s">
        <v>389</v>
      </c>
      <c r="X16"/>
      <c r="Y16"/>
      <c r="Z16"/>
    </row>
    <row r="17" spans="1:26" s="186" customFormat="1" ht="23.25" customHeight="1" x14ac:dyDescent="0.25">
      <c r="A17" s="266"/>
      <c r="B17"/>
      <c r="C17"/>
      <c r="D17"/>
      <c r="E17" s="78" t="s">
        <v>226</v>
      </c>
      <c r="F17"/>
      <c r="G17"/>
      <c r="H17"/>
      <c r="I17" s="4"/>
      <c r="J17"/>
      <c r="K17"/>
      <c r="L17"/>
      <c r="M17"/>
      <c r="N17"/>
      <c r="O17"/>
      <c r="P17"/>
      <c r="Q17"/>
      <c r="R17"/>
      <c r="S17"/>
      <c r="T17"/>
      <c r="U17"/>
      <c r="V17"/>
      <c r="W17" s="78" t="s">
        <v>231</v>
      </c>
      <c r="X17"/>
      <c r="Y17"/>
      <c r="Z17"/>
    </row>
    <row r="18" spans="1:26" s="186" customFormat="1" ht="23.25" customHeight="1" x14ac:dyDescent="0.25">
      <c r="A18" s="266"/>
      <c r="B18"/>
      <c r="C18"/>
      <c r="D18"/>
      <c r="E18" s="51" t="s">
        <v>390</v>
      </c>
      <c r="F18" s="51"/>
      <c r="G18" s="51"/>
      <c r="H18" s="51"/>
      <c r="I18" s="51"/>
      <c r="J18" s="51"/>
      <c r="K18"/>
      <c r="L18"/>
      <c r="M18"/>
      <c r="N18"/>
      <c r="O18"/>
      <c r="P18"/>
      <c r="Q18"/>
      <c r="R18"/>
      <c r="S18"/>
      <c r="T18"/>
      <c r="U18"/>
      <c r="V18"/>
      <c r="W18" s="51" t="s">
        <v>391</v>
      </c>
      <c r="X18" s="51"/>
      <c r="Y18" s="51"/>
      <c r="Z18" s="51"/>
    </row>
    <row r="19" spans="1:26" s="186" customFormat="1" ht="18.75" customHeight="1" x14ac:dyDescent="0.25">
      <c r="A19" s="266"/>
      <c r="B19" s="118"/>
      <c r="F19" s="189"/>
    </row>
    <row r="20" spans="1:26" s="186" customFormat="1" ht="17.25" customHeight="1" x14ac:dyDescent="0.25">
      <c r="A20" s="266"/>
      <c r="B20" s="118"/>
      <c r="F20" s="189"/>
    </row>
    <row r="21" spans="1:26" s="186" customFormat="1" ht="20.25" customHeight="1" x14ac:dyDescent="0.25">
      <c r="A21" s="266"/>
      <c r="B21" s="118"/>
      <c r="F21" s="189"/>
    </row>
    <row r="22" spans="1:26" s="186" customFormat="1" ht="37.5" customHeight="1" x14ac:dyDescent="0.25">
      <c r="A22" s="266"/>
      <c r="B22" s="118"/>
      <c r="F22" s="189"/>
    </row>
    <row r="23" spans="1:26" s="186" customFormat="1" ht="18.75" customHeight="1" x14ac:dyDescent="0.25">
      <c r="A23" s="266"/>
      <c r="B23" s="118"/>
      <c r="F23" s="189"/>
    </row>
    <row r="24" spans="1:26" s="186" customFormat="1" ht="18" customHeight="1" x14ac:dyDescent="0.25">
      <c r="A24" s="266"/>
      <c r="F24" s="189"/>
    </row>
    <row r="25" spans="1:26" s="186" customFormat="1" ht="94.5" customHeight="1" x14ac:dyDescent="0.25">
      <c r="A25" s="266"/>
      <c r="F25" s="189"/>
    </row>
    <row r="26" spans="1:26" s="186" customFormat="1" ht="95.1" customHeight="1" x14ac:dyDescent="0.25">
      <c r="A26" s="246"/>
      <c r="F26" s="189"/>
    </row>
    <row r="27" spans="1:26" s="186" customFormat="1" ht="95.1" customHeight="1" x14ac:dyDescent="0.25">
      <c r="A27" s="246"/>
      <c r="F27" s="189"/>
    </row>
    <row r="28" spans="1:26" s="186" customFormat="1" ht="95.1" customHeight="1" x14ac:dyDescent="0.25">
      <c r="A28" s="246"/>
      <c r="F28" s="189"/>
    </row>
    <row r="29" spans="1:26" s="186" customFormat="1" ht="95.1" customHeight="1" x14ac:dyDescent="0.25">
      <c r="A29" s="246"/>
      <c r="F29" s="189"/>
    </row>
    <row r="30" spans="1:26" s="69" customFormat="1" ht="39" customHeight="1" x14ac:dyDescent="0.25">
      <c r="A30" s="297" t="s">
        <v>45</v>
      </c>
    </row>
    <row r="31" spans="1:26" s="69" customFormat="1" ht="39" customHeight="1" x14ac:dyDescent="0.25">
      <c r="A31" s="229"/>
    </row>
    <row r="32" spans="1:26" s="69" customFormat="1" ht="39" customHeight="1" x14ac:dyDescent="0.25">
      <c r="A32" s="229"/>
    </row>
    <row r="33" spans="1:1" s="69" customFormat="1" ht="39" customHeight="1" x14ac:dyDescent="0.25">
      <c r="A33" s="229"/>
    </row>
    <row r="34" spans="1:1" s="69" customFormat="1" ht="12" x14ac:dyDescent="0.2"/>
    <row r="35" spans="1:1" s="69" customFormat="1" ht="12" x14ac:dyDescent="0.2"/>
    <row r="36" spans="1:1" s="69" customFormat="1" ht="12" x14ac:dyDescent="0.2"/>
    <row r="37" spans="1:1" s="69" customFormat="1" ht="12" x14ac:dyDescent="0.2"/>
    <row r="38" spans="1:1" s="69" customFormat="1" ht="12" x14ac:dyDescent="0.2"/>
    <row r="39" spans="1:1" s="69" customFormat="1" ht="12" x14ac:dyDescent="0.2"/>
  </sheetData>
  <mergeCells count="7">
    <mergeCell ref="W6:X6"/>
    <mergeCell ref="B14:H14"/>
    <mergeCell ref="B1:Z1"/>
    <mergeCell ref="B2:Z2"/>
    <mergeCell ref="B3:Z3"/>
    <mergeCell ref="I6:K6"/>
    <mergeCell ref="N6:S6"/>
  </mergeCells>
  <pageMargins left="0.62992125984251968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7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31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31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47" t="s">
        <v>143</v>
      </c>
      <c r="D5" s="65"/>
      <c r="E5" s="65"/>
      <c r="F5" s="66" t="s">
        <v>23</v>
      </c>
      <c r="G5" s="66" t="s">
        <v>6</v>
      </c>
      <c r="H5" s="322" t="s">
        <v>1</v>
      </c>
      <c r="I5" s="323"/>
      <c r="J5" s="324"/>
      <c r="K5" s="67" t="s">
        <v>26</v>
      </c>
      <c r="L5" s="68"/>
      <c r="M5" s="325" t="s">
        <v>9</v>
      </c>
      <c r="N5" s="326"/>
      <c r="O5" s="326"/>
      <c r="P5" s="326"/>
      <c r="Q5" s="326"/>
      <c r="R5" s="327"/>
      <c r="S5" s="67" t="s">
        <v>30</v>
      </c>
      <c r="T5" s="67" t="s">
        <v>10</v>
      </c>
      <c r="U5" s="66" t="s">
        <v>54</v>
      </c>
      <c r="V5" s="328" t="s">
        <v>2</v>
      </c>
      <c r="W5" s="329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121</v>
      </c>
      <c r="C6" s="348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4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160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76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6" t="s">
        <v>101</v>
      </c>
      <c r="B9" s="247" t="s">
        <v>303</v>
      </c>
      <c r="C9" s="248" t="s">
        <v>224</v>
      </c>
      <c r="D9" s="249" t="s">
        <v>300</v>
      </c>
      <c r="E9" s="250" t="s">
        <v>358</v>
      </c>
      <c r="F9" s="251">
        <v>15</v>
      </c>
      <c r="G9" s="252">
        <f t="shared" ref="G9:G12" si="0">H9/F9</f>
        <v>647.79999999999995</v>
      </c>
      <c r="H9" s="237">
        <v>9717</v>
      </c>
      <c r="I9" s="238">
        <v>0</v>
      </c>
      <c r="J9" s="239">
        <f t="shared" ref="J9" si="1">SUM(H9:I9)</f>
        <v>9717</v>
      </c>
      <c r="K9" s="256">
        <f t="shared" ref="K9:K21" si="2">IF(H9/15&lt;=SMG,0,I9/2)</f>
        <v>0</v>
      </c>
      <c r="L9" s="256">
        <f>H9+K9</f>
        <v>9717</v>
      </c>
      <c r="M9" s="256">
        <f t="shared" ref="M9:M21" si="3">VLOOKUP(L9,Tarifa1,1)</f>
        <v>6602.71</v>
      </c>
      <c r="N9" s="256">
        <f>L9-M9</f>
        <v>3114.29</v>
      </c>
      <c r="O9" s="257">
        <f t="shared" ref="O9:O21" si="4">VLOOKUP(L9,Tarifa1,3)</f>
        <v>0.21360000000000001</v>
      </c>
      <c r="P9" s="256">
        <f>N9*O9</f>
        <v>665.21234400000003</v>
      </c>
      <c r="Q9" s="258">
        <f t="shared" ref="Q9:Q21" si="5">VLOOKUP(L9,Tarifa1,2)</f>
        <v>699.3</v>
      </c>
      <c r="R9" s="256">
        <f>P9+Q9</f>
        <v>1364.512344</v>
      </c>
      <c r="S9" s="290">
        <f t="shared" ref="S9:S21" si="6">VLOOKUP(L9,Credito1,2)</f>
        <v>0</v>
      </c>
      <c r="T9" s="256">
        <f>ROUND(R9-S9,2)</f>
        <v>1364.51</v>
      </c>
      <c r="U9" s="239">
        <f t="shared" ref="U9" si="7">-IF(T9&gt;0,0,T9)</f>
        <v>0</v>
      </c>
      <c r="V9" s="239">
        <f t="shared" ref="V9" si="8">IF(T9&lt;0,0,T9)</f>
        <v>1364.51</v>
      </c>
      <c r="W9" s="239">
        <f>SUM(V9:V9)</f>
        <v>1364.51</v>
      </c>
      <c r="X9" s="239">
        <f>J9+U9-W9</f>
        <v>8352.49</v>
      </c>
      <c r="Y9" s="259"/>
      <c r="Z9" s="188"/>
      <c r="AE9" s="189"/>
    </row>
    <row r="10" spans="1:31" s="186" customFormat="1" ht="95.1" customHeight="1" x14ac:dyDescent="0.25">
      <c r="A10" s="246"/>
      <c r="B10" s="247" t="s">
        <v>252</v>
      </c>
      <c r="C10" s="248" t="s">
        <v>142</v>
      </c>
      <c r="D10" s="249" t="s">
        <v>192</v>
      </c>
      <c r="E10" s="250" t="s">
        <v>193</v>
      </c>
      <c r="F10" s="251">
        <v>15</v>
      </c>
      <c r="G10" s="252">
        <f t="shared" ref="G10" si="9">H10/F10</f>
        <v>268.93333333333334</v>
      </c>
      <c r="H10" s="253">
        <v>4034</v>
      </c>
      <c r="I10" s="254">
        <v>0</v>
      </c>
      <c r="J10" s="255">
        <f>SUM(H10:I10)</f>
        <v>4034</v>
      </c>
      <c r="K10" s="256">
        <f t="shared" si="2"/>
        <v>0</v>
      </c>
      <c r="L10" s="256">
        <f t="shared" ref="L10:L21" si="10">H10+K10</f>
        <v>4034</v>
      </c>
      <c r="M10" s="256">
        <f t="shared" si="3"/>
        <v>2699.41</v>
      </c>
      <c r="N10" s="256">
        <f t="shared" ref="N10:N21" si="11">L10-M10</f>
        <v>1334.5900000000001</v>
      </c>
      <c r="O10" s="257">
        <f t="shared" si="4"/>
        <v>0.10879999999999999</v>
      </c>
      <c r="P10" s="256">
        <f t="shared" ref="P10:P21" si="12">N10*O10</f>
        <v>145.20339200000001</v>
      </c>
      <c r="Q10" s="258">
        <f t="shared" si="5"/>
        <v>158.55000000000001</v>
      </c>
      <c r="R10" s="256">
        <f t="shared" ref="R10:R21" si="13">P10+Q10</f>
        <v>303.75339200000002</v>
      </c>
      <c r="S10" s="290">
        <f t="shared" si="6"/>
        <v>0</v>
      </c>
      <c r="T10" s="256">
        <f t="shared" ref="T10:T21" si="14">ROUND(R10-S10,2)</f>
        <v>303.75</v>
      </c>
      <c r="U10" s="255">
        <f t="shared" ref="U10" si="15">-IF(T10&gt;0,0,T10)</f>
        <v>0</v>
      </c>
      <c r="V10" s="255">
        <f>IF(T10&lt;0,0,T10)</f>
        <v>303.75</v>
      </c>
      <c r="W10" s="255">
        <f>SUM(V10:V10)</f>
        <v>303.75</v>
      </c>
      <c r="X10" s="255">
        <f>J10+U10-W10</f>
        <v>3730.25</v>
      </c>
      <c r="Y10" s="259"/>
      <c r="Z10" s="188"/>
      <c r="AE10" s="189"/>
    </row>
    <row r="11" spans="1:31" s="186" customFormat="1" ht="95.1" customHeight="1" x14ac:dyDescent="0.25">
      <c r="A11" s="246" t="s">
        <v>102</v>
      </c>
      <c r="B11" s="247" t="s">
        <v>253</v>
      </c>
      <c r="C11" s="248" t="s">
        <v>142</v>
      </c>
      <c r="D11" s="249" t="s">
        <v>194</v>
      </c>
      <c r="E11" s="250" t="s">
        <v>197</v>
      </c>
      <c r="F11" s="251">
        <v>15</v>
      </c>
      <c r="G11" s="252">
        <f t="shared" si="0"/>
        <v>538.4</v>
      </c>
      <c r="H11" s="253">
        <v>8076</v>
      </c>
      <c r="I11" s="254">
        <v>0</v>
      </c>
      <c r="J11" s="255">
        <f>SUM(H11:I11)</f>
        <v>8076</v>
      </c>
      <c r="K11" s="256">
        <f t="shared" si="2"/>
        <v>0</v>
      </c>
      <c r="L11" s="256">
        <f t="shared" si="10"/>
        <v>8076</v>
      </c>
      <c r="M11" s="256">
        <f t="shared" si="3"/>
        <v>6602.71</v>
      </c>
      <c r="N11" s="256">
        <f t="shared" si="11"/>
        <v>1473.29</v>
      </c>
      <c r="O11" s="257">
        <f t="shared" si="4"/>
        <v>0.21360000000000001</v>
      </c>
      <c r="P11" s="256">
        <f t="shared" si="12"/>
        <v>314.69474400000001</v>
      </c>
      <c r="Q11" s="258">
        <f t="shared" si="5"/>
        <v>699.3</v>
      </c>
      <c r="R11" s="256">
        <f t="shared" si="13"/>
        <v>1013.994744</v>
      </c>
      <c r="S11" s="290">
        <f t="shared" si="6"/>
        <v>0</v>
      </c>
      <c r="T11" s="256">
        <f t="shared" si="14"/>
        <v>1013.99</v>
      </c>
      <c r="U11" s="255">
        <f t="shared" ref="U11:U12" si="16">-IF(T11&gt;0,0,T11)</f>
        <v>0</v>
      </c>
      <c r="V11" s="255">
        <f>IF(T11&lt;0,0,T11)</f>
        <v>1013.99</v>
      </c>
      <c r="W11" s="255">
        <f>SUM(V11:V11)</f>
        <v>1013.99</v>
      </c>
      <c r="X11" s="255">
        <f>J11+U11-W11</f>
        <v>7062.01</v>
      </c>
      <c r="Y11" s="259"/>
      <c r="AE11" s="190"/>
    </row>
    <row r="12" spans="1:31" s="186" customFormat="1" ht="95.1" customHeight="1" x14ac:dyDescent="0.25">
      <c r="A12" s="246" t="s">
        <v>103</v>
      </c>
      <c r="B12" s="248" t="s">
        <v>137</v>
      </c>
      <c r="C12" s="248" t="s">
        <v>142</v>
      </c>
      <c r="D12" s="249" t="s">
        <v>73</v>
      </c>
      <c r="E12" s="250" t="s">
        <v>196</v>
      </c>
      <c r="F12" s="251">
        <v>15</v>
      </c>
      <c r="G12" s="252">
        <f t="shared" si="0"/>
        <v>446.33333333333331</v>
      </c>
      <c r="H12" s="253">
        <v>6695</v>
      </c>
      <c r="I12" s="254">
        <v>0</v>
      </c>
      <c r="J12" s="255">
        <f>SUM(H12:I12)</f>
        <v>6695</v>
      </c>
      <c r="K12" s="256">
        <f t="shared" si="2"/>
        <v>0</v>
      </c>
      <c r="L12" s="256">
        <f t="shared" si="10"/>
        <v>6695</v>
      </c>
      <c r="M12" s="256">
        <f t="shared" si="3"/>
        <v>6602.71</v>
      </c>
      <c r="N12" s="256">
        <f t="shared" si="11"/>
        <v>92.289999999999964</v>
      </c>
      <c r="O12" s="257">
        <f t="shared" si="4"/>
        <v>0.21360000000000001</v>
      </c>
      <c r="P12" s="256">
        <f t="shared" si="12"/>
        <v>19.713143999999993</v>
      </c>
      <c r="Q12" s="258">
        <f t="shared" si="5"/>
        <v>699.3</v>
      </c>
      <c r="R12" s="256">
        <f t="shared" si="13"/>
        <v>719.0131439999999</v>
      </c>
      <c r="S12" s="290">
        <f t="shared" si="6"/>
        <v>0</v>
      </c>
      <c r="T12" s="256">
        <f t="shared" si="14"/>
        <v>719.01</v>
      </c>
      <c r="U12" s="255">
        <f t="shared" si="16"/>
        <v>0</v>
      </c>
      <c r="V12" s="255">
        <f t="shared" ref="V12" si="17">IF(T12&lt;0,0,T12)</f>
        <v>719.01</v>
      </c>
      <c r="W12" s="255">
        <f>SUM(V12:V12)</f>
        <v>719.01</v>
      </c>
      <c r="X12" s="255">
        <f>J12+U12-W12</f>
        <v>5975.99</v>
      </c>
      <c r="Y12" s="259"/>
    </row>
    <row r="13" spans="1:31" s="186" customFormat="1" ht="95.1" customHeight="1" x14ac:dyDescent="0.25">
      <c r="A13" s="294"/>
      <c r="B13" s="247" t="s">
        <v>371</v>
      </c>
      <c r="C13" s="247"/>
      <c r="D13" s="295" t="s">
        <v>369</v>
      </c>
      <c r="E13" s="250" t="s">
        <v>370</v>
      </c>
      <c r="F13" s="251"/>
      <c r="G13" s="252"/>
      <c r="H13" s="253">
        <v>3924.88</v>
      </c>
      <c r="I13" s="254">
        <v>0</v>
      </c>
      <c r="J13" s="255">
        <f>SUM(H13:I13)</f>
        <v>3924.88</v>
      </c>
      <c r="K13" s="256">
        <f t="shared" si="2"/>
        <v>0</v>
      </c>
      <c r="L13" s="256">
        <f t="shared" si="10"/>
        <v>3924.88</v>
      </c>
      <c r="M13" s="256">
        <f t="shared" si="3"/>
        <v>2699.41</v>
      </c>
      <c r="N13" s="256">
        <f t="shared" si="11"/>
        <v>1225.4700000000003</v>
      </c>
      <c r="O13" s="257">
        <f t="shared" si="4"/>
        <v>0.10879999999999999</v>
      </c>
      <c r="P13" s="256">
        <f t="shared" si="12"/>
        <v>133.33113600000001</v>
      </c>
      <c r="Q13" s="258">
        <f t="shared" si="5"/>
        <v>158.55000000000001</v>
      </c>
      <c r="R13" s="256">
        <f t="shared" si="13"/>
        <v>291.88113600000003</v>
      </c>
      <c r="S13" s="290">
        <f t="shared" si="6"/>
        <v>0</v>
      </c>
      <c r="T13" s="256">
        <f t="shared" si="14"/>
        <v>291.88</v>
      </c>
      <c r="U13" s="255">
        <f>-IF(T13&gt;0,0,T13)</f>
        <v>0</v>
      </c>
      <c r="V13" s="287">
        <f>IF(T13&lt;0,0,T13)</f>
        <v>291.88</v>
      </c>
      <c r="W13" s="255">
        <f>SUM(V13:V13)</f>
        <v>291.88</v>
      </c>
      <c r="X13" s="255">
        <f>J13+U13-W13</f>
        <v>3633</v>
      </c>
      <c r="Y13" s="259"/>
    </row>
    <row r="14" spans="1:31" s="186" customFormat="1" ht="95.1" customHeight="1" x14ac:dyDescent="0.25">
      <c r="A14" s="246"/>
      <c r="B14" s="248" t="s">
        <v>319</v>
      </c>
      <c r="C14" s="248" t="s">
        <v>142</v>
      </c>
      <c r="D14" s="260" t="s">
        <v>316</v>
      </c>
      <c r="E14" s="250" t="s">
        <v>74</v>
      </c>
      <c r="F14" s="251"/>
      <c r="G14" s="252"/>
      <c r="H14" s="253">
        <v>5894</v>
      </c>
      <c r="I14" s="254">
        <v>0</v>
      </c>
      <c r="J14" s="253">
        <f>H14</f>
        <v>5894</v>
      </c>
      <c r="K14" s="256">
        <f t="shared" si="2"/>
        <v>0</v>
      </c>
      <c r="L14" s="256">
        <f t="shared" si="10"/>
        <v>5894</v>
      </c>
      <c r="M14" s="256">
        <f t="shared" si="3"/>
        <v>5514.76</v>
      </c>
      <c r="N14" s="256">
        <f t="shared" si="11"/>
        <v>379.23999999999978</v>
      </c>
      <c r="O14" s="257">
        <f t="shared" si="4"/>
        <v>0.1792</v>
      </c>
      <c r="P14" s="256">
        <f t="shared" si="12"/>
        <v>67.959807999999967</v>
      </c>
      <c r="Q14" s="258">
        <f t="shared" si="5"/>
        <v>504.3</v>
      </c>
      <c r="R14" s="256">
        <f t="shared" si="13"/>
        <v>572.25980800000002</v>
      </c>
      <c r="S14" s="290">
        <f t="shared" si="6"/>
        <v>0</v>
      </c>
      <c r="T14" s="256">
        <f t="shared" si="14"/>
        <v>572.26</v>
      </c>
      <c r="U14" s="255">
        <f>-IF(T14&gt;0,0,T14)</f>
        <v>0</v>
      </c>
      <c r="V14" s="255">
        <f>IF(T14&lt;0,0,T14)</f>
        <v>572.26</v>
      </c>
      <c r="W14" s="255">
        <f>SUM(V14:V14)</f>
        <v>572.26</v>
      </c>
      <c r="X14" s="255">
        <f>J14+U14-W14+I14</f>
        <v>5321.74</v>
      </c>
      <c r="Y14" s="259"/>
      <c r="AE14" s="189"/>
    </row>
    <row r="15" spans="1:31" s="186" customFormat="1" ht="95.1" customHeight="1" x14ac:dyDescent="0.25">
      <c r="A15" s="246"/>
      <c r="B15" s="248" t="s">
        <v>344</v>
      </c>
      <c r="C15" s="248" t="s">
        <v>224</v>
      </c>
      <c r="D15" s="260" t="s">
        <v>343</v>
      </c>
      <c r="E15" s="250" t="s">
        <v>74</v>
      </c>
      <c r="F15" s="251"/>
      <c r="G15" s="252"/>
      <c r="H15" s="253">
        <v>5894</v>
      </c>
      <c r="I15" s="254">
        <v>0</v>
      </c>
      <c r="J15" s="253">
        <f>H15</f>
        <v>5894</v>
      </c>
      <c r="K15" s="256">
        <f t="shared" si="2"/>
        <v>0</v>
      </c>
      <c r="L15" s="256">
        <f t="shared" si="10"/>
        <v>5894</v>
      </c>
      <c r="M15" s="256">
        <f t="shared" si="3"/>
        <v>5514.76</v>
      </c>
      <c r="N15" s="256">
        <f t="shared" si="11"/>
        <v>379.23999999999978</v>
      </c>
      <c r="O15" s="257">
        <f t="shared" si="4"/>
        <v>0.1792</v>
      </c>
      <c r="P15" s="256">
        <f t="shared" si="12"/>
        <v>67.959807999999967</v>
      </c>
      <c r="Q15" s="258">
        <f t="shared" si="5"/>
        <v>504.3</v>
      </c>
      <c r="R15" s="256">
        <f t="shared" si="13"/>
        <v>572.25980800000002</v>
      </c>
      <c r="S15" s="290">
        <f t="shared" si="6"/>
        <v>0</v>
      </c>
      <c r="T15" s="256">
        <f t="shared" si="14"/>
        <v>572.26</v>
      </c>
      <c r="U15" s="255">
        <f t="shared" ref="U15" si="18">-IF(T15&gt;0,0,T15)</f>
        <v>0</v>
      </c>
      <c r="V15" s="255">
        <f t="shared" ref="V15" si="19">IF(T15&lt;0,0,T15)</f>
        <v>572.26</v>
      </c>
      <c r="W15" s="255">
        <f>SUM(V15:V15)</f>
        <v>572.26</v>
      </c>
      <c r="X15" s="255">
        <f>J15+U15-W15+I15</f>
        <v>5321.74</v>
      </c>
      <c r="Y15" s="259"/>
      <c r="AE15" s="189"/>
    </row>
    <row r="16" spans="1:31" s="186" customFormat="1" ht="95.1" customHeight="1" x14ac:dyDescent="0.25">
      <c r="A16" s="246"/>
      <c r="B16" s="247" t="s">
        <v>352</v>
      </c>
      <c r="C16" s="248" t="s">
        <v>142</v>
      </c>
      <c r="D16" s="250" t="s">
        <v>342</v>
      </c>
      <c r="E16" s="250" t="s">
        <v>74</v>
      </c>
      <c r="F16" s="251"/>
      <c r="G16" s="252"/>
      <c r="H16" s="253">
        <v>5894</v>
      </c>
      <c r="I16" s="254">
        <v>0</v>
      </c>
      <c r="J16" s="253">
        <f>H16</f>
        <v>5894</v>
      </c>
      <c r="K16" s="256">
        <f t="shared" si="2"/>
        <v>0</v>
      </c>
      <c r="L16" s="256">
        <f t="shared" si="10"/>
        <v>5894</v>
      </c>
      <c r="M16" s="256">
        <f t="shared" si="3"/>
        <v>5514.76</v>
      </c>
      <c r="N16" s="256">
        <f t="shared" si="11"/>
        <v>379.23999999999978</v>
      </c>
      <c r="O16" s="257">
        <f t="shared" si="4"/>
        <v>0.1792</v>
      </c>
      <c r="P16" s="256">
        <f t="shared" si="12"/>
        <v>67.959807999999967</v>
      </c>
      <c r="Q16" s="258">
        <f t="shared" si="5"/>
        <v>504.3</v>
      </c>
      <c r="R16" s="256">
        <f t="shared" si="13"/>
        <v>572.25980800000002</v>
      </c>
      <c r="S16" s="290">
        <f t="shared" si="6"/>
        <v>0</v>
      </c>
      <c r="T16" s="256">
        <f t="shared" si="14"/>
        <v>572.26</v>
      </c>
      <c r="U16" s="255">
        <f t="shared" ref="U16" si="20">-IF(T16&gt;0,0,T16)</f>
        <v>0</v>
      </c>
      <c r="V16" s="255">
        <f t="shared" ref="V16" si="21">IF(T16&lt;0,0,T16)</f>
        <v>572.26</v>
      </c>
      <c r="W16" s="255">
        <f>SUM(V16:V16)</f>
        <v>572.26</v>
      </c>
      <c r="X16" s="255">
        <f>J16+U16-W16+I16</f>
        <v>5321.74</v>
      </c>
      <c r="Y16" s="259"/>
      <c r="AE16" s="189"/>
    </row>
    <row r="17" spans="1:31" s="186" customFormat="1" ht="95.1" customHeight="1" x14ac:dyDescent="0.25">
      <c r="A17" s="246"/>
      <c r="B17" s="248" t="s">
        <v>138</v>
      </c>
      <c r="C17" s="248" t="s">
        <v>142</v>
      </c>
      <c r="D17" s="249" t="s">
        <v>75</v>
      </c>
      <c r="E17" s="250" t="s">
        <v>195</v>
      </c>
      <c r="F17" s="251">
        <v>15</v>
      </c>
      <c r="G17" s="252">
        <f>H17/F17</f>
        <v>537.4</v>
      </c>
      <c r="H17" s="253">
        <v>8061</v>
      </c>
      <c r="I17" s="254">
        <v>0</v>
      </c>
      <c r="J17" s="255">
        <f>SUM(H17:I17)</f>
        <v>8061</v>
      </c>
      <c r="K17" s="256">
        <f t="shared" si="2"/>
        <v>0</v>
      </c>
      <c r="L17" s="256">
        <f t="shared" si="10"/>
        <v>8061</v>
      </c>
      <c r="M17" s="256">
        <f t="shared" si="3"/>
        <v>6602.71</v>
      </c>
      <c r="N17" s="256">
        <f t="shared" si="11"/>
        <v>1458.29</v>
      </c>
      <c r="O17" s="257">
        <f t="shared" si="4"/>
        <v>0.21360000000000001</v>
      </c>
      <c r="P17" s="256">
        <f t="shared" si="12"/>
        <v>311.49074400000001</v>
      </c>
      <c r="Q17" s="258">
        <f t="shared" si="5"/>
        <v>699.3</v>
      </c>
      <c r="R17" s="256">
        <f t="shared" si="13"/>
        <v>1010.7907439999999</v>
      </c>
      <c r="S17" s="290">
        <f t="shared" si="6"/>
        <v>0</v>
      </c>
      <c r="T17" s="256">
        <f t="shared" si="14"/>
        <v>1010.79</v>
      </c>
      <c r="U17" s="255">
        <f>-IF(T17&gt;0,0,T17)</f>
        <v>0</v>
      </c>
      <c r="V17" s="255">
        <f>IF(T17&lt;0,0,T17)</f>
        <v>1010.79</v>
      </c>
      <c r="W17" s="255">
        <f>SUM(V17:V17)</f>
        <v>1010.79</v>
      </c>
      <c r="X17" s="255">
        <f>J17+U17-W17</f>
        <v>7050.21</v>
      </c>
      <c r="Y17" s="259"/>
      <c r="AE17" s="189"/>
    </row>
    <row r="18" spans="1:31" s="186" customFormat="1" ht="95.1" customHeight="1" x14ac:dyDescent="0.25">
      <c r="A18" s="246"/>
      <c r="B18" s="248" t="s">
        <v>326</v>
      </c>
      <c r="C18" s="248" t="s">
        <v>142</v>
      </c>
      <c r="D18" s="249" t="s">
        <v>327</v>
      </c>
      <c r="E18" s="250" t="s">
        <v>195</v>
      </c>
      <c r="F18" s="251">
        <v>15</v>
      </c>
      <c r="G18" s="252">
        <f t="shared" ref="G18" si="22">H18/F18</f>
        <v>537.4</v>
      </c>
      <c r="H18" s="253">
        <v>8061</v>
      </c>
      <c r="I18" s="254">
        <v>0</v>
      </c>
      <c r="J18" s="255">
        <f t="shared" ref="J18" si="23">SUM(H18:I18)</f>
        <v>8061</v>
      </c>
      <c r="K18" s="256">
        <f t="shared" si="2"/>
        <v>0</v>
      </c>
      <c r="L18" s="256">
        <f t="shared" si="10"/>
        <v>8061</v>
      </c>
      <c r="M18" s="256">
        <f t="shared" si="3"/>
        <v>6602.71</v>
      </c>
      <c r="N18" s="256">
        <f t="shared" si="11"/>
        <v>1458.29</v>
      </c>
      <c r="O18" s="257">
        <f t="shared" si="4"/>
        <v>0.21360000000000001</v>
      </c>
      <c r="P18" s="256">
        <f t="shared" si="12"/>
        <v>311.49074400000001</v>
      </c>
      <c r="Q18" s="258">
        <f t="shared" si="5"/>
        <v>699.3</v>
      </c>
      <c r="R18" s="256">
        <f t="shared" si="13"/>
        <v>1010.7907439999999</v>
      </c>
      <c r="S18" s="290">
        <f t="shared" si="6"/>
        <v>0</v>
      </c>
      <c r="T18" s="256">
        <f t="shared" si="14"/>
        <v>1010.79</v>
      </c>
      <c r="U18" s="255">
        <f>-IF(T18&gt;0,0,T18)</f>
        <v>0</v>
      </c>
      <c r="V18" s="255">
        <f>IF(T18&lt;0,0,T18)</f>
        <v>1010.79</v>
      </c>
      <c r="W18" s="255">
        <f>SUM(V18:V18)</f>
        <v>1010.79</v>
      </c>
      <c r="X18" s="255">
        <f>J18+U18-W18</f>
        <v>7050.21</v>
      </c>
      <c r="Y18" s="259"/>
      <c r="AE18" s="189"/>
    </row>
    <row r="19" spans="1:31" s="186" customFormat="1" ht="95.1" customHeight="1" x14ac:dyDescent="0.25">
      <c r="A19" s="246"/>
      <c r="B19" s="248" t="s">
        <v>360</v>
      </c>
      <c r="C19" s="248" t="s">
        <v>142</v>
      </c>
      <c r="D19" s="249" t="s">
        <v>361</v>
      </c>
      <c r="E19" s="250" t="s">
        <v>195</v>
      </c>
      <c r="F19" s="251">
        <v>15</v>
      </c>
      <c r="G19" s="252">
        <f t="shared" ref="G19" si="24">H19/F19</f>
        <v>537.4</v>
      </c>
      <c r="H19" s="253">
        <v>8061</v>
      </c>
      <c r="I19" s="254">
        <v>0</v>
      </c>
      <c r="J19" s="255">
        <f t="shared" ref="J19" si="25">SUM(H19:I19)</f>
        <v>8061</v>
      </c>
      <c r="K19" s="256">
        <f t="shared" si="2"/>
        <v>0</v>
      </c>
      <c r="L19" s="256">
        <f t="shared" si="10"/>
        <v>8061</v>
      </c>
      <c r="M19" s="256">
        <f t="shared" si="3"/>
        <v>6602.71</v>
      </c>
      <c r="N19" s="256">
        <f t="shared" si="11"/>
        <v>1458.29</v>
      </c>
      <c r="O19" s="257">
        <f t="shared" si="4"/>
        <v>0.21360000000000001</v>
      </c>
      <c r="P19" s="256">
        <f t="shared" si="12"/>
        <v>311.49074400000001</v>
      </c>
      <c r="Q19" s="258">
        <f t="shared" si="5"/>
        <v>699.3</v>
      </c>
      <c r="R19" s="256">
        <f t="shared" si="13"/>
        <v>1010.7907439999999</v>
      </c>
      <c r="S19" s="290">
        <f t="shared" si="6"/>
        <v>0</v>
      </c>
      <c r="T19" s="256">
        <f t="shared" si="14"/>
        <v>1010.79</v>
      </c>
      <c r="U19" s="255">
        <f>-IF(T19&gt;0,0,T19)</f>
        <v>0</v>
      </c>
      <c r="V19" s="255">
        <f>IF(T19&lt;0,0,T19)</f>
        <v>1010.79</v>
      </c>
      <c r="W19" s="255">
        <f>SUM(V19:V19)</f>
        <v>1010.79</v>
      </c>
      <c r="X19" s="255">
        <f>J19+U19-W19</f>
        <v>7050.21</v>
      </c>
      <c r="Y19" s="259"/>
      <c r="AE19" s="189"/>
    </row>
    <row r="20" spans="1:31" s="186" customFormat="1" ht="95.1" customHeight="1" x14ac:dyDescent="0.25">
      <c r="A20" s="246"/>
      <c r="B20" s="248" t="s">
        <v>182</v>
      </c>
      <c r="C20" s="248" t="s">
        <v>142</v>
      </c>
      <c r="D20" s="260" t="s">
        <v>180</v>
      </c>
      <c r="E20" s="250" t="s">
        <v>284</v>
      </c>
      <c r="F20" s="251">
        <v>15</v>
      </c>
      <c r="G20" s="252">
        <f t="shared" ref="G20:G36" si="26">H20/F20</f>
        <v>430</v>
      </c>
      <c r="H20" s="253">
        <v>6450</v>
      </c>
      <c r="I20" s="254">
        <v>0</v>
      </c>
      <c r="J20" s="255">
        <f t="shared" ref="J20:J36" si="27">SUM(H20:I20)</f>
        <v>6450</v>
      </c>
      <c r="K20" s="256">
        <f t="shared" si="2"/>
        <v>0</v>
      </c>
      <c r="L20" s="256">
        <f t="shared" si="10"/>
        <v>6450</v>
      </c>
      <c r="M20" s="256">
        <f t="shared" si="3"/>
        <v>5514.76</v>
      </c>
      <c r="N20" s="256">
        <f t="shared" si="11"/>
        <v>935.23999999999978</v>
      </c>
      <c r="O20" s="257">
        <f t="shared" si="4"/>
        <v>0.1792</v>
      </c>
      <c r="P20" s="256">
        <f t="shared" si="12"/>
        <v>167.59500799999995</v>
      </c>
      <c r="Q20" s="258">
        <f t="shared" si="5"/>
        <v>504.3</v>
      </c>
      <c r="R20" s="256">
        <f t="shared" si="13"/>
        <v>671.89500799999996</v>
      </c>
      <c r="S20" s="290">
        <f t="shared" si="6"/>
        <v>0</v>
      </c>
      <c r="T20" s="256">
        <f t="shared" si="14"/>
        <v>671.9</v>
      </c>
      <c r="U20" s="255">
        <f t="shared" ref="U20" si="28">-IF(T20&gt;0,0,T20)</f>
        <v>0</v>
      </c>
      <c r="V20" s="255">
        <f t="shared" ref="V20:V36" si="29">IF(T20&lt;0,0,T20)</f>
        <v>671.9</v>
      </c>
      <c r="W20" s="255">
        <f>SUM(V20:V20)</f>
        <v>671.9</v>
      </c>
      <c r="X20" s="255">
        <f>J20+U20-W20</f>
        <v>5778.1</v>
      </c>
      <c r="Y20" s="259"/>
      <c r="AE20" s="189"/>
    </row>
    <row r="21" spans="1:31" s="186" customFormat="1" ht="95.1" customHeight="1" x14ac:dyDescent="0.25">
      <c r="A21" s="246"/>
      <c r="B21" s="248" t="s">
        <v>350</v>
      </c>
      <c r="C21" s="248" t="s">
        <v>142</v>
      </c>
      <c r="D21" s="260" t="s">
        <v>351</v>
      </c>
      <c r="E21" s="250" t="s">
        <v>284</v>
      </c>
      <c r="F21" s="251"/>
      <c r="G21" s="252"/>
      <c r="H21" s="253">
        <v>6450</v>
      </c>
      <c r="I21" s="254">
        <v>0</v>
      </c>
      <c r="J21" s="255">
        <f>SUM(H21:I21)</f>
        <v>6450</v>
      </c>
      <c r="K21" s="256">
        <f t="shared" si="2"/>
        <v>0</v>
      </c>
      <c r="L21" s="256">
        <f t="shared" si="10"/>
        <v>6450</v>
      </c>
      <c r="M21" s="256">
        <f t="shared" si="3"/>
        <v>5514.76</v>
      </c>
      <c r="N21" s="256">
        <f t="shared" si="11"/>
        <v>935.23999999999978</v>
      </c>
      <c r="O21" s="257">
        <f t="shared" si="4"/>
        <v>0.1792</v>
      </c>
      <c r="P21" s="256">
        <f t="shared" si="12"/>
        <v>167.59500799999995</v>
      </c>
      <c r="Q21" s="258">
        <f t="shared" si="5"/>
        <v>504.3</v>
      </c>
      <c r="R21" s="256">
        <f t="shared" si="13"/>
        <v>671.89500799999996</v>
      </c>
      <c r="S21" s="290">
        <f t="shared" si="6"/>
        <v>0</v>
      </c>
      <c r="T21" s="256">
        <f t="shared" si="14"/>
        <v>671.9</v>
      </c>
      <c r="U21" s="255">
        <f>-IF(T21&gt;0,0,T21)</f>
        <v>0</v>
      </c>
      <c r="V21" s="255">
        <f>IF(T21&lt;0,0,T21)</f>
        <v>671.9</v>
      </c>
      <c r="W21" s="255">
        <f>SUM(V21:V21)</f>
        <v>671.9</v>
      </c>
      <c r="X21" s="255">
        <f>J21+U21-W21</f>
        <v>5778.1</v>
      </c>
      <c r="Y21" s="259"/>
      <c r="AE21" s="189"/>
    </row>
    <row r="22" spans="1:31" s="186" customFormat="1" ht="95.1" customHeight="1" x14ac:dyDescent="0.25">
      <c r="A22" s="266"/>
      <c r="B22" s="267"/>
      <c r="C22" s="267"/>
      <c r="D22" s="268"/>
      <c r="E22" s="269"/>
      <c r="F22" s="270"/>
      <c r="G22" s="271"/>
      <c r="H22" s="272"/>
      <c r="I22" s="273"/>
      <c r="J22" s="274"/>
      <c r="K22" s="275"/>
      <c r="L22" s="275"/>
      <c r="M22" s="275"/>
      <c r="N22" s="275"/>
      <c r="O22" s="276"/>
      <c r="P22" s="275"/>
      <c r="Q22" s="277"/>
      <c r="R22" s="275"/>
      <c r="S22" s="275"/>
      <c r="T22" s="275"/>
      <c r="U22" s="274"/>
      <c r="V22" s="274"/>
      <c r="W22" s="274"/>
      <c r="X22" s="274"/>
      <c r="Y22" s="263"/>
      <c r="AE22" s="189"/>
    </row>
    <row r="23" spans="1:31" s="186" customFormat="1" ht="95.1" customHeight="1" x14ac:dyDescent="0.25">
      <c r="A23" s="266"/>
      <c r="B23" s="267"/>
      <c r="C23" s="267"/>
      <c r="D23" s="268"/>
      <c r="E23" s="269"/>
      <c r="F23" s="270"/>
      <c r="G23" s="271"/>
      <c r="H23" s="272"/>
      <c r="I23" s="273"/>
      <c r="J23" s="274"/>
      <c r="K23" s="275"/>
      <c r="L23" s="275"/>
      <c r="M23" s="275"/>
      <c r="N23" s="275"/>
      <c r="O23" s="276"/>
      <c r="P23" s="275"/>
      <c r="Q23" s="277"/>
      <c r="R23" s="275"/>
      <c r="S23" s="275"/>
      <c r="T23" s="275"/>
      <c r="U23" s="274"/>
      <c r="V23" s="274"/>
      <c r="W23" s="274"/>
      <c r="X23" s="274"/>
      <c r="Y23" s="263"/>
      <c r="AE23" s="189"/>
    </row>
    <row r="24" spans="1:31" s="186" customFormat="1" ht="24" customHeight="1" x14ac:dyDescent="0.25">
      <c r="A24" s="266"/>
      <c r="B24" s="319" t="s">
        <v>92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E24" s="189"/>
    </row>
    <row r="25" spans="1:31" s="186" customFormat="1" ht="23.25" customHeight="1" x14ac:dyDescent="0.25">
      <c r="A25" s="266"/>
      <c r="B25" s="319" t="s">
        <v>66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E25" s="189"/>
    </row>
    <row r="26" spans="1:31" s="186" customFormat="1" ht="23.25" customHeight="1" x14ac:dyDescent="0.25">
      <c r="A26" s="266"/>
      <c r="B26" s="320" t="s">
        <v>386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E26" s="189"/>
    </row>
    <row r="27" spans="1:31" s="186" customFormat="1" ht="18.75" customHeight="1" x14ac:dyDescent="0.25">
      <c r="A27" s="266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17.25" customHeight="1" x14ac:dyDescent="0.25">
      <c r="A28" s="266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E28" s="189"/>
    </row>
    <row r="29" spans="1:31" s="186" customFormat="1" ht="20.25" customHeight="1" x14ac:dyDescent="0.25">
      <c r="A29" s="266"/>
      <c r="B29" s="65"/>
      <c r="C29" s="65"/>
      <c r="D29" s="65"/>
      <c r="E29" s="65"/>
      <c r="F29" s="66" t="s">
        <v>23</v>
      </c>
      <c r="G29" s="66" t="s">
        <v>6</v>
      </c>
      <c r="H29" s="322" t="s">
        <v>1</v>
      </c>
      <c r="I29" s="323"/>
      <c r="J29" s="324"/>
      <c r="K29" s="67" t="s">
        <v>26</v>
      </c>
      <c r="L29" s="68"/>
      <c r="M29" s="325" t="s">
        <v>9</v>
      </c>
      <c r="N29" s="326"/>
      <c r="O29" s="326"/>
      <c r="P29" s="326"/>
      <c r="Q29" s="326"/>
      <c r="R29" s="327"/>
      <c r="S29" s="67" t="s">
        <v>30</v>
      </c>
      <c r="T29" s="67" t="s">
        <v>10</v>
      </c>
      <c r="U29" s="66" t="s">
        <v>54</v>
      </c>
      <c r="V29" s="328" t="s">
        <v>2</v>
      </c>
      <c r="W29" s="329"/>
      <c r="X29" s="66" t="s">
        <v>0</v>
      </c>
      <c r="Y29" s="65"/>
      <c r="Z29" s="118"/>
      <c r="AE29" s="189"/>
    </row>
    <row r="30" spans="1:31" s="186" customFormat="1" ht="37.5" customHeight="1" x14ac:dyDescent="0.25">
      <c r="A30" s="266"/>
      <c r="B30" s="64" t="s">
        <v>121</v>
      </c>
      <c r="C30" s="64" t="s">
        <v>143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18"/>
      <c r="AE30" s="189"/>
    </row>
    <row r="31" spans="1:31" s="186" customFormat="1" ht="18.75" customHeight="1" x14ac:dyDescent="0.25">
      <c r="A31" s="266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160</v>
      </c>
      <c r="U31" s="79" t="s">
        <v>53</v>
      </c>
      <c r="V31" s="79"/>
      <c r="W31" s="79" t="s">
        <v>44</v>
      </c>
      <c r="X31" s="79" t="s">
        <v>5</v>
      </c>
      <c r="Y31" s="75"/>
      <c r="Z31" s="118"/>
      <c r="AE31" s="189"/>
    </row>
    <row r="32" spans="1:31" s="186" customFormat="1" ht="18" customHeight="1" x14ac:dyDescent="0.25">
      <c r="A32" s="266"/>
      <c r="B32" s="82"/>
      <c r="C32" s="82"/>
      <c r="D32" s="84" t="s">
        <v>76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89"/>
    </row>
    <row r="33" spans="1:31" s="186" customFormat="1" ht="94.5" customHeight="1" x14ac:dyDescent="0.25">
      <c r="A33" s="266"/>
      <c r="B33" s="248" t="s">
        <v>302</v>
      </c>
      <c r="C33" s="248" t="s">
        <v>142</v>
      </c>
      <c r="D33" s="260" t="s">
        <v>291</v>
      </c>
      <c r="E33" s="250" t="s">
        <v>284</v>
      </c>
      <c r="F33" s="251"/>
      <c r="G33" s="252"/>
      <c r="H33" s="253">
        <v>7766</v>
      </c>
      <c r="I33" s="254">
        <v>0</v>
      </c>
      <c r="J33" s="255">
        <f t="shared" ref="J33" si="30">SUM(H33:I33)</f>
        <v>7766</v>
      </c>
      <c r="K33" s="256">
        <f t="shared" ref="K33:K37" si="31">IF(H33/15&lt;=SMG,0,I33/2)</f>
        <v>0</v>
      </c>
      <c r="L33" s="256">
        <f t="shared" ref="L33" si="32">H33+K33</f>
        <v>7766</v>
      </c>
      <c r="M33" s="256">
        <f t="shared" ref="M33:M37" si="33">VLOOKUP(L33,Tarifa1,1)</f>
        <v>6602.71</v>
      </c>
      <c r="N33" s="256">
        <f t="shared" ref="N33" si="34">L33-M33</f>
        <v>1163.29</v>
      </c>
      <c r="O33" s="257">
        <f t="shared" ref="O33:O37" si="35">VLOOKUP(L33,Tarifa1,3)</f>
        <v>0.21360000000000001</v>
      </c>
      <c r="P33" s="256">
        <f t="shared" ref="P33" si="36">N33*O33</f>
        <v>248.47874400000001</v>
      </c>
      <c r="Q33" s="258">
        <f t="shared" ref="Q33:Q37" si="37">VLOOKUP(L33,Tarifa1,2)</f>
        <v>699.3</v>
      </c>
      <c r="R33" s="256">
        <f t="shared" ref="R33" si="38">P33+Q33</f>
        <v>947.77874399999996</v>
      </c>
      <c r="S33" s="290">
        <f t="shared" ref="S33:S37" si="39">VLOOKUP(L33,Credito1,2)</f>
        <v>0</v>
      </c>
      <c r="T33" s="256">
        <f t="shared" ref="T33" si="40">ROUND(R33-S33,2)</f>
        <v>947.78</v>
      </c>
      <c r="U33" s="255">
        <f t="shared" ref="U33" si="41">-IF(T33&gt;0,0,T33)</f>
        <v>0</v>
      </c>
      <c r="V33" s="255">
        <f t="shared" ref="V33" si="42">IF(T33&lt;0,0,T33)</f>
        <v>947.78</v>
      </c>
      <c r="W33" s="255">
        <f>SUM(V33:V33)</f>
        <v>947.78</v>
      </c>
      <c r="X33" s="255">
        <f>J33+U33-W33</f>
        <v>6818.22</v>
      </c>
      <c r="Y33" s="259"/>
      <c r="AE33" s="189"/>
    </row>
    <row r="34" spans="1:31" s="186" customFormat="1" ht="95.1" customHeight="1" x14ac:dyDescent="0.25">
      <c r="A34" s="246"/>
      <c r="B34" s="248" t="s">
        <v>314</v>
      </c>
      <c r="C34" s="248" t="s">
        <v>142</v>
      </c>
      <c r="D34" s="260" t="s">
        <v>315</v>
      </c>
      <c r="E34" s="250" t="s">
        <v>284</v>
      </c>
      <c r="F34" s="251"/>
      <c r="G34" s="252"/>
      <c r="H34" s="253">
        <v>7766</v>
      </c>
      <c r="I34" s="254">
        <v>0</v>
      </c>
      <c r="J34" s="255">
        <f t="shared" ref="J34" si="43">SUM(H34:I34)</f>
        <v>7766</v>
      </c>
      <c r="K34" s="256">
        <f t="shared" si="31"/>
        <v>0</v>
      </c>
      <c r="L34" s="256">
        <f t="shared" ref="L34:L37" si="44">H34+K34</f>
        <v>7766</v>
      </c>
      <c r="M34" s="256">
        <f t="shared" si="33"/>
        <v>6602.71</v>
      </c>
      <c r="N34" s="256">
        <f t="shared" ref="N34:N37" si="45">L34-M34</f>
        <v>1163.29</v>
      </c>
      <c r="O34" s="257">
        <f t="shared" si="35"/>
        <v>0.21360000000000001</v>
      </c>
      <c r="P34" s="256">
        <f t="shared" ref="P34:P37" si="46">N34*O34</f>
        <v>248.47874400000001</v>
      </c>
      <c r="Q34" s="258">
        <f t="shared" si="37"/>
        <v>699.3</v>
      </c>
      <c r="R34" s="256">
        <f t="shared" ref="R34:R37" si="47">P34+Q34</f>
        <v>947.77874399999996</v>
      </c>
      <c r="S34" s="290">
        <f t="shared" si="39"/>
        <v>0</v>
      </c>
      <c r="T34" s="256">
        <f t="shared" ref="T34:T37" si="48">ROUND(R34-S34,2)</f>
        <v>947.78</v>
      </c>
      <c r="U34" s="255">
        <f t="shared" ref="U34" si="49">-IF(T34&gt;0,0,T34)</f>
        <v>0</v>
      </c>
      <c r="V34" s="255">
        <f t="shared" ref="V34" si="50">IF(T34&lt;0,0,T34)</f>
        <v>947.78</v>
      </c>
      <c r="W34" s="255">
        <f>SUM(V34:V34)</f>
        <v>947.78</v>
      </c>
      <c r="X34" s="255">
        <f>J34+U34-W34</f>
        <v>6818.22</v>
      </c>
      <c r="Y34" s="259"/>
      <c r="AE34" s="189"/>
    </row>
    <row r="35" spans="1:31" s="186" customFormat="1" ht="95.1" customHeight="1" x14ac:dyDescent="0.25">
      <c r="A35" s="246"/>
      <c r="B35" s="248" t="s">
        <v>320</v>
      </c>
      <c r="C35" s="248" t="s">
        <v>142</v>
      </c>
      <c r="D35" s="260" t="s">
        <v>317</v>
      </c>
      <c r="E35" s="250" t="s">
        <v>318</v>
      </c>
      <c r="F35" s="251"/>
      <c r="G35" s="252"/>
      <c r="H35" s="253">
        <v>8061</v>
      </c>
      <c r="I35" s="254">
        <v>0</v>
      </c>
      <c r="J35" s="255">
        <f t="shared" ref="J35" si="51">SUM(H35:I35)</f>
        <v>8061</v>
      </c>
      <c r="K35" s="256">
        <f t="shared" si="31"/>
        <v>0</v>
      </c>
      <c r="L35" s="256">
        <f t="shared" si="44"/>
        <v>8061</v>
      </c>
      <c r="M35" s="256">
        <f t="shared" si="33"/>
        <v>6602.71</v>
      </c>
      <c r="N35" s="256">
        <f t="shared" si="45"/>
        <v>1458.29</v>
      </c>
      <c r="O35" s="257">
        <f t="shared" si="35"/>
        <v>0.21360000000000001</v>
      </c>
      <c r="P35" s="256">
        <f t="shared" si="46"/>
        <v>311.49074400000001</v>
      </c>
      <c r="Q35" s="258">
        <f t="shared" si="37"/>
        <v>699.3</v>
      </c>
      <c r="R35" s="256">
        <f t="shared" si="47"/>
        <v>1010.7907439999999</v>
      </c>
      <c r="S35" s="290">
        <f t="shared" si="39"/>
        <v>0</v>
      </c>
      <c r="T35" s="256">
        <f t="shared" si="48"/>
        <v>1010.79</v>
      </c>
      <c r="U35" s="255">
        <f>-IF(T35&gt;0,0,T35)</f>
        <v>0</v>
      </c>
      <c r="V35" s="255">
        <f>IF(T35&lt;0,0,T35)</f>
        <v>1010.79</v>
      </c>
      <c r="W35" s="255">
        <f>SUM(V35:V35)</f>
        <v>1010.79</v>
      </c>
      <c r="X35" s="255">
        <f>J35+U35-W35</f>
        <v>7050.21</v>
      </c>
      <c r="Y35" s="259"/>
      <c r="AE35" s="189"/>
    </row>
    <row r="36" spans="1:31" s="186" customFormat="1" ht="95.1" customHeight="1" x14ac:dyDescent="0.25">
      <c r="A36" s="246"/>
      <c r="B36" s="248" t="s">
        <v>304</v>
      </c>
      <c r="C36" s="248" t="s">
        <v>142</v>
      </c>
      <c r="D36" s="260" t="s">
        <v>285</v>
      </c>
      <c r="E36" s="250" t="s">
        <v>286</v>
      </c>
      <c r="F36" s="251">
        <v>15</v>
      </c>
      <c r="G36" s="252">
        <f t="shared" si="26"/>
        <v>292.36666666666667</v>
      </c>
      <c r="H36" s="253">
        <v>4385.5</v>
      </c>
      <c r="I36" s="254">
        <v>0</v>
      </c>
      <c r="J36" s="255">
        <f t="shared" si="27"/>
        <v>4385.5</v>
      </c>
      <c r="K36" s="256">
        <f t="shared" si="31"/>
        <v>0</v>
      </c>
      <c r="L36" s="256">
        <f t="shared" si="44"/>
        <v>4385.5</v>
      </c>
      <c r="M36" s="256">
        <f t="shared" si="33"/>
        <v>2699.41</v>
      </c>
      <c r="N36" s="256">
        <f t="shared" si="45"/>
        <v>1686.0900000000001</v>
      </c>
      <c r="O36" s="257">
        <f t="shared" si="35"/>
        <v>0.10879999999999999</v>
      </c>
      <c r="P36" s="256">
        <f t="shared" si="46"/>
        <v>183.44659200000001</v>
      </c>
      <c r="Q36" s="258">
        <f t="shared" si="37"/>
        <v>158.55000000000001</v>
      </c>
      <c r="R36" s="256">
        <f t="shared" si="47"/>
        <v>341.99659200000002</v>
      </c>
      <c r="S36" s="290">
        <f t="shared" si="39"/>
        <v>0</v>
      </c>
      <c r="T36" s="256">
        <f t="shared" si="48"/>
        <v>342</v>
      </c>
      <c r="U36" s="255">
        <f>-IF(T36&gt;0,0,T36)</f>
        <v>0</v>
      </c>
      <c r="V36" s="255">
        <f t="shared" si="29"/>
        <v>342</v>
      </c>
      <c r="W36" s="255">
        <f>SUM(V36:V36)</f>
        <v>342</v>
      </c>
      <c r="X36" s="255">
        <f>J36+U36-W36</f>
        <v>4043.5</v>
      </c>
      <c r="Y36" s="259"/>
      <c r="AE36" s="189"/>
    </row>
    <row r="37" spans="1:31" s="186" customFormat="1" ht="95.1" customHeight="1" x14ac:dyDescent="0.25">
      <c r="A37" s="246"/>
      <c r="B37" s="248" t="s">
        <v>305</v>
      </c>
      <c r="C37" s="248" t="s">
        <v>142</v>
      </c>
      <c r="D37" s="260" t="s">
        <v>287</v>
      </c>
      <c r="E37" s="250" t="s">
        <v>288</v>
      </c>
      <c r="F37" s="251"/>
      <c r="G37" s="252"/>
      <c r="H37" s="253">
        <v>4659</v>
      </c>
      <c r="I37" s="254">
        <v>0</v>
      </c>
      <c r="J37" s="255">
        <f>SUM(H37:I37)</f>
        <v>4659</v>
      </c>
      <c r="K37" s="256">
        <f t="shared" si="31"/>
        <v>0</v>
      </c>
      <c r="L37" s="256">
        <f t="shared" si="44"/>
        <v>4659</v>
      </c>
      <c r="M37" s="256">
        <f t="shared" si="33"/>
        <v>2699.41</v>
      </c>
      <c r="N37" s="256">
        <f t="shared" si="45"/>
        <v>1959.5900000000001</v>
      </c>
      <c r="O37" s="257">
        <f t="shared" si="35"/>
        <v>0.10879999999999999</v>
      </c>
      <c r="P37" s="256">
        <f t="shared" si="46"/>
        <v>213.20339200000001</v>
      </c>
      <c r="Q37" s="258">
        <f t="shared" si="37"/>
        <v>158.55000000000001</v>
      </c>
      <c r="R37" s="256">
        <f t="shared" si="47"/>
        <v>371.75339200000002</v>
      </c>
      <c r="S37" s="290">
        <f t="shared" si="39"/>
        <v>0</v>
      </c>
      <c r="T37" s="256">
        <f t="shared" si="48"/>
        <v>371.75</v>
      </c>
      <c r="U37" s="255">
        <f>-IF(T37&gt;0,0,T37)</f>
        <v>0</v>
      </c>
      <c r="V37" s="255">
        <f>IF(T37&lt;0,0,T37)</f>
        <v>371.75</v>
      </c>
      <c r="W37" s="255">
        <f>SUM(V37:V37)</f>
        <v>371.75</v>
      </c>
      <c r="X37" s="255">
        <f>J37+U37-W37</f>
        <v>4287.25</v>
      </c>
      <c r="Y37" s="259"/>
      <c r="AE37" s="189"/>
    </row>
    <row r="38" spans="1:31" s="69" customFormat="1" ht="39" customHeight="1" thickBot="1" x14ac:dyDescent="0.3">
      <c r="A38" s="344" t="s">
        <v>45</v>
      </c>
      <c r="B38" s="345"/>
      <c r="C38" s="345"/>
      <c r="D38" s="345"/>
      <c r="E38" s="345"/>
      <c r="F38" s="345"/>
      <c r="G38" s="346"/>
      <c r="H38" s="261">
        <f t="shared" ref="H38:X38" si="52">SUM(H9:H37)</f>
        <v>119849.38</v>
      </c>
      <c r="I38" s="261">
        <f t="shared" si="52"/>
        <v>0</v>
      </c>
      <c r="J38" s="261">
        <f t="shared" si="52"/>
        <v>119849.38</v>
      </c>
      <c r="K38" s="262">
        <f t="shared" si="52"/>
        <v>0</v>
      </c>
      <c r="L38" s="262">
        <f t="shared" si="52"/>
        <v>119849.38</v>
      </c>
      <c r="M38" s="262">
        <f t="shared" si="52"/>
        <v>97795.830000000016</v>
      </c>
      <c r="N38" s="262">
        <f t="shared" si="52"/>
        <v>22053.550000000003</v>
      </c>
      <c r="O38" s="262">
        <f t="shared" si="52"/>
        <v>3.2536</v>
      </c>
      <c r="P38" s="262">
        <f t="shared" si="52"/>
        <v>3956.7946480000005</v>
      </c>
      <c r="Q38" s="262">
        <f t="shared" si="52"/>
        <v>9449.4</v>
      </c>
      <c r="R38" s="262">
        <f t="shared" si="52"/>
        <v>13406.194647999997</v>
      </c>
      <c r="S38" s="262">
        <f t="shared" si="52"/>
        <v>0</v>
      </c>
      <c r="T38" s="262">
        <f t="shared" si="52"/>
        <v>13406.190000000002</v>
      </c>
      <c r="U38" s="261">
        <f t="shared" si="52"/>
        <v>0</v>
      </c>
      <c r="V38" s="261">
        <f t="shared" si="52"/>
        <v>13406.190000000002</v>
      </c>
      <c r="W38" s="261">
        <f t="shared" si="52"/>
        <v>13406.190000000002</v>
      </c>
      <c r="X38" s="261">
        <f t="shared" si="52"/>
        <v>106443.19000000002</v>
      </c>
      <c r="Y38" s="263"/>
    </row>
    <row r="39" spans="1:31" s="69" customFormat="1" ht="39" customHeight="1" thickTop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39" customHeight="1" x14ac:dyDescent="0.25">
      <c r="A40" s="229"/>
      <c r="B40" s="229"/>
      <c r="C40" s="229"/>
      <c r="D40" s="229"/>
      <c r="E40" s="229"/>
      <c r="F40" s="229"/>
      <c r="G40" s="229"/>
      <c r="H40" s="230"/>
      <c r="I40" s="230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0"/>
      <c r="V40" s="230"/>
      <c r="W40" s="230"/>
      <c r="X40" s="230"/>
    </row>
    <row r="41" spans="1:31" s="69" customFormat="1" ht="39" customHeight="1" x14ac:dyDescent="0.25">
      <c r="A41" s="229"/>
      <c r="B41" s="229"/>
      <c r="C41" s="229"/>
      <c r="D41" s="229"/>
      <c r="E41" s="229"/>
      <c r="F41" s="229"/>
      <c r="G41" s="229"/>
      <c r="H41" s="230"/>
      <c r="I41" s="230"/>
      <c r="J41" s="230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0"/>
      <c r="V41" s="230"/>
      <c r="W41" s="230"/>
      <c r="X41" s="230"/>
    </row>
    <row r="42" spans="1:31" s="69" customFormat="1" ht="12" x14ac:dyDescent="0.2"/>
    <row r="43" spans="1:31" s="69" customFormat="1" ht="12" x14ac:dyDescent="0.2"/>
    <row r="44" spans="1:31" s="69" customFormat="1" ht="14.25" x14ac:dyDescent="0.2">
      <c r="B44" s="186"/>
      <c r="C44" s="186"/>
      <c r="D44" s="186" t="s">
        <v>232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 t="s">
        <v>109</v>
      </c>
      <c r="W44" s="186"/>
      <c r="X44" s="186"/>
    </row>
    <row r="45" spans="1:31" s="69" customFormat="1" ht="15" x14ac:dyDescent="0.25">
      <c r="B45" s="186"/>
      <c r="C45" s="186"/>
      <c r="D45" s="191" t="s">
        <v>226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91" t="s">
        <v>228</v>
      </c>
      <c r="W45" s="186"/>
      <c r="X45" s="186"/>
    </row>
    <row r="46" spans="1:31" s="69" customFormat="1" ht="15" x14ac:dyDescent="0.25">
      <c r="B46" s="186"/>
      <c r="C46" s="186"/>
      <c r="D46" s="191" t="s">
        <v>96</v>
      </c>
      <c r="E46" s="191"/>
      <c r="F46" s="191"/>
      <c r="G46" s="191"/>
      <c r="H46" s="191"/>
      <c r="I46" s="191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91" t="s">
        <v>97</v>
      </c>
      <c r="W46" s="191"/>
      <c r="X46" s="191"/>
      <c r="Y46" s="78"/>
    </row>
    <row r="47" spans="1:31" s="69" customFormat="1" ht="14.25" x14ac:dyDescent="0.2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</row>
  </sheetData>
  <mergeCells count="14">
    <mergeCell ref="H29:J29"/>
    <mergeCell ref="M29:R29"/>
    <mergeCell ref="V29:W29"/>
    <mergeCell ref="A38:G38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20:D23 D33:D37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5" zoomScale="82" zoomScaleNormal="82" workbookViewId="0">
      <selection activeCell="W1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22" t="s">
        <v>1</v>
      </c>
      <c r="I6" s="323"/>
      <c r="J6" s="324"/>
      <c r="K6" s="67" t="s">
        <v>26</v>
      </c>
      <c r="L6" s="68"/>
      <c r="M6" s="325" t="s">
        <v>9</v>
      </c>
      <c r="N6" s="326"/>
      <c r="O6" s="326"/>
      <c r="P6" s="326"/>
      <c r="Q6" s="326"/>
      <c r="R6" s="327"/>
      <c r="S6" s="67" t="s">
        <v>30</v>
      </c>
      <c r="T6" s="67" t="s">
        <v>10</v>
      </c>
      <c r="U6" s="66" t="s">
        <v>54</v>
      </c>
      <c r="V6" s="328" t="s">
        <v>2</v>
      </c>
      <c r="W6" s="329"/>
      <c r="X6" s="66" t="s">
        <v>0</v>
      </c>
      <c r="Y6" s="65"/>
    </row>
    <row r="7" spans="1:25" s="69" customFormat="1" ht="24" x14ac:dyDescent="0.2">
      <c r="A7" s="70" t="s">
        <v>128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77</v>
      </c>
      <c r="E9" s="192" t="s">
        <v>62</v>
      </c>
      <c r="F9" s="192"/>
      <c r="G9" s="192"/>
      <c r="H9" s="193">
        <f>SUM(H10:H27)</f>
        <v>40019.5</v>
      </c>
      <c r="I9" s="193">
        <f>SUM(I10:I27)</f>
        <v>1120.6599999999999</v>
      </c>
      <c r="J9" s="193">
        <f>SUM(J10:J27)</f>
        <v>41140.160000000003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1391.8899999999999</v>
      </c>
      <c r="W9" s="193">
        <f>SUM(W10:W27)</f>
        <v>1391.8899999999999</v>
      </c>
      <c r="X9" s="193">
        <f>SUM(X10:X27)</f>
        <v>39748.270000000004</v>
      </c>
      <c r="Y9" s="195"/>
    </row>
    <row r="10" spans="1:25" s="4" customFormat="1" ht="67.5" customHeight="1" x14ac:dyDescent="0.2">
      <c r="A10" s="59"/>
      <c r="B10" s="114" t="s">
        <v>306</v>
      </c>
      <c r="C10" s="114" t="s">
        <v>142</v>
      </c>
      <c r="D10" s="119" t="s">
        <v>299</v>
      </c>
      <c r="E10" s="119" t="s">
        <v>298</v>
      </c>
      <c r="F10" s="131">
        <v>15</v>
      </c>
      <c r="G10" s="132">
        <f>H10/F10</f>
        <v>220.2</v>
      </c>
      <c r="H10" s="117">
        <v>3303</v>
      </c>
      <c r="I10" s="124">
        <v>225.25</v>
      </c>
      <c r="J10" s="125">
        <f t="shared" ref="J10" si="0">SUM(H10:I10)</f>
        <v>3528.25</v>
      </c>
      <c r="K10" s="170">
        <f t="shared" ref="K10:K19" si="1">IF(H10/15&lt;=SMG,0,I10/2)</f>
        <v>112.625</v>
      </c>
      <c r="L10" s="170">
        <f t="shared" ref="L10" si="2">H10+K10</f>
        <v>3415.625</v>
      </c>
      <c r="M10" s="170">
        <f t="shared" ref="M10:M19" si="3">VLOOKUP(L10,Tarifa1,1)</f>
        <v>2699.41</v>
      </c>
      <c r="N10" s="170">
        <f t="shared" ref="N10" si="4">L10-M10</f>
        <v>716.21500000000015</v>
      </c>
      <c r="O10" s="171">
        <f t="shared" ref="O10:O19" si="5">VLOOKUP(L10,Tarifa1,3)</f>
        <v>0.10879999999999999</v>
      </c>
      <c r="P10" s="170">
        <f t="shared" ref="P10" si="6">N10*O10</f>
        <v>77.924192000000005</v>
      </c>
      <c r="Q10" s="172">
        <f t="shared" ref="Q10:Q19" si="7">VLOOKUP(L10,Tarifa1,2)</f>
        <v>158.55000000000001</v>
      </c>
      <c r="R10" s="170">
        <f t="shared" ref="R10" si="8">P10+Q10</f>
        <v>236.47419200000002</v>
      </c>
      <c r="S10" s="291">
        <f t="shared" ref="S10:S19" si="9">VLOOKUP(L10,Credito1,2)</f>
        <v>125.1</v>
      </c>
      <c r="T10" s="170">
        <f t="shared" ref="T10" si="10">ROUND(R10-S10,2)</f>
        <v>111.37</v>
      </c>
      <c r="U10" s="125">
        <f t="shared" ref="U10" si="11">-IF(T10&gt;0,0,T10)</f>
        <v>0</v>
      </c>
      <c r="V10" s="125">
        <f t="shared" ref="V10" si="12">IF(T10&lt;0,0,T10)</f>
        <v>111.37</v>
      </c>
      <c r="W10" s="125">
        <f>SUM(V10:V10)</f>
        <v>111.37</v>
      </c>
      <c r="X10" s="125">
        <f>J10+U10-W10</f>
        <v>3416.88</v>
      </c>
      <c r="Y10" s="120"/>
    </row>
    <row r="11" spans="1:25" s="4" customFormat="1" ht="67.5" customHeight="1" x14ac:dyDescent="0.2">
      <c r="A11" s="59"/>
      <c r="B11" s="114" t="s">
        <v>123</v>
      </c>
      <c r="C11" s="114" t="s">
        <v>142</v>
      </c>
      <c r="D11" s="119" t="s">
        <v>78</v>
      </c>
      <c r="E11" s="119" t="s">
        <v>79</v>
      </c>
      <c r="F11" s="131">
        <v>15</v>
      </c>
      <c r="G11" s="132">
        <f>H11/F11</f>
        <v>223.8</v>
      </c>
      <c r="H11" s="117">
        <v>3357</v>
      </c>
      <c r="I11" s="124">
        <v>475.57</v>
      </c>
      <c r="J11" s="125">
        <f t="shared" ref="J11" si="13">SUM(H11:I11)</f>
        <v>3832.57</v>
      </c>
      <c r="K11" s="170">
        <f t="shared" si="1"/>
        <v>237.785</v>
      </c>
      <c r="L11" s="170">
        <f t="shared" ref="L11:L19" si="14">H11+K11</f>
        <v>3594.7849999999999</v>
      </c>
      <c r="M11" s="170">
        <f t="shared" si="3"/>
        <v>2699.41</v>
      </c>
      <c r="N11" s="170">
        <f t="shared" ref="N11:N19" si="15">L11-M11</f>
        <v>895.375</v>
      </c>
      <c r="O11" s="171">
        <f t="shared" si="5"/>
        <v>0.10879999999999999</v>
      </c>
      <c r="P11" s="170">
        <f t="shared" ref="P11:P19" si="16">N11*O11</f>
        <v>97.416799999999995</v>
      </c>
      <c r="Q11" s="172">
        <f t="shared" si="7"/>
        <v>158.55000000000001</v>
      </c>
      <c r="R11" s="170">
        <f t="shared" ref="R11:R19" si="17">P11+Q11</f>
        <v>255.96680000000001</v>
      </c>
      <c r="S11" s="291">
        <f t="shared" si="9"/>
        <v>107.4</v>
      </c>
      <c r="T11" s="170">
        <f t="shared" ref="T11:T19" si="18">ROUND(R11-S11,2)</f>
        <v>148.57</v>
      </c>
      <c r="U11" s="125">
        <f t="shared" ref="U11:U12" si="19">-IF(T11&gt;0,0,T11)</f>
        <v>0</v>
      </c>
      <c r="V11" s="125">
        <f t="shared" ref="V11:V12" si="20">IF(T11&lt;0,0,T11)</f>
        <v>148.57</v>
      </c>
      <c r="W11" s="125">
        <f>SUM(V11:V11)</f>
        <v>148.57</v>
      </c>
      <c r="X11" s="125">
        <f>J11+U11-W11</f>
        <v>3684</v>
      </c>
      <c r="Y11" s="120"/>
    </row>
    <row r="12" spans="1:25" s="4" customFormat="1" ht="67.5" customHeight="1" x14ac:dyDescent="0.2">
      <c r="A12" s="59"/>
      <c r="B12" s="114" t="s">
        <v>356</v>
      </c>
      <c r="C12" s="114" t="s">
        <v>142</v>
      </c>
      <c r="D12" s="119" t="s">
        <v>357</v>
      </c>
      <c r="E12" s="119" t="s">
        <v>298</v>
      </c>
      <c r="F12" s="131"/>
      <c r="G12" s="132"/>
      <c r="H12" s="117">
        <v>3303</v>
      </c>
      <c r="I12" s="124">
        <v>225.25</v>
      </c>
      <c r="J12" s="125">
        <f t="shared" ref="J12" si="21">SUM(H12:I12)</f>
        <v>3528.25</v>
      </c>
      <c r="K12" s="170">
        <f t="shared" si="1"/>
        <v>112.625</v>
      </c>
      <c r="L12" s="170">
        <f t="shared" si="14"/>
        <v>3415.625</v>
      </c>
      <c r="M12" s="170">
        <f t="shared" si="3"/>
        <v>2699.41</v>
      </c>
      <c r="N12" s="170">
        <f t="shared" si="15"/>
        <v>716.21500000000015</v>
      </c>
      <c r="O12" s="171">
        <f t="shared" si="5"/>
        <v>0.10879999999999999</v>
      </c>
      <c r="P12" s="170">
        <f t="shared" si="16"/>
        <v>77.924192000000005</v>
      </c>
      <c r="Q12" s="172">
        <f t="shared" si="7"/>
        <v>158.55000000000001</v>
      </c>
      <c r="R12" s="170">
        <f t="shared" si="17"/>
        <v>236.47419200000002</v>
      </c>
      <c r="S12" s="291">
        <f t="shared" si="9"/>
        <v>125.1</v>
      </c>
      <c r="T12" s="170">
        <f t="shared" si="18"/>
        <v>111.37</v>
      </c>
      <c r="U12" s="125">
        <f t="shared" si="19"/>
        <v>0</v>
      </c>
      <c r="V12" s="125">
        <f t="shared" si="20"/>
        <v>111.37</v>
      </c>
      <c r="W12" s="125">
        <f>SUM(V12:V12)</f>
        <v>111.37</v>
      </c>
      <c r="X12" s="125">
        <f>J12+U12-W12</f>
        <v>3416.88</v>
      </c>
      <c r="Y12" s="120"/>
    </row>
    <row r="13" spans="1:25" s="4" customFormat="1" ht="67.5" customHeight="1" x14ac:dyDescent="0.2">
      <c r="A13" s="59"/>
      <c r="B13" s="114" t="s">
        <v>364</v>
      </c>
      <c r="C13" s="114" t="s">
        <v>142</v>
      </c>
      <c r="D13" s="119" t="s">
        <v>359</v>
      </c>
      <c r="E13" s="119" t="s">
        <v>79</v>
      </c>
      <c r="F13" s="131"/>
      <c r="G13" s="132"/>
      <c r="H13" s="117">
        <v>2791.5</v>
      </c>
      <c r="I13" s="124">
        <v>194.59</v>
      </c>
      <c r="J13" s="125">
        <f>SUM(H13:I13)</f>
        <v>2986.09</v>
      </c>
      <c r="K13" s="170">
        <f t="shared" si="1"/>
        <v>97.295000000000002</v>
      </c>
      <c r="L13" s="170">
        <f t="shared" si="14"/>
        <v>2888.7950000000001</v>
      </c>
      <c r="M13" s="170">
        <f t="shared" si="3"/>
        <v>2699.41</v>
      </c>
      <c r="N13" s="170">
        <f t="shared" si="15"/>
        <v>189.38500000000022</v>
      </c>
      <c r="O13" s="171">
        <f t="shared" si="5"/>
        <v>0.10879999999999999</v>
      </c>
      <c r="P13" s="170">
        <f t="shared" si="16"/>
        <v>20.605088000000023</v>
      </c>
      <c r="Q13" s="172">
        <f t="shared" si="7"/>
        <v>158.55000000000001</v>
      </c>
      <c r="R13" s="170">
        <f t="shared" si="17"/>
        <v>179.15508800000003</v>
      </c>
      <c r="S13" s="291">
        <f t="shared" si="9"/>
        <v>145.35</v>
      </c>
      <c r="T13" s="170">
        <f t="shared" si="18"/>
        <v>33.81</v>
      </c>
      <c r="U13" s="125">
        <f>-IF(T13&gt;0,0,T13)</f>
        <v>0</v>
      </c>
      <c r="V13" s="125">
        <f>IF(T13&lt;0,0,T13)</f>
        <v>33.81</v>
      </c>
      <c r="W13" s="125">
        <f>SUM(V13:V13)</f>
        <v>33.81</v>
      </c>
      <c r="X13" s="125">
        <f>J13+U13-W13</f>
        <v>2952.28</v>
      </c>
      <c r="Y13" s="120"/>
    </row>
    <row r="14" spans="1:25" s="4" customFormat="1" ht="67.5" customHeight="1" x14ac:dyDescent="0.2">
      <c r="A14" s="59"/>
      <c r="B14" s="114" t="s">
        <v>168</v>
      </c>
      <c r="C14" s="114" t="s">
        <v>142</v>
      </c>
      <c r="D14" s="122" t="s">
        <v>167</v>
      </c>
      <c r="E14" s="119" t="s">
        <v>122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91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307</v>
      </c>
      <c r="C15" s="114" t="s">
        <v>142</v>
      </c>
      <c r="D15" s="122" t="s">
        <v>296</v>
      </c>
      <c r="E15" s="119" t="s">
        <v>297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91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331</v>
      </c>
      <c r="C16" s="114" t="s">
        <v>142</v>
      </c>
      <c r="D16" s="122" t="s">
        <v>332</v>
      </c>
      <c r="E16" s="121" t="s">
        <v>333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91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174</v>
      </c>
      <c r="C17" s="114" t="s">
        <v>142</v>
      </c>
      <c r="D17" s="119" t="s">
        <v>172</v>
      </c>
      <c r="E17" s="119" t="s">
        <v>173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91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254</v>
      </c>
      <c r="C18" s="114" t="s">
        <v>142</v>
      </c>
      <c r="D18" s="119" t="s">
        <v>198</v>
      </c>
      <c r="E18" s="119" t="s">
        <v>82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91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308</v>
      </c>
      <c r="C19" s="114" t="s">
        <v>142</v>
      </c>
      <c r="D19" s="119" t="s">
        <v>294</v>
      </c>
      <c r="E19" s="119" t="s">
        <v>295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91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8"/>
      <c r="C20" s="227"/>
      <c r="D20" s="279"/>
      <c r="E20" s="279"/>
      <c r="F20" s="280"/>
      <c r="G20" s="281"/>
      <c r="H20" s="282"/>
      <c r="I20" s="283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31" s="4" customFormat="1" ht="20.25" customHeight="1" x14ac:dyDescent="0.2">
      <c r="A21" s="227"/>
      <c r="B21" s="278"/>
      <c r="C21" s="227"/>
      <c r="D21" s="279"/>
      <c r="E21" s="279"/>
      <c r="F21" s="280"/>
      <c r="G21" s="281"/>
      <c r="H21" s="282"/>
      <c r="I21" s="283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</row>
    <row r="22" spans="1:31" s="4" customFormat="1" ht="28.5" customHeight="1" x14ac:dyDescent="0.25">
      <c r="A22" s="227"/>
      <c r="B22" s="319" t="s">
        <v>92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</row>
    <row r="23" spans="1:31" s="4" customFormat="1" ht="23.25" customHeight="1" x14ac:dyDescent="0.25">
      <c r="A23" s="227"/>
      <c r="B23" s="319" t="s">
        <v>66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</row>
    <row r="24" spans="1:31" s="4" customFormat="1" ht="23.25" customHeight="1" x14ac:dyDescent="0.2">
      <c r="A24" s="227"/>
      <c r="B24" s="320" t="s">
        <v>386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353</v>
      </c>
      <c r="C26" s="114" t="s">
        <v>142</v>
      </c>
      <c r="D26" s="121" t="s">
        <v>95</v>
      </c>
      <c r="E26" s="121" t="s">
        <v>322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91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377</v>
      </c>
      <c r="C27" s="114" t="s">
        <v>142</v>
      </c>
      <c r="D27" s="119" t="s">
        <v>321</v>
      </c>
      <c r="E27" s="119" t="s">
        <v>199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91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121</v>
      </c>
      <c r="C28" s="196" t="s">
        <v>159</v>
      </c>
      <c r="D28" s="192" t="s">
        <v>156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2436.56</v>
      </c>
      <c r="J28" s="193">
        <f>SUM(J29:J30)</f>
        <v>11667.560000000001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915.79</v>
      </c>
      <c r="W28" s="193">
        <f>SUM(W29:W30)</f>
        <v>915.79</v>
      </c>
      <c r="X28" s="193">
        <f>SUM(X29:X30)</f>
        <v>10751.77</v>
      </c>
      <c r="Y28" s="195"/>
    </row>
    <row r="29" spans="1:31" s="4" customFormat="1" ht="75" customHeight="1" x14ac:dyDescent="0.2">
      <c r="A29" s="59" t="s">
        <v>100</v>
      </c>
      <c r="B29" s="137" t="s">
        <v>255</v>
      </c>
      <c r="C29" s="114" t="s">
        <v>142</v>
      </c>
      <c r="D29" s="119" t="s">
        <v>202</v>
      </c>
      <c r="E29" s="121" t="s">
        <v>200</v>
      </c>
      <c r="F29" s="131">
        <v>15</v>
      </c>
      <c r="G29" s="132">
        <f>H29/F29</f>
        <v>323.03333333333336</v>
      </c>
      <c r="H29" s="167">
        <v>4845.5</v>
      </c>
      <c r="I29" s="168">
        <v>1286.96</v>
      </c>
      <c r="J29" s="169">
        <f>SUM(H29:I29)</f>
        <v>6132.46</v>
      </c>
      <c r="K29" s="170">
        <f>IF(H29/15&lt;=SMG,0,I29/2)</f>
        <v>643.48</v>
      </c>
      <c r="L29" s="170">
        <f t="shared" ref="L29:L30" si="43">H29+K29</f>
        <v>5488.98</v>
      </c>
      <c r="M29" s="170">
        <f>VLOOKUP(L29,Tarifa1,1)</f>
        <v>4744.0600000000004</v>
      </c>
      <c r="N29" s="170">
        <f t="shared" ref="N29:N30" si="44">L29-M29</f>
        <v>744.91999999999916</v>
      </c>
      <c r="O29" s="171">
        <f>VLOOKUP(L29,Tarifa1,3)</f>
        <v>0.16</v>
      </c>
      <c r="P29" s="170">
        <f t="shared" ref="P29:P30" si="45">N29*O29</f>
        <v>119.18719999999986</v>
      </c>
      <c r="Q29" s="172">
        <f>VLOOKUP(L29,Tarifa1,2)</f>
        <v>381</v>
      </c>
      <c r="R29" s="170">
        <f t="shared" ref="R29:R30" si="46">P29+Q29</f>
        <v>500.18719999999985</v>
      </c>
      <c r="S29" s="291">
        <f>VLOOKUP(L29,Credito1,2)</f>
        <v>0</v>
      </c>
      <c r="T29" s="170">
        <f t="shared" ref="T29:T30" si="47">ROUND(R29-S29,2)</f>
        <v>500.19</v>
      </c>
      <c r="U29" s="169">
        <f>-IF(T29&gt;0,0,T29)</f>
        <v>0</v>
      </c>
      <c r="V29" s="169">
        <f>IF(T29&lt;0,0,T29)</f>
        <v>500.19</v>
      </c>
      <c r="W29" s="169">
        <f>SUM(V29:V29)</f>
        <v>500.19</v>
      </c>
      <c r="X29" s="169">
        <f>J29+U29-W29</f>
        <v>5632.27</v>
      </c>
      <c r="Y29" s="120"/>
      <c r="AE29" s="187"/>
    </row>
    <row r="30" spans="1:31" s="4" customFormat="1" ht="75" customHeight="1" x14ac:dyDescent="0.2">
      <c r="A30" s="59"/>
      <c r="B30" s="137" t="s">
        <v>309</v>
      </c>
      <c r="C30" s="114" t="s">
        <v>142</v>
      </c>
      <c r="D30" s="119" t="s">
        <v>292</v>
      </c>
      <c r="E30" s="121" t="s">
        <v>293</v>
      </c>
      <c r="F30" s="131"/>
      <c r="G30" s="132"/>
      <c r="H30" s="167">
        <v>4385.5</v>
      </c>
      <c r="I30" s="168">
        <v>1149.5999999999999</v>
      </c>
      <c r="J30" s="169">
        <f>SUM(H30:I30)</f>
        <v>5535.1</v>
      </c>
      <c r="K30" s="170">
        <f>IF(H30/15&lt;=SMG,0,I30/2)</f>
        <v>574.79999999999995</v>
      </c>
      <c r="L30" s="170">
        <f t="shared" si="43"/>
        <v>4960.3</v>
      </c>
      <c r="M30" s="170">
        <f>VLOOKUP(L30,Tarifa1,1)</f>
        <v>4744.0600000000004</v>
      </c>
      <c r="N30" s="170">
        <f t="shared" si="44"/>
        <v>216.23999999999978</v>
      </c>
      <c r="O30" s="171">
        <f>VLOOKUP(L30,Tarifa1,3)</f>
        <v>0.16</v>
      </c>
      <c r="P30" s="170">
        <f t="shared" si="45"/>
        <v>34.598399999999963</v>
      </c>
      <c r="Q30" s="172">
        <f>VLOOKUP(L30,Tarifa1,2)</f>
        <v>381</v>
      </c>
      <c r="R30" s="170">
        <f t="shared" si="46"/>
        <v>415.59839999999997</v>
      </c>
      <c r="S30" s="291">
        <f>VLOOKUP(L30,Credito1,2)</f>
        <v>0</v>
      </c>
      <c r="T30" s="170">
        <f t="shared" si="47"/>
        <v>415.6</v>
      </c>
      <c r="U30" s="169">
        <f>-IF(T30&gt;0,0,T30)</f>
        <v>0</v>
      </c>
      <c r="V30" s="169">
        <f>IF(T30&lt;0,0,T30)</f>
        <v>415.6</v>
      </c>
      <c r="W30" s="169">
        <f>SUM(V30:V30)</f>
        <v>415.6</v>
      </c>
      <c r="X30" s="169">
        <f>J30+U30-W30</f>
        <v>5119.5</v>
      </c>
      <c r="Y30" s="120"/>
      <c r="AE30" s="187"/>
    </row>
    <row r="31" spans="1:31" s="4" customFormat="1" ht="39" customHeight="1" x14ac:dyDescent="0.2">
      <c r="A31" s="59"/>
      <c r="B31" s="196" t="s">
        <v>121</v>
      </c>
      <c r="C31" s="196" t="s">
        <v>159</v>
      </c>
      <c r="D31" s="192" t="s">
        <v>158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126</v>
      </c>
      <c r="C32" s="114" t="s">
        <v>142</v>
      </c>
      <c r="D32" s="119" t="s">
        <v>81</v>
      </c>
      <c r="E32" s="121" t="s">
        <v>161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91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348</v>
      </c>
      <c r="C33" s="114" t="s">
        <v>142</v>
      </c>
      <c r="D33" s="119" t="s">
        <v>347</v>
      </c>
      <c r="E33" s="121" t="s">
        <v>349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91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101</v>
      </c>
      <c r="B34" s="196" t="s">
        <v>121</v>
      </c>
      <c r="C34" s="196" t="s">
        <v>159</v>
      </c>
      <c r="D34" s="192" t="s">
        <v>157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102</v>
      </c>
      <c r="B35" s="114" t="s">
        <v>125</v>
      </c>
      <c r="C35" s="114" t="s">
        <v>142</v>
      </c>
      <c r="D35" s="119" t="s">
        <v>80</v>
      </c>
      <c r="E35" s="121" t="s">
        <v>201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91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16" t="s">
        <v>45</v>
      </c>
      <c r="B37" s="317"/>
      <c r="C37" s="317"/>
      <c r="D37" s="317"/>
      <c r="E37" s="317"/>
      <c r="F37" s="317"/>
      <c r="G37" s="318"/>
      <c r="H37" s="162">
        <f>SUM(H9+H28+H31+H34)</f>
        <v>57616</v>
      </c>
      <c r="I37" s="162">
        <f>SUM(I9+I28+I31+I34)</f>
        <v>3557.22</v>
      </c>
      <c r="J37" s="162">
        <f>SUM(J9+J28+J31+J34)</f>
        <v>61173.22</v>
      </c>
      <c r="K37" s="163">
        <f t="shared" ref="K37:T37" si="59">SUM(K10:K36)</f>
        <v>1778.61</v>
      </c>
      <c r="L37" s="163">
        <f t="shared" si="59"/>
        <v>64777.11</v>
      </c>
      <c r="M37" s="163">
        <f t="shared" si="59"/>
        <v>50615.289999999994</v>
      </c>
      <c r="N37" s="163">
        <f t="shared" si="59"/>
        <v>14161.820000000002</v>
      </c>
      <c r="O37" s="163">
        <f t="shared" si="59"/>
        <v>2.0799999999999996</v>
      </c>
      <c r="P37" s="163">
        <f t="shared" si="59"/>
        <v>1403.5159039999996</v>
      </c>
      <c r="Q37" s="163">
        <f t="shared" si="59"/>
        <v>3152.5499999999997</v>
      </c>
      <c r="R37" s="163">
        <f t="shared" si="59"/>
        <v>4556.0659039999991</v>
      </c>
      <c r="S37" s="163">
        <f t="shared" si="59"/>
        <v>2158.1999999999998</v>
      </c>
      <c r="T37" s="163">
        <f t="shared" si="59"/>
        <v>2397.8700000000003</v>
      </c>
      <c r="U37" s="162">
        <f>SUM(U9+U28+U31+U34)</f>
        <v>20.98</v>
      </c>
      <c r="V37" s="162">
        <f>SUM(V9+V28+V31+V34)</f>
        <v>2395.7800000000002</v>
      </c>
      <c r="W37" s="162">
        <f>SUM(W9+W28+W31+W34)</f>
        <v>2395.7800000000002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233</v>
      </c>
      <c r="V40" s="4" t="s">
        <v>234</v>
      </c>
    </row>
    <row r="41" spans="1:37" s="4" customFormat="1" x14ac:dyDescent="0.2">
      <c r="D41" s="51" t="s">
        <v>226</v>
      </c>
      <c r="V41" s="51" t="s">
        <v>228</v>
      </c>
    </row>
    <row r="42" spans="1:37" s="4" customFormat="1" x14ac:dyDescent="0.2">
      <c r="D42" s="51" t="s">
        <v>96</v>
      </c>
      <c r="E42" s="51"/>
      <c r="F42" s="51"/>
      <c r="G42" s="51"/>
      <c r="H42" s="51"/>
      <c r="I42" s="51"/>
      <c r="V42" s="51" t="s">
        <v>97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25" zoomScale="86" zoomScaleNormal="86" workbookViewId="0">
      <selection activeCell="W2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31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31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47" t="s">
        <v>159</v>
      </c>
      <c r="D6" s="65"/>
      <c r="E6" s="65"/>
      <c r="F6" s="66" t="s">
        <v>23</v>
      </c>
      <c r="G6" s="66" t="s">
        <v>6</v>
      </c>
      <c r="H6" s="322" t="s">
        <v>1</v>
      </c>
      <c r="I6" s="323"/>
      <c r="J6" s="324"/>
      <c r="K6" s="67" t="s">
        <v>26</v>
      </c>
      <c r="L6" s="68"/>
      <c r="M6" s="325" t="s">
        <v>9</v>
      </c>
      <c r="N6" s="326"/>
      <c r="O6" s="326"/>
      <c r="P6" s="326"/>
      <c r="Q6" s="326"/>
      <c r="R6" s="327"/>
      <c r="S6" s="67" t="s">
        <v>30</v>
      </c>
      <c r="T6" s="67" t="s">
        <v>10</v>
      </c>
      <c r="U6" s="66" t="s">
        <v>54</v>
      </c>
      <c r="V6" s="328" t="s">
        <v>2</v>
      </c>
      <c r="W6" s="329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121</v>
      </c>
      <c r="C7" s="348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49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121</v>
      </c>
      <c r="C9" s="201" t="s">
        <v>159</v>
      </c>
      <c r="D9" s="45" t="s">
        <v>208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100</v>
      </c>
      <c r="B10" s="136" t="s">
        <v>256</v>
      </c>
      <c r="C10" s="62" t="s">
        <v>142</v>
      </c>
      <c r="D10" s="175" t="s">
        <v>247</v>
      </c>
      <c r="E10" s="175" t="s">
        <v>283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91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101</v>
      </c>
      <c r="B11" s="62" t="s">
        <v>139</v>
      </c>
      <c r="C11" s="62" t="s">
        <v>142</v>
      </c>
      <c r="D11" s="164" t="s">
        <v>110</v>
      </c>
      <c r="E11" s="175" t="s">
        <v>204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91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121</v>
      </c>
      <c r="C12" s="201" t="s">
        <v>159</v>
      </c>
      <c r="D12" s="45" t="s">
        <v>276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274</v>
      </c>
      <c r="C13" s="62" t="s">
        <v>142</v>
      </c>
      <c r="D13" s="174" t="s">
        <v>275</v>
      </c>
      <c r="E13" s="175" t="s">
        <v>277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91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121</v>
      </c>
      <c r="C14" s="201" t="s">
        <v>159</v>
      </c>
      <c r="D14" s="45" t="s">
        <v>339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340</v>
      </c>
      <c r="C15" s="62" t="s">
        <v>142</v>
      </c>
      <c r="D15" s="174" t="s">
        <v>337</v>
      </c>
      <c r="E15" s="175" t="s">
        <v>338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91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121</v>
      </c>
      <c r="C16" s="201" t="s">
        <v>159</v>
      </c>
      <c r="D16" s="45" t="s">
        <v>163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103</v>
      </c>
      <c r="B17" s="210">
        <v>185</v>
      </c>
      <c r="C17" s="62" t="s">
        <v>142</v>
      </c>
      <c r="D17" s="211" t="s">
        <v>221</v>
      </c>
      <c r="E17" s="175" t="s">
        <v>112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91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310</v>
      </c>
      <c r="C18" s="62" t="s">
        <v>142</v>
      </c>
      <c r="D18" s="174" t="s">
        <v>289</v>
      </c>
      <c r="E18" s="175" t="s">
        <v>290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91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345</v>
      </c>
      <c r="C19" s="62" t="s">
        <v>224</v>
      </c>
      <c r="D19" s="174" t="s">
        <v>341</v>
      </c>
      <c r="E19" s="175" t="s">
        <v>290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91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121</v>
      </c>
      <c r="C20" s="201" t="s">
        <v>159</v>
      </c>
      <c r="D20" s="45" t="s">
        <v>164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228.42</v>
      </c>
      <c r="J20" s="197">
        <f>SUM(J21:J27)</f>
        <v>15690.92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1342.31</v>
      </c>
      <c r="W20" s="197">
        <f>SUM(W21:W27)</f>
        <v>1342.31</v>
      </c>
      <c r="X20" s="197">
        <f>SUM(X21:X27)</f>
        <v>14348.61</v>
      </c>
      <c r="Y20" s="199"/>
      <c r="AE20" s="88"/>
    </row>
    <row r="21" spans="1:31" s="69" customFormat="1" ht="69.95" customHeight="1" x14ac:dyDescent="0.2">
      <c r="A21" s="62" t="s">
        <v>104</v>
      </c>
      <c r="B21" s="62" t="s">
        <v>140</v>
      </c>
      <c r="C21" s="62" t="s">
        <v>142</v>
      </c>
      <c r="D21" s="174" t="s">
        <v>111</v>
      </c>
      <c r="E21" s="175" t="s">
        <v>113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91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258</v>
      </c>
      <c r="C22" s="62" t="s">
        <v>142</v>
      </c>
      <c r="D22" s="176" t="s">
        <v>206</v>
      </c>
      <c r="E22" s="175" t="s">
        <v>205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91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19" t="s">
        <v>92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E23" s="88"/>
    </row>
    <row r="24" spans="1:31" s="69" customFormat="1" ht="25.5" customHeight="1" x14ac:dyDescent="0.25">
      <c r="A24" s="228"/>
      <c r="B24" s="319" t="s">
        <v>66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E24" s="88"/>
    </row>
    <row r="25" spans="1:31" s="69" customFormat="1" ht="23.25" customHeight="1" x14ac:dyDescent="0.2">
      <c r="A25" s="228"/>
      <c r="B25" s="320" t="s">
        <v>386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330</v>
      </c>
      <c r="C27" s="62" t="s">
        <v>142</v>
      </c>
      <c r="D27" s="176" t="s">
        <v>323</v>
      </c>
      <c r="E27" s="175" t="s">
        <v>324</v>
      </c>
      <c r="F27" s="165"/>
      <c r="G27" s="166"/>
      <c r="H27" s="167">
        <v>3357</v>
      </c>
      <c r="I27" s="168">
        <v>228.42</v>
      </c>
      <c r="J27" s="169">
        <f t="shared" ref="J27" si="37">SUM(H27:I27)</f>
        <v>3585.42</v>
      </c>
      <c r="K27" s="170">
        <f>IF(H27/15&lt;=SMG,0,I27/2)</f>
        <v>114.21</v>
      </c>
      <c r="L27" s="170">
        <f t="shared" ref="L27" si="38">H27+K27</f>
        <v>3471.21</v>
      </c>
      <c r="M27" s="170">
        <f>VLOOKUP(L27,Tarifa1,1)</f>
        <v>2699.41</v>
      </c>
      <c r="N27" s="170">
        <f t="shared" ref="N27" si="39">L27-M27</f>
        <v>771.80000000000018</v>
      </c>
      <c r="O27" s="171">
        <f>VLOOKUP(L27,Tarifa1,3)</f>
        <v>0.10879999999999999</v>
      </c>
      <c r="P27" s="170">
        <f t="shared" ref="P27" si="40">N27*O27</f>
        <v>83.971840000000014</v>
      </c>
      <c r="Q27" s="172">
        <f>VLOOKUP(L27,Tarifa1,2)</f>
        <v>158.55000000000001</v>
      </c>
      <c r="R27" s="170">
        <f t="shared" ref="R27" si="41">P27+Q27</f>
        <v>242.52184000000003</v>
      </c>
      <c r="S27" s="291">
        <f>VLOOKUP(L27,Credito1,2)</f>
        <v>125.1</v>
      </c>
      <c r="T27" s="170">
        <f t="shared" ref="T27" si="42">ROUND(R27-S27,2)</f>
        <v>117.42</v>
      </c>
      <c r="U27" s="169">
        <f t="shared" ref="U27" si="43">-IF(T27&gt;0,0,T27)</f>
        <v>0</v>
      </c>
      <c r="V27" s="169">
        <f t="shared" ref="V27" si="44">IF(T27&lt;0,0,T27)</f>
        <v>117.42</v>
      </c>
      <c r="W27" s="169">
        <f>SUM(V27:V27)</f>
        <v>117.42</v>
      </c>
      <c r="X27" s="169">
        <f>J27+U27-W27</f>
        <v>3468</v>
      </c>
      <c r="Y27" s="185"/>
      <c r="AE27" s="88"/>
    </row>
    <row r="28" spans="1:31" s="69" customFormat="1" ht="52.5" customHeight="1" x14ac:dyDescent="0.25">
      <c r="A28" s="62"/>
      <c r="B28" s="201" t="s">
        <v>121</v>
      </c>
      <c r="C28" s="201" t="s">
        <v>159</v>
      </c>
      <c r="D28" s="45" t="s">
        <v>165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105</v>
      </c>
      <c r="B29" s="62" t="s">
        <v>141</v>
      </c>
      <c r="C29" s="62" t="s">
        <v>142</v>
      </c>
      <c r="D29" s="176" t="s">
        <v>116</v>
      </c>
      <c r="E29" s="175" t="s">
        <v>120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91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121</v>
      </c>
      <c r="C30" s="201" t="s">
        <v>159</v>
      </c>
      <c r="D30" s="45" t="s">
        <v>169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175</v>
      </c>
      <c r="C31" s="62" t="s">
        <v>142</v>
      </c>
      <c r="D31" s="164" t="s">
        <v>170</v>
      </c>
      <c r="E31" s="175" t="s">
        <v>171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91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121</v>
      </c>
      <c r="C32" s="201" t="s">
        <v>159</v>
      </c>
      <c r="D32" s="45" t="s">
        <v>207</v>
      </c>
      <c r="E32" s="45" t="s">
        <v>62</v>
      </c>
      <c r="F32" s="45"/>
      <c r="G32" s="45"/>
      <c r="H32" s="197">
        <f>SUM(H33)</f>
        <v>4481.5</v>
      </c>
      <c r="I32" s="197">
        <f>SUM(I33)</f>
        <v>0</v>
      </c>
      <c r="J32" s="197">
        <f>SUM(J33)</f>
        <v>4481.5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352.44</v>
      </c>
      <c r="W32" s="197">
        <f>SUM(W33)</f>
        <v>352.44</v>
      </c>
      <c r="X32" s="197">
        <f>SUM(X33)</f>
        <v>4129.0600000000004</v>
      </c>
      <c r="Y32" s="199"/>
    </row>
    <row r="33" spans="1:37" s="69" customFormat="1" ht="69.95" customHeight="1" x14ac:dyDescent="0.2">
      <c r="A33" s="202"/>
      <c r="B33" s="136" t="s">
        <v>259</v>
      </c>
      <c r="C33" s="62" t="s">
        <v>142</v>
      </c>
      <c r="D33" s="164" t="s">
        <v>210</v>
      </c>
      <c r="E33" s="175" t="s">
        <v>211</v>
      </c>
      <c r="F33" s="165">
        <v>15</v>
      </c>
      <c r="G33" s="166">
        <f>H33/F33</f>
        <v>298.76666666666665</v>
      </c>
      <c r="H33" s="167">
        <v>4481.5</v>
      </c>
      <c r="I33" s="168">
        <v>0</v>
      </c>
      <c r="J33" s="169">
        <f>SUM(H33:I33)</f>
        <v>4481.5</v>
      </c>
      <c r="K33" s="170">
        <f>IF(H33/15&lt;=SMG,0,I33/2)</f>
        <v>0</v>
      </c>
      <c r="L33" s="170">
        <f t="shared" ref="L33" si="55">H33+K33</f>
        <v>4481.5</v>
      </c>
      <c r="M33" s="170">
        <f>VLOOKUP(L33,Tarifa1,1)</f>
        <v>2699.41</v>
      </c>
      <c r="N33" s="170">
        <f t="shared" ref="N33" si="56">L33-M33</f>
        <v>1782.0900000000001</v>
      </c>
      <c r="O33" s="171">
        <f>VLOOKUP(L33,Tarifa1,3)</f>
        <v>0.10879999999999999</v>
      </c>
      <c r="P33" s="170">
        <f t="shared" ref="P33" si="57">N33*O33</f>
        <v>193.891392</v>
      </c>
      <c r="Q33" s="172">
        <f>VLOOKUP(L33,Tarifa1,2)</f>
        <v>158.55000000000001</v>
      </c>
      <c r="R33" s="170">
        <f t="shared" ref="R33" si="58">P33+Q33</f>
        <v>352.44139200000001</v>
      </c>
      <c r="S33" s="291">
        <f>VLOOKUP(L33,Credito1,2)</f>
        <v>0</v>
      </c>
      <c r="T33" s="170">
        <f t="shared" ref="T33" si="59">ROUND(R33-S33,2)</f>
        <v>352.44</v>
      </c>
      <c r="U33" s="169">
        <f t="shared" ref="U33" si="60">-IF(T33&gt;0,0,T33)</f>
        <v>0</v>
      </c>
      <c r="V33" s="232">
        <f>IF(T33&lt;0,0,T33)</f>
        <v>352.44</v>
      </c>
      <c r="W33" s="169">
        <f>SUM(V33:V33)</f>
        <v>352.44</v>
      </c>
      <c r="X33" s="169">
        <f>J33+U33-W33</f>
        <v>4129.0600000000004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50" t="s">
        <v>45</v>
      </c>
      <c r="B35" s="350"/>
      <c r="C35" s="350"/>
      <c r="D35" s="350"/>
      <c r="E35" s="350"/>
      <c r="F35" s="350"/>
      <c r="G35" s="350"/>
      <c r="H35" s="205">
        <f>H9+H12+H16+H20+H28+H30+H32+H14</f>
        <v>69667</v>
      </c>
      <c r="I35" s="205">
        <f>I9+I12+I16+I20+I28+I30+I32+I14</f>
        <v>228.42</v>
      </c>
      <c r="J35" s="205">
        <f>J9+J12+J16+J20+J28+J30+J32+J14</f>
        <v>69895.42</v>
      </c>
      <c r="K35" s="206">
        <f t="shared" ref="K35:T35" si="61">SUM(K10:K34)</f>
        <v>114.21</v>
      </c>
      <c r="L35" s="206">
        <f t="shared" si="61"/>
        <v>69781.209999999992</v>
      </c>
      <c r="M35" s="206">
        <f t="shared" si="61"/>
        <v>60425.53</v>
      </c>
      <c r="N35" s="206">
        <f t="shared" si="61"/>
        <v>9355.68</v>
      </c>
      <c r="O35" s="206">
        <f t="shared" si="61"/>
        <v>2.0768</v>
      </c>
      <c r="P35" s="206">
        <f t="shared" si="61"/>
        <v>1236.5199999999998</v>
      </c>
      <c r="Q35" s="206">
        <f t="shared" si="61"/>
        <v>5360.5500000000011</v>
      </c>
      <c r="R35" s="206">
        <f t="shared" si="61"/>
        <v>6597.07</v>
      </c>
      <c r="S35" s="206">
        <f t="shared" si="61"/>
        <v>125.1</v>
      </c>
      <c r="T35" s="206">
        <f t="shared" si="61"/>
        <v>6471.98</v>
      </c>
      <c r="U35" s="205">
        <f>U9+U12+U16+U20+U28+U30+U32+U14</f>
        <v>0</v>
      </c>
      <c r="V35" s="205">
        <f>V9+V12+V16+V20+V28+V30+V32+V14</f>
        <v>6471.98</v>
      </c>
      <c r="W35" s="205">
        <f>W9+W12+W16+W20+W28+W30+W32+W14</f>
        <v>6471.98</v>
      </c>
      <c r="X35" s="205">
        <f>X9+X12+X16+X20+X28+X30+X32+X14</f>
        <v>63423.439999999995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235</v>
      </c>
      <c r="W45" s="4"/>
      <c r="X45" s="4"/>
    </row>
    <row r="46" spans="1:37" s="69" customFormat="1" x14ac:dyDescent="0.2">
      <c r="D46" s="51" t="s">
        <v>226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228</v>
      </c>
      <c r="W46" s="4"/>
      <c r="X46" s="4"/>
    </row>
    <row r="47" spans="1:37" s="69" customFormat="1" x14ac:dyDescent="0.2">
      <c r="D47" s="51" t="s">
        <v>96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97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7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30" t="s">
        <v>1</v>
      </c>
      <c r="I6" s="331"/>
      <c r="J6" s="332"/>
      <c r="K6" s="24" t="s">
        <v>26</v>
      </c>
      <c r="L6" s="25"/>
      <c r="M6" s="333" t="s">
        <v>9</v>
      </c>
      <c r="N6" s="334"/>
      <c r="O6" s="334"/>
      <c r="P6" s="334"/>
      <c r="Q6" s="334"/>
      <c r="R6" s="335"/>
      <c r="S6" s="24" t="s">
        <v>30</v>
      </c>
      <c r="T6" s="24" t="s">
        <v>10</v>
      </c>
      <c r="U6" s="23" t="s">
        <v>54</v>
      </c>
      <c r="V6" s="336" t="s">
        <v>2</v>
      </c>
      <c r="W6" s="337"/>
      <c r="X6" s="23" t="s">
        <v>0</v>
      </c>
      <c r="Y6" s="42"/>
    </row>
    <row r="7" spans="1:25" ht="33.7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136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99</v>
      </c>
      <c r="B10" s="114" t="s">
        <v>134</v>
      </c>
      <c r="C10" s="114" t="s">
        <v>142</v>
      </c>
      <c r="D10" s="119" t="s">
        <v>119</v>
      </c>
      <c r="E10" s="119" t="s">
        <v>83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91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101</v>
      </c>
      <c r="B11" s="114" t="s">
        <v>124</v>
      </c>
      <c r="C11" s="114" t="s">
        <v>142</v>
      </c>
      <c r="D11" s="119" t="s">
        <v>84</v>
      </c>
      <c r="E11" s="119" t="s">
        <v>89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91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J11+U11-W11+I11</f>
        <v>8177.91</v>
      </c>
      <c r="Y11" s="120"/>
    </row>
    <row r="12" spans="1:25" s="4" customFormat="1" ht="75" customHeight="1" x14ac:dyDescent="0.2">
      <c r="A12" s="59" t="s">
        <v>102</v>
      </c>
      <c r="B12" s="114" t="s">
        <v>135</v>
      </c>
      <c r="C12" s="114" t="s">
        <v>142</v>
      </c>
      <c r="D12" s="119" t="s">
        <v>114</v>
      </c>
      <c r="E12" s="119" t="s">
        <v>89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91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16" t="s">
        <v>45</v>
      </c>
      <c r="B14" s="317"/>
      <c r="C14" s="317"/>
      <c r="D14" s="317"/>
      <c r="E14" s="317"/>
      <c r="F14" s="317"/>
      <c r="G14" s="318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237</v>
      </c>
      <c r="V21" t="s">
        <v>109</v>
      </c>
    </row>
    <row r="22" spans="4:37" x14ac:dyDescent="0.2">
      <c r="D22" s="78" t="s">
        <v>226</v>
      </c>
      <c r="H22" s="4"/>
      <c r="V22" s="78" t="s">
        <v>238</v>
      </c>
    </row>
    <row r="23" spans="4:37" x14ac:dyDescent="0.2">
      <c r="D23" s="51" t="s">
        <v>236</v>
      </c>
      <c r="E23" s="51"/>
      <c r="F23" s="51"/>
      <c r="G23" s="51"/>
      <c r="H23" s="51"/>
      <c r="I23" s="51"/>
      <c r="V23" s="51" t="s">
        <v>239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5" ht="18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5" ht="15" x14ac:dyDescent="0.2">
      <c r="A3" s="320" t="s">
        <v>386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30" t="s">
        <v>1</v>
      </c>
      <c r="I6" s="332"/>
      <c r="J6" s="24" t="s">
        <v>26</v>
      </c>
      <c r="K6" s="25"/>
      <c r="L6" s="333" t="s">
        <v>9</v>
      </c>
      <c r="M6" s="334"/>
      <c r="N6" s="334"/>
      <c r="O6" s="334"/>
      <c r="P6" s="334"/>
      <c r="Q6" s="335"/>
      <c r="R6" s="24" t="s">
        <v>30</v>
      </c>
      <c r="S6" s="24" t="s">
        <v>10</v>
      </c>
      <c r="T6" s="23" t="s">
        <v>54</v>
      </c>
      <c r="U6" s="336" t="s">
        <v>2</v>
      </c>
      <c r="V6" s="337"/>
      <c r="W6" s="23" t="s">
        <v>0</v>
      </c>
      <c r="X6" s="42"/>
    </row>
    <row r="7" spans="1:25" ht="33.75" customHeight="1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99</v>
      </c>
      <c r="B10" s="137" t="s">
        <v>260</v>
      </c>
      <c r="C10" s="114" t="s">
        <v>142</v>
      </c>
      <c r="D10" s="119" t="s">
        <v>217</v>
      </c>
      <c r="E10" s="119" t="s">
        <v>86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100</v>
      </c>
      <c r="B11" s="137" t="s">
        <v>261</v>
      </c>
      <c r="C11" s="114" t="s">
        <v>142</v>
      </c>
      <c r="D11" s="119" t="s">
        <v>212</v>
      </c>
      <c r="E11" s="119" t="s">
        <v>86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101</v>
      </c>
      <c r="B12" s="137" t="s">
        <v>262</v>
      </c>
      <c r="C12" s="114" t="s">
        <v>142</v>
      </c>
      <c r="D12" s="119" t="s">
        <v>216</v>
      </c>
      <c r="E12" s="119" t="s">
        <v>86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102</v>
      </c>
      <c r="B13" s="137" t="s">
        <v>263</v>
      </c>
      <c r="C13" s="114" t="s">
        <v>142</v>
      </c>
      <c r="D13" s="119" t="s">
        <v>213</v>
      </c>
      <c r="E13" s="119" t="s">
        <v>86</v>
      </c>
      <c r="F13" s="131">
        <v>15</v>
      </c>
      <c r="G13" s="135">
        <f t="shared" si="7"/>
        <v>556.13333333333333</v>
      </c>
      <c r="H13" s="117">
        <v>8342</v>
      </c>
      <c r="I13" s="125">
        <f t="shared" si="0"/>
        <v>8342</v>
      </c>
      <c r="J13" s="170">
        <v>0</v>
      </c>
      <c r="K13" s="170">
        <f t="shared" si="8"/>
        <v>8342</v>
      </c>
      <c r="L13" s="170">
        <f t="shared" si="9"/>
        <v>6602.71</v>
      </c>
      <c r="M13" s="170">
        <f t="shared" si="10"/>
        <v>1739.29</v>
      </c>
      <c r="N13" s="171">
        <f t="shared" si="11"/>
        <v>0.21360000000000001</v>
      </c>
      <c r="O13" s="170">
        <f t="shared" si="12"/>
        <v>371.51234400000004</v>
      </c>
      <c r="P13" s="172">
        <f t="shared" si="13"/>
        <v>699.3</v>
      </c>
      <c r="Q13" s="170">
        <f t="shared" si="14"/>
        <v>1070.8123439999999</v>
      </c>
      <c r="R13" s="170">
        <f t="shared" si="15"/>
        <v>0</v>
      </c>
      <c r="S13" s="170">
        <f t="shared" si="16"/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103</v>
      </c>
      <c r="B14" s="137" t="s">
        <v>378</v>
      </c>
      <c r="C14" s="137" t="s">
        <v>142</v>
      </c>
      <c r="D14" s="122" t="s">
        <v>368</v>
      </c>
      <c r="E14" s="122" t="s">
        <v>86</v>
      </c>
      <c r="F14" s="149">
        <v>15</v>
      </c>
      <c r="G14" s="286">
        <f t="shared" si="7"/>
        <v>556.13333333333333</v>
      </c>
      <c r="H14" s="117">
        <v>8342</v>
      </c>
      <c r="I14" s="125">
        <f t="shared" ref="I14" si="1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18">-IF(S14&gt;0,0,S14)</f>
        <v>0</v>
      </c>
      <c r="U14" s="125">
        <f t="shared" ref="U14" si="1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104</v>
      </c>
      <c r="B15" s="137" t="s">
        <v>264</v>
      </c>
      <c r="C15" s="114" t="s">
        <v>142</v>
      </c>
      <c r="D15" s="119" t="s">
        <v>214</v>
      </c>
      <c r="E15" s="119" t="s">
        <v>86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105</v>
      </c>
      <c r="B16" s="137" t="s">
        <v>265</v>
      </c>
      <c r="C16" s="114" t="s">
        <v>142</v>
      </c>
      <c r="D16" s="119" t="s">
        <v>215</v>
      </c>
      <c r="E16" s="119" t="s">
        <v>86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106</v>
      </c>
      <c r="B17" s="137" t="s">
        <v>266</v>
      </c>
      <c r="C17" s="114" t="s">
        <v>142</v>
      </c>
      <c r="D17" s="119" t="s">
        <v>218</v>
      </c>
      <c r="E17" s="119" t="s">
        <v>86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107</v>
      </c>
      <c r="B18" s="137" t="s">
        <v>267</v>
      </c>
      <c r="C18" s="114" t="s">
        <v>142</v>
      </c>
      <c r="D18" s="119" t="s">
        <v>219</v>
      </c>
      <c r="E18" s="119" t="s">
        <v>86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16" t="s">
        <v>45</v>
      </c>
      <c r="B20" s="317"/>
      <c r="C20" s="317"/>
      <c r="D20" s="317"/>
      <c r="E20" s="317"/>
      <c r="F20" s="317"/>
      <c r="G20" s="318"/>
      <c r="H20" s="39">
        <f>SUM(H10:H19)</f>
        <v>75078</v>
      </c>
      <c r="I20" s="39">
        <f>SUM(I10:I19)</f>
        <v>75078</v>
      </c>
      <c r="J20" s="40">
        <f t="shared" ref="J20:S20" si="20">SUM(J10:J19)</f>
        <v>0</v>
      </c>
      <c r="K20" s="40">
        <f t="shared" si="20"/>
        <v>75078</v>
      </c>
      <c r="L20" s="40">
        <f t="shared" si="20"/>
        <v>59424.39</v>
      </c>
      <c r="M20" s="40">
        <f t="shared" si="20"/>
        <v>15653.610000000004</v>
      </c>
      <c r="N20" s="40">
        <f t="shared" si="20"/>
        <v>1.9224000000000001</v>
      </c>
      <c r="O20" s="40">
        <f t="shared" si="20"/>
        <v>3343.611096000001</v>
      </c>
      <c r="P20" s="40">
        <f t="shared" si="20"/>
        <v>6293.7000000000007</v>
      </c>
      <c r="Q20" s="40">
        <f t="shared" si="20"/>
        <v>9637.3110959999995</v>
      </c>
      <c r="R20" s="40">
        <f t="shared" si="20"/>
        <v>0</v>
      </c>
      <c r="S20" s="40">
        <f t="shared" si="2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226</v>
      </c>
      <c r="H26" s="4"/>
    </row>
    <row r="27" spans="1:37" x14ac:dyDescent="0.2">
      <c r="D27" s="51" t="s">
        <v>240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tarifa</vt:lpstr>
      <vt:lpstr>PRESIDENCIA</vt:lpstr>
      <vt:lpstr>JURIDICO</vt:lpstr>
      <vt:lpstr>CONTRALORIA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2021-02-15T20:55:21Z</cp:lastPrinted>
  <dcterms:created xsi:type="dcterms:W3CDTF">2000-05-05T04:08:27Z</dcterms:created>
  <dcterms:modified xsi:type="dcterms:W3CDTF">2023-09-14T19:42:32Z</dcterms:modified>
</cp:coreProperties>
</file>