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0\"/>
    </mc:Choice>
  </mc:AlternateContent>
  <xr:revisionPtr revIDLastSave="0" documentId="13_ncr:1_{C433E840-E33E-468D-B0AD-835676B76231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</sheets>
  <externalReferences>
    <externalReference r:id="rId14"/>
    <externalReference r:id="rId15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tarifa!$B$53:$D$63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119" l="1"/>
  <c r="H33" i="119"/>
  <c r="K27" i="123"/>
  <c r="L27" i="123" s="1"/>
  <c r="J27" i="123"/>
  <c r="L17" i="133"/>
  <c r="O17" i="133" s="1"/>
  <c r="J17" i="133"/>
  <c r="K35" i="119"/>
  <c r="L35" i="119" s="1"/>
  <c r="J35" i="119"/>
  <c r="K34" i="119"/>
  <c r="L34" i="119" s="1"/>
  <c r="J34" i="119"/>
  <c r="K16" i="133"/>
  <c r="L16" i="133" s="1"/>
  <c r="J16" i="133"/>
  <c r="G16" i="133"/>
  <c r="K19" i="123"/>
  <c r="L19" i="123" s="1"/>
  <c r="J19" i="123"/>
  <c r="J33" i="119" l="1"/>
  <c r="O27" i="123"/>
  <c r="Q27" i="123"/>
  <c r="M27" i="123"/>
  <c r="N27" i="123" s="1"/>
  <c r="P27" i="123" s="1"/>
  <c r="R27" i="123" s="1"/>
  <c r="S27" i="123"/>
  <c r="N17" i="133"/>
  <c r="P17" i="133" s="1"/>
  <c r="R17" i="133" s="1"/>
  <c r="T17" i="133" s="1"/>
  <c r="V17" i="133" s="1"/>
  <c r="W17" i="133" s="1"/>
  <c r="Q35" i="119"/>
  <c r="M35" i="119"/>
  <c r="N35" i="119" s="1"/>
  <c r="S35" i="119"/>
  <c r="O35" i="119"/>
  <c r="S34" i="119"/>
  <c r="Q34" i="119"/>
  <c r="M34" i="119"/>
  <c r="N34" i="119" s="1"/>
  <c r="O34" i="119"/>
  <c r="S16" i="133"/>
  <c r="O16" i="133"/>
  <c r="Q16" i="133"/>
  <c r="M16" i="133"/>
  <c r="N16" i="133" s="1"/>
  <c r="S19" i="123"/>
  <c r="O19" i="123"/>
  <c r="M19" i="123"/>
  <c r="N19" i="123" s="1"/>
  <c r="Q19" i="123"/>
  <c r="K14" i="133"/>
  <c r="L14" i="133" s="1"/>
  <c r="J14" i="133"/>
  <c r="T27" i="123" l="1"/>
  <c r="U27" i="123" s="1"/>
  <c r="P19" i="123"/>
  <c r="R19" i="123" s="1"/>
  <c r="T19" i="123" s="1"/>
  <c r="P34" i="119"/>
  <c r="R34" i="119" s="1"/>
  <c r="T34" i="119" s="1"/>
  <c r="V34" i="119" s="1"/>
  <c r="P16" i="133"/>
  <c r="R16" i="133" s="1"/>
  <c r="T16" i="133" s="1"/>
  <c r="V16" i="133" s="1"/>
  <c r="W16" i="133" s="1"/>
  <c r="U17" i="133"/>
  <c r="X17" i="133"/>
  <c r="P35" i="119"/>
  <c r="R35" i="119" s="1"/>
  <c r="T35" i="119" s="1"/>
  <c r="V35" i="119" s="1"/>
  <c r="W35" i="119" s="1"/>
  <c r="U34" i="119"/>
  <c r="U19" i="123"/>
  <c r="V19" i="123"/>
  <c r="W19" i="123" s="1"/>
  <c r="S14" i="133"/>
  <c r="Q14" i="133"/>
  <c r="M14" i="133"/>
  <c r="N14" i="133" s="1"/>
  <c r="O14" i="133"/>
  <c r="K18" i="120"/>
  <c r="L18" i="120" s="1"/>
  <c r="J18" i="120"/>
  <c r="G18" i="120"/>
  <c r="L13" i="121"/>
  <c r="N13" i="121" s="1"/>
  <c r="P13" i="121" s="1"/>
  <c r="R13" i="121" s="1"/>
  <c r="T13" i="121" s="1"/>
  <c r="J13" i="121"/>
  <c r="L14" i="121"/>
  <c r="N14" i="121" s="1"/>
  <c r="J14" i="121"/>
  <c r="U16" i="133" l="1"/>
  <c r="V27" i="123"/>
  <c r="W27" i="123" s="1"/>
  <c r="X27" i="123" s="1"/>
  <c r="X16" i="133"/>
  <c r="W34" i="119"/>
  <c r="W33" i="119" s="1"/>
  <c r="V33" i="119"/>
  <c r="U35" i="119"/>
  <c r="X35" i="119" s="1"/>
  <c r="X19" i="123"/>
  <c r="P14" i="133"/>
  <c r="R14" i="133" s="1"/>
  <c r="T14" i="133" s="1"/>
  <c r="V14" i="133" s="1"/>
  <c r="W14" i="133" s="1"/>
  <c r="O18" i="120"/>
  <c r="Q18" i="120"/>
  <c r="M18" i="120"/>
  <c r="N18" i="120" s="1"/>
  <c r="S18" i="120"/>
  <c r="V13" i="121"/>
  <c r="W13" i="121" s="1"/>
  <c r="U13" i="121"/>
  <c r="X13" i="121" s="1"/>
  <c r="O14" i="121"/>
  <c r="P14" i="121" s="1"/>
  <c r="R14" i="121" s="1"/>
  <c r="T14" i="121" s="1"/>
  <c r="K9" i="120"/>
  <c r="L9" i="120" s="1"/>
  <c r="J9" i="120"/>
  <c r="K16" i="121"/>
  <c r="L16" i="121" s="1"/>
  <c r="J16" i="121"/>
  <c r="X34" i="119" l="1"/>
  <c r="X33" i="119" s="1"/>
  <c r="U33" i="119"/>
  <c r="P18" i="120"/>
  <c r="R18" i="120" s="1"/>
  <c r="T18" i="120" s="1"/>
  <c r="U18" i="120" s="1"/>
  <c r="U14" i="133"/>
  <c r="X14" i="133" s="1"/>
  <c r="V18" i="120"/>
  <c r="W18" i="120" s="1"/>
  <c r="U14" i="121"/>
  <c r="V14" i="121"/>
  <c r="W14" i="121" s="1"/>
  <c r="Q9" i="120"/>
  <c r="M9" i="120"/>
  <c r="N9" i="120" s="1"/>
  <c r="S9" i="120"/>
  <c r="O9" i="120"/>
  <c r="S16" i="121"/>
  <c r="O16" i="121"/>
  <c r="Q16" i="121"/>
  <c r="M16" i="121"/>
  <c r="N16" i="121" s="1"/>
  <c r="X18" i="120" l="1"/>
  <c r="X14" i="121"/>
  <c r="P9" i="120"/>
  <c r="R9" i="120" s="1"/>
  <c r="T9" i="120" s="1"/>
  <c r="V9" i="120" s="1"/>
  <c r="W9" i="120" s="1"/>
  <c r="P16" i="121"/>
  <c r="R16" i="121" s="1"/>
  <c r="T16" i="121" s="1"/>
  <c r="L12" i="121"/>
  <c r="N12" i="121" s="1"/>
  <c r="P12" i="121" s="1"/>
  <c r="R12" i="121" s="1"/>
  <c r="T12" i="121" s="1"/>
  <c r="J12" i="121"/>
  <c r="V16" i="121" l="1"/>
  <c r="W16" i="121" s="1"/>
  <c r="U16" i="121"/>
  <c r="X16" i="121" s="1"/>
  <c r="U9" i="120"/>
  <c r="X9" i="120"/>
  <c r="V12" i="121"/>
  <c r="W12" i="121" s="1"/>
  <c r="U12" i="121"/>
  <c r="X12" i="121" l="1"/>
  <c r="K11" i="121" l="1"/>
  <c r="L11" i="121" s="1"/>
  <c r="J11" i="121"/>
  <c r="L26" i="121"/>
  <c r="N26" i="121" s="1"/>
  <c r="J26" i="121"/>
  <c r="S11" i="121" l="1"/>
  <c r="O11" i="121"/>
  <c r="Q11" i="121"/>
  <c r="M11" i="121"/>
  <c r="N11" i="121" s="1"/>
  <c r="O26" i="121"/>
  <c r="P26" i="121" s="1"/>
  <c r="R26" i="121" s="1"/>
  <c r="T26" i="121" s="1"/>
  <c r="P11" i="121" l="1"/>
  <c r="R11" i="121" s="1"/>
  <c r="T11" i="121" s="1"/>
  <c r="U11" i="121" s="1"/>
  <c r="V26" i="121"/>
  <c r="W26" i="121" s="1"/>
  <c r="U26" i="121"/>
  <c r="V11" i="121" l="1"/>
  <c r="W11" i="121" s="1"/>
  <c r="X11" i="121" s="1"/>
  <c r="X26" i="121"/>
  <c r="I20" i="135" l="1"/>
  <c r="J20" i="135" s="1"/>
  <c r="H20" i="135"/>
  <c r="I19" i="135"/>
  <c r="J19" i="135" s="1"/>
  <c r="H19" i="135"/>
  <c r="Q20" i="135" l="1"/>
  <c r="M20" i="135"/>
  <c r="K20" i="135"/>
  <c r="L20" i="135" s="1"/>
  <c r="N20" i="135" s="1"/>
  <c r="O20" i="135"/>
  <c r="Q19" i="135"/>
  <c r="O19" i="135"/>
  <c r="K19" i="135"/>
  <c r="L19" i="135" s="1"/>
  <c r="M19" i="135"/>
  <c r="J33" i="120"/>
  <c r="K33" i="120"/>
  <c r="L33" i="120" s="1"/>
  <c r="N19" i="135" l="1"/>
  <c r="P19" i="135" s="1"/>
  <c r="R19" i="135" s="1"/>
  <c r="S19" i="135" s="1"/>
  <c r="P20" i="135"/>
  <c r="R20" i="135" s="1"/>
  <c r="S20" i="135"/>
  <c r="T20" i="135"/>
  <c r="U20" i="135" s="1"/>
  <c r="T19" i="135"/>
  <c r="U19" i="135" s="1"/>
  <c r="O33" i="120"/>
  <c r="S33" i="120"/>
  <c r="M33" i="120"/>
  <c r="N33" i="120" s="1"/>
  <c r="Q33" i="120"/>
  <c r="I18" i="135"/>
  <c r="J18" i="135" s="1"/>
  <c r="H18" i="135"/>
  <c r="P33" i="120" l="1"/>
  <c r="V20" i="135"/>
  <c r="V19" i="135"/>
  <c r="R33" i="120"/>
  <c r="T33" i="120" s="1"/>
  <c r="V33" i="120" s="1"/>
  <c r="W33" i="120" s="1"/>
  <c r="O18" i="135"/>
  <c r="K18" i="135"/>
  <c r="L18" i="135" s="1"/>
  <c r="Q18" i="135"/>
  <c r="M18" i="135"/>
  <c r="K15" i="133"/>
  <c r="L15" i="133" s="1"/>
  <c r="K11" i="133"/>
  <c r="L11" i="133" s="1"/>
  <c r="O11" i="133" s="1"/>
  <c r="K12" i="133"/>
  <c r="L12" i="133" s="1"/>
  <c r="M12" i="133" s="1"/>
  <c r="K13" i="133"/>
  <c r="L13" i="133" s="1"/>
  <c r="O13" i="133" s="1"/>
  <c r="K10" i="133"/>
  <c r="L10" i="133" s="1"/>
  <c r="I14" i="135"/>
  <c r="J14" i="135" s="1"/>
  <c r="M14" i="135" s="1"/>
  <c r="I15" i="135"/>
  <c r="J15" i="135" s="1"/>
  <c r="K15" i="135" s="1"/>
  <c r="I16" i="135"/>
  <c r="J16" i="135" s="1"/>
  <c r="M16" i="135" s="1"/>
  <c r="I17" i="135"/>
  <c r="J17" i="135" s="1"/>
  <c r="K17" i="135" s="1"/>
  <c r="I21" i="135"/>
  <c r="J21" i="135" s="1"/>
  <c r="M21" i="135" s="1"/>
  <c r="I10" i="135"/>
  <c r="J10" i="135" s="1"/>
  <c r="I11" i="135"/>
  <c r="J11" i="135" s="1"/>
  <c r="K11" i="135" s="1"/>
  <c r="I12" i="135"/>
  <c r="J12" i="135" s="1"/>
  <c r="M12" i="135" s="1"/>
  <c r="I13" i="135"/>
  <c r="J13" i="135" s="1"/>
  <c r="K13" i="135" s="1"/>
  <c r="I9" i="135"/>
  <c r="J9" i="135" s="1"/>
  <c r="K11" i="132"/>
  <c r="L11" i="132" s="1"/>
  <c r="O11" i="132" s="1"/>
  <c r="K12" i="132"/>
  <c r="L12" i="132" s="1"/>
  <c r="M12" i="132" s="1"/>
  <c r="K13" i="132"/>
  <c r="L13" i="132" s="1"/>
  <c r="K14" i="132"/>
  <c r="L14" i="132" s="1"/>
  <c r="M14" i="132" s="1"/>
  <c r="K10" i="132"/>
  <c r="L10" i="132" s="1"/>
  <c r="K10" i="124"/>
  <c r="L10" i="124" s="1"/>
  <c r="S10" i="124" s="1"/>
  <c r="K11" i="118"/>
  <c r="L11" i="118" s="1"/>
  <c r="K12" i="118"/>
  <c r="L12" i="118" s="1"/>
  <c r="M12" i="118" s="1"/>
  <c r="K10" i="118"/>
  <c r="L10" i="118" s="1"/>
  <c r="K33" i="123"/>
  <c r="L33" i="123" s="1"/>
  <c r="K31" i="123"/>
  <c r="L31" i="123" s="1"/>
  <c r="K29" i="123"/>
  <c r="L29" i="123" s="1"/>
  <c r="K22" i="123"/>
  <c r="L22" i="123" s="1"/>
  <c r="K21" i="123"/>
  <c r="L21" i="123" s="1"/>
  <c r="K18" i="123"/>
  <c r="L18" i="123" s="1"/>
  <c r="K17" i="123"/>
  <c r="L17" i="123" s="1"/>
  <c r="K15" i="123"/>
  <c r="L15" i="123" s="1"/>
  <c r="K13" i="123"/>
  <c r="L13" i="123" s="1"/>
  <c r="K11" i="123"/>
  <c r="L11" i="123" s="1"/>
  <c r="K10" i="123"/>
  <c r="L10" i="123" s="1"/>
  <c r="K35" i="121"/>
  <c r="L35" i="121" s="1"/>
  <c r="K33" i="121"/>
  <c r="L33" i="121" s="1"/>
  <c r="K32" i="121"/>
  <c r="L32" i="121" s="1"/>
  <c r="K30" i="121"/>
  <c r="L30" i="121" s="1"/>
  <c r="K29" i="121"/>
  <c r="L29" i="121" s="1"/>
  <c r="K27" i="121"/>
  <c r="L27" i="121" s="1"/>
  <c r="K10" i="121"/>
  <c r="L10" i="121" s="1"/>
  <c r="K15" i="121"/>
  <c r="L15" i="121" s="1"/>
  <c r="K17" i="121"/>
  <c r="L17" i="121" s="1"/>
  <c r="K18" i="121"/>
  <c r="L18" i="121" s="1"/>
  <c r="M18" i="121" s="1"/>
  <c r="K19" i="121"/>
  <c r="L19" i="121" s="1"/>
  <c r="K25" i="121"/>
  <c r="L25" i="121" s="1"/>
  <c r="M25" i="121" s="1"/>
  <c r="K9" i="121"/>
  <c r="L9" i="121" s="1"/>
  <c r="K21" i="120"/>
  <c r="L21" i="120" s="1"/>
  <c r="K34" i="120"/>
  <c r="L34" i="120" s="1"/>
  <c r="K35" i="120"/>
  <c r="L35" i="120" s="1"/>
  <c r="M35" i="120" s="1"/>
  <c r="K36" i="120"/>
  <c r="L36" i="120" s="1"/>
  <c r="K17" i="120"/>
  <c r="L17" i="120" s="1"/>
  <c r="O17" i="120" s="1"/>
  <c r="K19" i="120"/>
  <c r="L19" i="120" s="1"/>
  <c r="M19" i="120" s="1"/>
  <c r="K20" i="120"/>
  <c r="L20" i="120" s="1"/>
  <c r="K13" i="120"/>
  <c r="L13" i="120" s="1"/>
  <c r="K14" i="120"/>
  <c r="L14" i="120" s="1"/>
  <c r="K15" i="120"/>
  <c r="L15" i="120" s="1"/>
  <c r="K16" i="120"/>
  <c r="L16" i="120" s="1"/>
  <c r="K10" i="120"/>
  <c r="L10" i="120" s="1"/>
  <c r="K11" i="120"/>
  <c r="L11" i="120" s="1"/>
  <c r="M11" i="120" s="1"/>
  <c r="K12" i="120"/>
  <c r="L12" i="120" s="1"/>
  <c r="O12" i="120" s="1"/>
  <c r="K12" i="134"/>
  <c r="L12" i="134" s="1"/>
  <c r="K10" i="134"/>
  <c r="L10" i="134" s="1"/>
  <c r="K10" i="127"/>
  <c r="L10" i="127" s="1"/>
  <c r="K32" i="119"/>
  <c r="L32" i="119" s="1"/>
  <c r="K31" i="119"/>
  <c r="L31" i="119" s="1"/>
  <c r="K30" i="119"/>
  <c r="L30" i="119" s="1"/>
  <c r="K21" i="119"/>
  <c r="L21" i="119" s="1"/>
  <c r="K19" i="119"/>
  <c r="L19" i="119" s="1"/>
  <c r="K18" i="119"/>
  <c r="L18" i="119" s="1"/>
  <c r="K16" i="119"/>
  <c r="L16" i="119" s="1"/>
  <c r="K14" i="119"/>
  <c r="L14" i="119" s="1"/>
  <c r="K11" i="119"/>
  <c r="L11" i="119" s="1"/>
  <c r="O11" i="119" s="1"/>
  <c r="K12" i="119"/>
  <c r="L12" i="119" s="1"/>
  <c r="M12" i="119" s="1"/>
  <c r="K10" i="119"/>
  <c r="I31" i="121"/>
  <c r="H31" i="121"/>
  <c r="S21" i="123" l="1"/>
  <c r="Q21" i="123"/>
  <c r="N18" i="135"/>
  <c r="P18" i="135" s="1"/>
  <c r="R18" i="135" s="1"/>
  <c r="U33" i="120"/>
  <c r="X33" i="120" s="1"/>
  <c r="O10" i="120"/>
  <c r="Q10" i="120"/>
  <c r="M10" i="120"/>
  <c r="N10" i="120" s="1"/>
  <c r="M10" i="135"/>
  <c r="K10" i="135"/>
  <c r="L10" i="135" s="1"/>
  <c r="O10" i="135"/>
  <c r="O20" i="120"/>
  <c r="M20" i="120"/>
  <c r="N20" i="120" s="1"/>
  <c r="Q20" i="120"/>
  <c r="O13" i="132"/>
  <c r="Q13" i="132"/>
  <c r="M13" i="132"/>
  <c r="N13" i="132" s="1"/>
  <c r="P13" i="132" s="1"/>
  <c r="R13" i="132" s="1"/>
  <c r="O15" i="133"/>
  <c r="M15" i="133"/>
  <c r="N15" i="133" s="1"/>
  <c r="Q15" i="133"/>
  <c r="K31" i="121"/>
  <c r="Q12" i="120"/>
  <c r="Q17" i="120"/>
  <c r="Q11" i="132"/>
  <c r="O12" i="135"/>
  <c r="M12" i="120"/>
  <c r="N12" i="120" s="1"/>
  <c r="P12" i="120" s="1"/>
  <c r="R12" i="120" s="1"/>
  <c r="M17" i="120"/>
  <c r="N17" i="120" s="1"/>
  <c r="P17" i="120" s="1"/>
  <c r="M21" i="123"/>
  <c r="N21" i="123" s="1"/>
  <c r="M11" i="132"/>
  <c r="N11" i="132" s="1"/>
  <c r="P11" i="132" s="1"/>
  <c r="K12" i="135"/>
  <c r="L12" i="135" s="1"/>
  <c r="N12" i="135" s="1"/>
  <c r="S15" i="133"/>
  <c r="Q13" i="133"/>
  <c r="M13" i="133"/>
  <c r="N13" i="133" s="1"/>
  <c r="P13" i="133" s="1"/>
  <c r="S12" i="133"/>
  <c r="O12" i="133"/>
  <c r="Q11" i="133"/>
  <c r="M11" i="133"/>
  <c r="N11" i="133" s="1"/>
  <c r="P11" i="133" s="1"/>
  <c r="N12" i="133"/>
  <c r="S13" i="133"/>
  <c r="Q12" i="133"/>
  <c r="S11" i="133"/>
  <c r="S10" i="133"/>
  <c r="O10" i="133"/>
  <c r="Q10" i="133"/>
  <c r="M10" i="133"/>
  <c r="N10" i="133" s="1"/>
  <c r="O21" i="135"/>
  <c r="K21" i="135"/>
  <c r="L21" i="135" s="1"/>
  <c r="N21" i="135" s="1"/>
  <c r="Q17" i="135"/>
  <c r="M17" i="135"/>
  <c r="O16" i="135"/>
  <c r="K16" i="135"/>
  <c r="L16" i="135" s="1"/>
  <c r="N16" i="135" s="1"/>
  <c r="Q15" i="135"/>
  <c r="M15" i="135"/>
  <c r="O14" i="135"/>
  <c r="K14" i="135"/>
  <c r="L14" i="135" s="1"/>
  <c r="N14" i="135" s="1"/>
  <c r="P14" i="135" s="1"/>
  <c r="L17" i="135"/>
  <c r="L15" i="135"/>
  <c r="Q21" i="135"/>
  <c r="O17" i="135"/>
  <c r="Q16" i="135"/>
  <c r="O15" i="135"/>
  <c r="Q14" i="135"/>
  <c r="M13" i="135"/>
  <c r="L13" i="135"/>
  <c r="L11" i="135"/>
  <c r="Q13" i="135"/>
  <c r="Q11" i="135"/>
  <c r="M11" i="135"/>
  <c r="O13" i="135"/>
  <c r="Q12" i="135"/>
  <c r="O11" i="135"/>
  <c r="Q10" i="135"/>
  <c r="O9" i="135"/>
  <c r="Q9" i="135"/>
  <c r="M9" i="135"/>
  <c r="K9" i="135"/>
  <c r="L9" i="135" s="1"/>
  <c r="O14" i="132"/>
  <c r="S14" i="132"/>
  <c r="S12" i="132"/>
  <c r="O12" i="132"/>
  <c r="N14" i="132"/>
  <c r="N12" i="132"/>
  <c r="Q14" i="132"/>
  <c r="S13" i="132"/>
  <c r="Q12" i="132"/>
  <c r="S11" i="132"/>
  <c r="Q10" i="132"/>
  <c r="M10" i="132"/>
  <c r="N10" i="132" s="1"/>
  <c r="S10" i="132"/>
  <c r="O10" i="132"/>
  <c r="M10" i="124"/>
  <c r="N10" i="124" s="1"/>
  <c r="Q10" i="124"/>
  <c r="O10" i="124"/>
  <c r="P10" i="124" s="1"/>
  <c r="R10" i="124" s="1"/>
  <c r="T10" i="124" s="1"/>
  <c r="O11" i="118"/>
  <c r="S11" i="118"/>
  <c r="M11" i="118"/>
  <c r="N11" i="118" s="1"/>
  <c r="P11" i="118" s="1"/>
  <c r="Q11" i="118"/>
  <c r="S12" i="118"/>
  <c r="O12" i="118"/>
  <c r="N12" i="118"/>
  <c r="Q12" i="118"/>
  <c r="S10" i="118"/>
  <c r="O10" i="118"/>
  <c r="Q10" i="118"/>
  <c r="M10" i="118"/>
  <c r="N10" i="118" s="1"/>
  <c r="S33" i="123"/>
  <c r="O33" i="123"/>
  <c r="Q33" i="123"/>
  <c r="M33" i="123"/>
  <c r="N33" i="123" s="1"/>
  <c r="P33" i="123" s="1"/>
  <c r="Q31" i="123"/>
  <c r="M31" i="123"/>
  <c r="N31" i="123" s="1"/>
  <c r="S31" i="123"/>
  <c r="O31" i="123"/>
  <c r="S29" i="123"/>
  <c r="O29" i="123"/>
  <c r="Q29" i="123"/>
  <c r="M29" i="123"/>
  <c r="N29" i="123" s="1"/>
  <c r="P29" i="123" s="1"/>
  <c r="S22" i="123"/>
  <c r="O22" i="123"/>
  <c r="Q22" i="123"/>
  <c r="M22" i="123"/>
  <c r="N22" i="123" s="1"/>
  <c r="P22" i="123" s="1"/>
  <c r="O21" i="123"/>
  <c r="M18" i="123"/>
  <c r="N18" i="123" s="1"/>
  <c r="S18" i="123"/>
  <c r="O18" i="123"/>
  <c r="Q18" i="123"/>
  <c r="S17" i="123"/>
  <c r="O17" i="123"/>
  <c r="M17" i="123"/>
  <c r="N17" i="123" s="1"/>
  <c r="Q17" i="123"/>
  <c r="S15" i="123"/>
  <c r="O15" i="123"/>
  <c r="Q15" i="123"/>
  <c r="M15" i="123"/>
  <c r="N15" i="123" s="1"/>
  <c r="S13" i="123"/>
  <c r="O13" i="123"/>
  <c r="M13" i="123"/>
  <c r="N13" i="123" s="1"/>
  <c r="Q13" i="123"/>
  <c r="M11" i="123"/>
  <c r="N11" i="123" s="1"/>
  <c r="P11" i="123" s="1"/>
  <c r="R11" i="123" s="1"/>
  <c r="S11" i="123"/>
  <c r="O11" i="123"/>
  <c r="Q11" i="123"/>
  <c r="Q10" i="123"/>
  <c r="M10" i="123"/>
  <c r="N10" i="123" s="1"/>
  <c r="S10" i="123"/>
  <c r="O10" i="123"/>
  <c r="S35" i="121"/>
  <c r="O35" i="121"/>
  <c r="Q35" i="121"/>
  <c r="M35" i="121"/>
  <c r="N35" i="121" s="1"/>
  <c r="M33" i="121"/>
  <c r="N33" i="121" s="1"/>
  <c r="S33" i="121"/>
  <c r="O33" i="121"/>
  <c r="Q33" i="121"/>
  <c r="L31" i="121"/>
  <c r="M32" i="121"/>
  <c r="S32" i="121"/>
  <c r="O32" i="121"/>
  <c r="Q32" i="121"/>
  <c r="S30" i="121"/>
  <c r="O30" i="121"/>
  <c r="Q30" i="121"/>
  <c r="M30" i="121"/>
  <c r="N30" i="121" s="1"/>
  <c r="S29" i="121"/>
  <c r="O29" i="121"/>
  <c r="Q29" i="121"/>
  <c r="M29" i="121"/>
  <c r="N29" i="121" s="1"/>
  <c r="Q27" i="121"/>
  <c r="S27" i="121"/>
  <c r="O27" i="121"/>
  <c r="M27" i="121"/>
  <c r="N27" i="121" s="1"/>
  <c r="O19" i="121"/>
  <c r="S19" i="121"/>
  <c r="Q19" i="121"/>
  <c r="M19" i="121"/>
  <c r="N19" i="121" s="1"/>
  <c r="O15" i="121"/>
  <c r="S15" i="121"/>
  <c r="Q15" i="121"/>
  <c r="M15" i="121"/>
  <c r="N15" i="121" s="1"/>
  <c r="O17" i="121"/>
  <c r="S17" i="121"/>
  <c r="M17" i="121"/>
  <c r="N17" i="121" s="1"/>
  <c r="Q17" i="121"/>
  <c r="O10" i="121"/>
  <c r="S10" i="121"/>
  <c r="Q10" i="121"/>
  <c r="M10" i="121"/>
  <c r="N10" i="121" s="1"/>
  <c r="O18" i="121"/>
  <c r="N25" i="121"/>
  <c r="N18" i="121"/>
  <c r="S25" i="121"/>
  <c r="O25" i="121"/>
  <c r="S18" i="121"/>
  <c r="Q25" i="121"/>
  <c r="Q18" i="121"/>
  <c r="Q9" i="121"/>
  <c r="S9" i="121"/>
  <c r="O9" i="121"/>
  <c r="M9" i="121"/>
  <c r="N9" i="121" s="1"/>
  <c r="O34" i="120"/>
  <c r="S34" i="120"/>
  <c r="M34" i="120"/>
  <c r="N34" i="120" s="1"/>
  <c r="Q34" i="120"/>
  <c r="O36" i="120"/>
  <c r="S36" i="120"/>
  <c r="M36" i="120"/>
  <c r="N36" i="120" s="1"/>
  <c r="Q36" i="120"/>
  <c r="O21" i="120"/>
  <c r="S21" i="120"/>
  <c r="M21" i="120"/>
  <c r="N21" i="120" s="1"/>
  <c r="Q21" i="120"/>
  <c r="S35" i="120"/>
  <c r="O35" i="120"/>
  <c r="N35" i="120"/>
  <c r="Q35" i="120"/>
  <c r="S19" i="120"/>
  <c r="O19" i="120"/>
  <c r="N19" i="120"/>
  <c r="S20" i="120"/>
  <c r="Q19" i="120"/>
  <c r="S17" i="120"/>
  <c r="M15" i="120"/>
  <c r="N15" i="120" s="1"/>
  <c r="Q15" i="120"/>
  <c r="O15" i="120"/>
  <c r="S15" i="120"/>
  <c r="O14" i="120"/>
  <c r="S14" i="120"/>
  <c r="M14" i="120"/>
  <c r="N14" i="120" s="1"/>
  <c r="Q14" i="120"/>
  <c r="M13" i="120"/>
  <c r="N13" i="120" s="1"/>
  <c r="Q13" i="120"/>
  <c r="O13" i="120"/>
  <c r="S13" i="120"/>
  <c r="O16" i="120"/>
  <c r="S16" i="120"/>
  <c r="M16" i="120"/>
  <c r="N16" i="120" s="1"/>
  <c r="Q16" i="120"/>
  <c r="S11" i="120"/>
  <c r="O11" i="120"/>
  <c r="N11" i="120"/>
  <c r="S12" i="120"/>
  <c r="Q11" i="120"/>
  <c r="S10" i="120"/>
  <c r="S12" i="134"/>
  <c r="O12" i="134"/>
  <c r="Q12" i="134"/>
  <c r="M12" i="134"/>
  <c r="N12" i="134" s="1"/>
  <c r="P12" i="134" s="1"/>
  <c r="Q10" i="134"/>
  <c r="M10" i="134"/>
  <c r="N10" i="134" s="1"/>
  <c r="S10" i="134"/>
  <c r="O10" i="134"/>
  <c r="Q10" i="127"/>
  <c r="M10" i="127"/>
  <c r="N10" i="127" s="1"/>
  <c r="S10" i="127"/>
  <c r="O10" i="127"/>
  <c r="M32" i="119"/>
  <c r="N32" i="119" s="1"/>
  <c r="S32" i="119"/>
  <c r="O32" i="119"/>
  <c r="Q32" i="119"/>
  <c r="Q31" i="119"/>
  <c r="M31" i="119"/>
  <c r="N31" i="119" s="1"/>
  <c r="S31" i="119"/>
  <c r="O31" i="119"/>
  <c r="S30" i="119"/>
  <c r="O30" i="119"/>
  <c r="Q30" i="119"/>
  <c r="M30" i="119"/>
  <c r="N30" i="119" s="1"/>
  <c r="S21" i="119"/>
  <c r="O21" i="119"/>
  <c r="Q21" i="119"/>
  <c r="M21" i="119"/>
  <c r="N21" i="119" s="1"/>
  <c r="O19" i="119"/>
  <c r="S19" i="119"/>
  <c r="Q19" i="119"/>
  <c r="M19" i="119"/>
  <c r="N19" i="119" s="1"/>
  <c r="S18" i="119"/>
  <c r="O18" i="119"/>
  <c r="Q18" i="119"/>
  <c r="M18" i="119"/>
  <c r="N18" i="119" s="1"/>
  <c r="S16" i="119"/>
  <c r="O16" i="119"/>
  <c r="Q16" i="119"/>
  <c r="M16" i="119"/>
  <c r="N16" i="119" s="1"/>
  <c r="S14" i="119"/>
  <c r="O14" i="119"/>
  <c r="Q14" i="119"/>
  <c r="M14" i="119"/>
  <c r="N14" i="119" s="1"/>
  <c r="S12" i="119"/>
  <c r="O12" i="119"/>
  <c r="Q11" i="119"/>
  <c r="M11" i="119"/>
  <c r="N11" i="119" s="1"/>
  <c r="P11" i="119" s="1"/>
  <c r="N12" i="119"/>
  <c r="Q12" i="119"/>
  <c r="S11" i="119"/>
  <c r="J21" i="120"/>
  <c r="P16" i="135" l="1"/>
  <c r="P14" i="132"/>
  <c r="R14" i="132" s="1"/>
  <c r="P12" i="118"/>
  <c r="P10" i="127"/>
  <c r="R10" i="127" s="1"/>
  <c r="P10" i="134"/>
  <c r="R10" i="134" s="1"/>
  <c r="T10" i="134" s="1"/>
  <c r="P31" i="123"/>
  <c r="R31" i="123" s="1"/>
  <c r="T31" i="123" s="1"/>
  <c r="S18" i="135"/>
  <c r="T18" i="135"/>
  <c r="U18" i="135" s="1"/>
  <c r="T10" i="127"/>
  <c r="T11" i="123"/>
  <c r="P32" i="119"/>
  <c r="R32" i="119" s="1"/>
  <c r="T32" i="119" s="1"/>
  <c r="P13" i="120"/>
  <c r="R13" i="120" s="1"/>
  <c r="T13" i="120" s="1"/>
  <c r="P15" i="120"/>
  <c r="P21" i="120"/>
  <c r="R21" i="120" s="1"/>
  <c r="T21" i="120" s="1"/>
  <c r="P36" i="120"/>
  <c r="R36" i="120" s="1"/>
  <c r="T36" i="120" s="1"/>
  <c r="P35" i="121"/>
  <c r="P15" i="123"/>
  <c r="R15" i="123" s="1"/>
  <c r="T15" i="123" s="1"/>
  <c r="P18" i="123"/>
  <c r="R18" i="123" s="1"/>
  <c r="T18" i="123" s="1"/>
  <c r="P13" i="123"/>
  <c r="P10" i="118"/>
  <c r="R10" i="118" s="1"/>
  <c r="T10" i="118" s="1"/>
  <c r="P12" i="132"/>
  <c r="R12" i="132" s="1"/>
  <c r="T12" i="132" s="1"/>
  <c r="M31" i="121"/>
  <c r="R11" i="132"/>
  <c r="T11" i="132" s="1"/>
  <c r="N9" i="135"/>
  <c r="P9" i="135" s="1"/>
  <c r="R9" i="135" s="1"/>
  <c r="N13" i="135"/>
  <c r="P13" i="135" s="1"/>
  <c r="R13" i="135" s="1"/>
  <c r="P21" i="135"/>
  <c r="R21" i="135" s="1"/>
  <c r="P12" i="135"/>
  <c r="R12" i="135" s="1"/>
  <c r="P15" i="133"/>
  <c r="R15" i="133" s="1"/>
  <c r="T15" i="133" s="1"/>
  <c r="R11" i="133"/>
  <c r="T11" i="133" s="1"/>
  <c r="P21" i="119"/>
  <c r="R21" i="119" s="1"/>
  <c r="T21" i="119" s="1"/>
  <c r="P30" i="119"/>
  <c r="R30" i="119" s="1"/>
  <c r="T30" i="119" s="1"/>
  <c r="R11" i="119"/>
  <c r="T11" i="119" s="1"/>
  <c r="P14" i="119"/>
  <c r="R14" i="119" s="1"/>
  <c r="T14" i="119" s="1"/>
  <c r="P16" i="119"/>
  <c r="R16" i="119" s="1"/>
  <c r="T16" i="119" s="1"/>
  <c r="P10" i="120"/>
  <c r="R10" i="120" s="1"/>
  <c r="T10" i="120" s="1"/>
  <c r="P16" i="120"/>
  <c r="R16" i="120" s="1"/>
  <c r="T16" i="120" s="1"/>
  <c r="N17" i="135"/>
  <c r="P17" i="135" s="1"/>
  <c r="R17" i="135" s="1"/>
  <c r="N10" i="135"/>
  <c r="P10" i="133"/>
  <c r="R10" i="133" s="1"/>
  <c r="T10" i="133" s="1"/>
  <c r="R13" i="133"/>
  <c r="T13" i="133" s="1"/>
  <c r="Q31" i="121"/>
  <c r="P29" i="121"/>
  <c r="R29" i="121" s="1"/>
  <c r="T29" i="121" s="1"/>
  <c r="P10" i="121"/>
  <c r="R10" i="121" s="1"/>
  <c r="T10" i="121" s="1"/>
  <c r="P17" i="121"/>
  <c r="R17" i="121" s="1"/>
  <c r="T17" i="121" s="1"/>
  <c r="P30" i="121"/>
  <c r="R30" i="121" s="1"/>
  <c r="T30" i="121" s="1"/>
  <c r="P33" i="121"/>
  <c r="R33" i="121" s="1"/>
  <c r="T33" i="121" s="1"/>
  <c r="P20" i="120"/>
  <c r="R20" i="120" s="1"/>
  <c r="T20" i="120" s="1"/>
  <c r="P9" i="121"/>
  <c r="R9" i="121" s="1"/>
  <c r="T9" i="121" s="1"/>
  <c r="R12" i="118"/>
  <c r="T12" i="118" s="1"/>
  <c r="P10" i="135"/>
  <c r="R10" i="135" s="1"/>
  <c r="P18" i="119"/>
  <c r="R18" i="119" s="1"/>
  <c r="T18" i="119" s="1"/>
  <c r="P19" i="119"/>
  <c r="R19" i="119" s="1"/>
  <c r="T19" i="119" s="1"/>
  <c r="P18" i="121"/>
  <c r="R18" i="121" s="1"/>
  <c r="T18" i="121" s="1"/>
  <c r="P10" i="123"/>
  <c r="R10" i="123" s="1"/>
  <c r="T10" i="123" s="1"/>
  <c r="R13" i="123"/>
  <c r="T13" i="123" s="1"/>
  <c r="P17" i="123"/>
  <c r="R17" i="123" s="1"/>
  <c r="T17" i="123" s="1"/>
  <c r="P10" i="132"/>
  <c r="R10" i="132" s="1"/>
  <c r="T10" i="132" s="1"/>
  <c r="T13" i="132"/>
  <c r="T12" i="120"/>
  <c r="R15" i="120"/>
  <c r="T15" i="120" s="1"/>
  <c r="R35" i="121"/>
  <c r="T35" i="121" s="1"/>
  <c r="P31" i="119"/>
  <c r="R31" i="119" s="1"/>
  <c r="T31" i="119" s="1"/>
  <c r="P14" i="120"/>
  <c r="R14" i="120" s="1"/>
  <c r="T14" i="120" s="1"/>
  <c r="P25" i="121"/>
  <c r="R25" i="121" s="1"/>
  <c r="T25" i="121" s="1"/>
  <c r="P15" i="121"/>
  <c r="R15" i="121" s="1"/>
  <c r="T15" i="121" s="1"/>
  <c r="P19" i="121"/>
  <c r="R19" i="121" s="1"/>
  <c r="T19" i="121" s="1"/>
  <c r="P27" i="121"/>
  <c r="R27" i="121" s="1"/>
  <c r="T27" i="121" s="1"/>
  <c r="S31" i="121"/>
  <c r="R17" i="120"/>
  <c r="T17" i="120" s="1"/>
  <c r="P12" i="133"/>
  <c r="R12" i="133" s="1"/>
  <c r="T12" i="133" s="1"/>
  <c r="R14" i="135"/>
  <c r="R16" i="135"/>
  <c r="N15" i="135"/>
  <c r="P15" i="135" s="1"/>
  <c r="R15" i="135" s="1"/>
  <c r="N11" i="135"/>
  <c r="P11" i="135" s="1"/>
  <c r="R11" i="135" s="1"/>
  <c r="T14" i="132"/>
  <c r="R11" i="118"/>
  <c r="T11" i="118" s="1"/>
  <c r="R33" i="123"/>
  <c r="T33" i="123" s="1"/>
  <c r="R29" i="123"/>
  <c r="T29" i="123" s="1"/>
  <c r="R22" i="123"/>
  <c r="T22" i="123" s="1"/>
  <c r="P21" i="123"/>
  <c r="R21" i="123" s="1"/>
  <c r="T21" i="123" s="1"/>
  <c r="N32" i="121"/>
  <c r="P34" i="120"/>
  <c r="R34" i="120" s="1"/>
  <c r="T34" i="120" s="1"/>
  <c r="P35" i="120"/>
  <c r="R35" i="120" s="1"/>
  <c r="T35" i="120" s="1"/>
  <c r="P19" i="120"/>
  <c r="R19" i="120" s="1"/>
  <c r="T19" i="120" s="1"/>
  <c r="P11" i="120"/>
  <c r="R11" i="120" s="1"/>
  <c r="T11" i="120" s="1"/>
  <c r="R12" i="134"/>
  <c r="T12" i="134" s="1"/>
  <c r="P12" i="119"/>
  <c r="R12" i="119" s="1"/>
  <c r="T12" i="119" s="1"/>
  <c r="V18" i="135" l="1"/>
  <c r="P32" i="121"/>
  <c r="R32" i="121" s="1"/>
  <c r="T32" i="121" s="1"/>
  <c r="N31" i="121"/>
  <c r="H21" i="135"/>
  <c r="J33" i="121" l="1"/>
  <c r="F22" i="135" l="1"/>
  <c r="G22" i="135"/>
  <c r="V33" i="121" l="1"/>
  <c r="W33" i="121" s="1"/>
  <c r="U33" i="121"/>
  <c r="H17" i="135"/>
  <c r="H16" i="135"/>
  <c r="J15" i="120"/>
  <c r="X33" i="121" l="1"/>
  <c r="J11" i="133"/>
  <c r="J10" i="133"/>
  <c r="J15" i="133"/>
  <c r="J12" i="133" l="1"/>
  <c r="J13" i="133"/>
  <c r="J19" i="121" l="1"/>
  <c r="J14" i="120"/>
  <c r="J15" i="123" l="1"/>
  <c r="I16" i="123" l="1"/>
  <c r="O22" i="135" l="1"/>
  <c r="K22" i="135"/>
  <c r="I22" i="135"/>
  <c r="H14" i="135"/>
  <c r="H12" i="135"/>
  <c r="H10" i="135"/>
  <c r="H9" i="135"/>
  <c r="H13" i="135" l="1"/>
  <c r="H15" i="135"/>
  <c r="H11" i="135"/>
  <c r="J14" i="123"/>
  <c r="G15" i="123"/>
  <c r="I14" i="123"/>
  <c r="H14" i="123"/>
  <c r="H22" i="135" l="1"/>
  <c r="J22" i="135"/>
  <c r="J21" i="123"/>
  <c r="L22" i="135" l="1"/>
  <c r="J10" i="123"/>
  <c r="J14" i="132" l="1"/>
  <c r="I18" i="131"/>
  <c r="K18" i="131" s="1"/>
  <c r="I17" i="131"/>
  <c r="K17" i="131" s="1"/>
  <c r="I16" i="131"/>
  <c r="K16" i="131" s="1"/>
  <c r="I15" i="131"/>
  <c r="K15" i="131" s="1"/>
  <c r="I14" i="131"/>
  <c r="K14" i="131" s="1"/>
  <c r="I13" i="131"/>
  <c r="K13" i="131" s="1"/>
  <c r="I12" i="131"/>
  <c r="K12" i="131" s="1"/>
  <c r="I11" i="131"/>
  <c r="K11" i="131" s="1"/>
  <c r="I10" i="131"/>
  <c r="K10" i="131" s="1"/>
  <c r="L17" i="131" l="1"/>
  <c r="M17" i="131" s="1"/>
  <c r="P17" i="131"/>
  <c r="R17" i="131"/>
  <c r="N17" i="131"/>
  <c r="N16" i="131"/>
  <c r="P16" i="131"/>
  <c r="L16" i="131"/>
  <c r="M16" i="131" s="1"/>
  <c r="O16" i="131" s="1"/>
  <c r="Q16" i="131" s="1"/>
  <c r="R16" i="131"/>
  <c r="L13" i="131"/>
  <c r="M13" i="131" s="1"/>
  <c r="P13" i="131"/>
  <c r="N13" i="131"/>
  <c r="R13" i="131"/>
  <c r="R10" i="131"/>
  <c r="P10" i="131"/>
  <c r="L10" i="131"/>
  <c r="M10" i="131" s="1"/>
  <c r="N10" i="131"/>
  <c r="L14" i="131"/>
  <c r="M14" i="131" s="1"/>
  <c r="P14" i="131"/>
  <c r="R14" i="131"/>
  <c r="N14" i="131"/>
  <c r="L18" i="131"/>
  <c r="N18" i="131"/>
  <c r="R18" i="131"/>
  <c r="M18" i="131"/>
  <c r="P18" i="131"/>
  <c r="N12" i="131"/>
  <c r="P12" i="131"/>
  <c r="L12" i="131"/>
  <c r="M12" i="131" s="1"/>
  <c r="O12" i="131" s="1"/>
  <c r="Q12" i="131" s="1"/>
  <c r="S12" i="131" s="1"/>
  <c r="R12" i="131"/>
  <c r="P11" i="131"/>
  <c r="L11" i="131"/>
  <c r="M11" i="131" s="1"/>
  <c r="R11" i="131"/>
  <c r="N11" i="131"/>
  <c r="N15" i="131"/>
  <c r="P15" i="131"/>
  <c r="L15" i="131"/>
  <c r="M15" i="131" s="1"/>
  <c r="O15" i="131" s="1"/>
  <c r="Q15" i="131" s="1"/>
  <c r="R15" i="131"/>
  <c r="J13" i="123"/>
  <c r="I37" i="120"/>
  <c r="G17" i="120"/>
  <c r="J11" i="132"/>
  <c r="O10" i="131" l="1"/>
  <c r="Q10" i="131" s="1"/>
  <c r="S10" i="131" s="1"/>
  <c r="O14" i="131"/>
  <c r="Q14" i="131" s="1"/>
  <c r="S14" i="131" s="1"/>
  <c r="O17" i="131"/>
  <c r="S15" i="131"/>
  <c r="O11" i="131"/>
  <c r="Q11" i="131" s="1"/>
  <c r="S11" i="131" s="1"/>
  <c r="O18" i="131"/>
  <c r="Q18" i="131" s="1"/>
  <c r="S18" i="131" s="1"/>
  <c r="Q17" i="131"/>
  <c r="S17" i="131" s="1"/>
  <c r="O13" i="131"/>
  <c r="Q13" i="131" s="1"/>
  <c r="S13" i="131" s="1"/>
  <c r="S16" i="131"/>
  <c r="J17" i="120"/>
  <c r="J34" i="120"/>
  <c r="J10" i="132"/>
  <c r="J12" i="132"/>
  <c r="I8" i="121" l="1"/>
  <c r="I29" i="119"/>
  <c r="H29" i="119"/>
  <c r="I20" i="123" l="1"/>
  <c r="J27" i="121"/>
  <c r="J13" i="120"/>
  <c r="J10" i="134" l="1"/>
  <c r="V33" i="123" l="1"/>
  <c r="W33" i="123" s="1"/>
  <c r="U33" i="123"/>
  <c r="J33" i="123"/>
  <c r="X33" i="123" l="1"/>
  <c r="J36" i="120" l="1"/>
  <c r="J18" i="123"/>
  <c r="J9" i="121" l="1"/>
  <c r="J9" i="134" l="1"/>
  <c r="I9" i="134"/>
  <c r="H9" i="134"/>
  <c r="J12" i="134"/>
  <c r="J11" i="134" s="1"/>
  <c r="G12" i="134"/>
  <c r="I11" i="134"/>
  <c r="H11" i="134"/>
  <c r="G10" i="134"/>
  <c r="Q14" i="134"/>
  <c r="M14" i="134"/>
  <c r="K14" i="134"/>
  <c r="H14" i="134" l="1"/>
  <c r="I14" i="134"/>
  <c r="J14" i="134"/>
  <c r="V12" i="134"/>
  <c r="U12" i="134"/>
  <c r="U11" i="134" s="1"/>
  <c r="L14" i="134"/>
  <c r="V11" i="134" l="1"/>
  <c r="W12" i="134"/>
  <c r="X12" i="134" s="1"/>
  <c r="O14" i="134"/>
  <c r="N14" i="134"/>
  <c r="W11" i="134" l="1"/>
  <c r="X11" i="134"/>
  <c r="I28" i="121"/>
  <c r="P14" i="134" l="1"/>
  <c r="R14" i="134"/>
  <c r="V10" i="120" l="1"/>
  <c r="W10" i="120" s="1"/>
  <c r="J10" i="120"/>
  <c r="G10" i="120"/>
  <c r="G10" i="121"/>
  <c r="J15" i="121"/>
  <c r="J30" i="121"/>
  <c r="J35" i="120"/>
  <c r="G35" i="120"/>
  <c r="U10" i="120" l="1"/>
  <c r="X10" i="120" s="1"/>
  <c r="J10" i="121"/>
  <c r="G19" i="120"/>
  <c r="J19" i="120"/>
  <c r="J20" i="120"/>
  <c r="J18" i="119" l="1"/>
  <c r="J14" i="119" l="1"/>
  <c r="J32" i="119" l="1"/>
  <c r="J31" i="119"/>
  <c r="H28" i="121"/>
  <c r="H20" i="123"/>
  <c r="H16" i="123"/>
  <c r="H8" i="121" l="1"/>
  <c r="J29" i="121" l="1"/>
  <c r="J28" i="121" s="1"/>
  <c r="G16" i="120" l="1"/>
  <c r="J16" i="120" l="1"/>
  <c r="J10" i="124"/>
  <c r="J12" i="123"/>
  <c r="G13" i="123"/>
  <c r="I12" i="123"/>
  <c r="H12" i="123"/>
  <c r="I17" i="119" l="1"/>
  <c r="H17" i="119"/>
  <c r="J19" i="119"/>
  <c r="J29" i="123" l="1"/>
  <c r="V19" i="119" l="1"/>
  <c r="W19" i="119" s="1"/>
  <c r="U19" i="119"/>
  <c r="X19" i="119" l="1"/>
  <c r="J17" i="123"/>
  <c r="J16" i="123" l="1"/>
  <c r="J13" i="132"/>
  <c r="J22" i="123" l="1"/>
  <c r="J20" i="123" s="1"/>
  <c r="J25" i="121" l="1"/>
  <c r="G33" i="123" l="1"/>
  <c r="I32" i="123"/>
  <c r="H32" i="123"/>
  <c r="G15" i="133" l="1"/>
  <c r="G12" i="133"/>
  <c r="Q18" i="133"/>
  <c r="M18" i="133"/>
  <c r="K18" i="133"/>
  <c r="I18" i="133"/>
  <c r="U32" i="123" l="1"/>
  <c r="J32" i="123"/>
  <c r="G17" i="133"/>
  <c r="G10" i="133"/>
  <c r="H18" i="133"/>
  <c r="N18" i="133" l="1"/>
  <c r="V32" i="123"/>
  <c r="J18" i="133"/>
  <c r="L18" i="133" l="1"/>
  <c r="W32" i="123"/>
  <c r="X32" i="123"/>
  <c r="J32" i="121" l="1"/>
  <c r="J31" i="121" s="1"/>
  <c r="J35" i="121"/>
  <c r="J17" i="121" l="1"/>
  <c r="J31" i="123"/>
  <c r="G31" i="123" l="1"/>
  <c r="I30" i="123"/>
  <c r="H30" i="123"/>
  <c r="J30" i="123" l="1"/>
  <c r="J11" i="118" l="1"/>
  <c r="I14" i="118" l="1"/>
  <c r="I9" i="119" l="1"/>
  <c r="H9" i="119"/>
  <c r="J28" i="123" l="1"/>
  <c r="I28" i="123"/>
  <c r="H28" i="123"/>
  <c r="I9" i="123"/>
  <c r="H9" i="123"/>
  <c r="G22" i="123"/>
  <c r="I34" i="121"/>
  <c r="H34" i="121"/>
  <c r="H35" i="123" l="1"/>
  <c r="I35" i="123"/>
  <c r="H37" i="121"/>
  <c r="I37" i="121"/>
  <c r="G32" i="121" l="1"/>
  <c r="G25" i="121" l="1"/>
  <c r="J18" i="121"/>
  <c r="J8" i="121" s="1"/>
  <c r="G18" i="121"/>
  <c r="G14" i="121"/>
  <c r="G9" i="121"/>
  <c r="I20" i="119" l="1"/>
  <c r="H20" i="119"/>
  <c r="I15" i="119"/>
  <c r="H15" i="119"/>
  <c r="I13" i="119"/>
  <c r="H13" i="119"/>
  <c r="J12" i="119"/>
  <c r="H37" i="119" l="1"/>
  <c r="I37" i="119"/>
  <c r="Q16" i="132" l="1"/>
  <c r="M16" i="132"/>
  <c r="K16" i="132"/>
  <c r="I16" i="132"/>
  <c r="G10" i="132"/>
  <c r="H16" i="132" l="1"/>
  <c r="J16" i="132" l="1"/>
  <c r="S16" i="132"/>
  <c r="N16" i="132"/>
  <c r="L16" i="132"/>
  <c r="J17" i="119" l="1"/>
  <c r="J13" i="119" l="1"/>
  <c r="G10" i="124" l="1"/>
  <c r="G11" i="131"/>
  <c r="G12" i="131"/>
  <c r="G13" i="131"/>
  <c r="G14" i="131"/>
  <c r="G15" i="131"/>
  <c r="G16" i="131"/>
  <c r="G17" i="131"/>
  <c r="G18" i="131"/>
  <c r="G10" i="131"/>
  <c r="G11" i="118"/>
  <c r="G12" i="118"/>
  <c r="G10" i="118"/>
  <c r="G11" i="123"/>
  <c r="G29" i="123"/>
  <c r="G21" i="123"/>
  <c r="G17" i="123"/>
  <c r="G10" i="123"/>
  <c r="G35" i="121"/>
  <c r="G29" i="121"/>
  <c r="G12" i="120"/>
  <c r="G11" i="120"/>
  <c r="G10" i="127"/>
  <c r="J11" i="123" l="1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K12" i="124"/>
  <c r="I12" i="124"/>
  <c r="H12" i="124"/>
  <c r="J12" i="124"/>
  <c r="J10" i="118"/>
  <c r="J14" i="118" s="1"/>
  <c r="K14" i="118"/>
  <c r="K35" i="123"/>
  <c r="J9" i="123"/>
  <c r="J35" i="123" s="1"/>
  <c r="J34" i="121"/>
  <c r="K37" i="121"/>
  <c r="K37" i="120"/>
  <c r="J12" i="120"/>
  <c r="J11" i="120"/>
  <c r="J37" i="121" l="1"/>
  <c r="L12" i="127"/>
  <c r="L12" i="124"/>
  <c r="H14" i="118"/>
  <c r="L35" i="123"/>
  <c r="L37" i="121"/>
  <c r="L14" i="118" l="1"/>
  <c r="K37" i="119" l="1"/>
  <c r="J30" i="119"/>
  <c r="J29" i="119" s="1"/>
  <c r="J16" i="119"/>
  <c r="L10" i="119"/>
  <c r="J10" i="119"/>
  <c r="Q10" i="119" l="1"/>
  <c r="M10" i="119"/>
  <c r="O10" i="119"/>
  <c r="J15" i="119"/>
  <c r="J11" i="119"/>
  <c r="J9" i="119" s="1"/>
  <c r="J21" i="119"/>
  <c r="J20" i="119" s="1"/>
  <c r="J37" i="119" l="1"/>
  <c r="L37" i="119"/>
  <c r="V12" i="133" l="1"/>
  <c r="O12" i="124"/>
  <c r="Q12" i="127"/>
  <c r="Q12" i="124"/>
  <c r="O12" i="127"/>
  <c r="S12" i="127"/>
  <c r="S10" i="119"/>
  <c r="S14" i="135" l="1"/>
  <c r="T16" i="135"/>
  <c r="U16" i="135" s="1"/>
  <c r="S11" i="135"/>
  <c r="U21" i="123"/>
  <c r="T13" i="131"/>
  <c r="S12" i="135"/>
  <c r="T21" i="135"/>
  <c r="U21" i="135" s="1"/>
  <c r="V13" i="123"/>
  <c r="U18" i="131"/>
  <c r="V18" i="131" s="1"/>
  <c r="Q22" i="135"/>
  <c r="V10" i="124"/>
  <c r="W10" i="124" s="1"/>
  <c r="U10" i="124"/>
  <c r="S12" i="124"/>
  <c r="U22" i="123"/>
  <c r="V22" i="123"/>
  <c r="W22" i="123" s="1"/>
  <c r="V29" i="121"/>
  <c r="U29" i="121"/>
  <c r="U35" i="120"/>
  <c r="V35" i="120"/>
  <c r="W35" i="120" s="1"/>
  <c r="S14" i="134"/>
  <c r="U13" i="133"/>
  <c r="V13" i="133"/>
  <c r="W13" i="133" s="1"/>
  <c r="V16" i="119"/>
  <c r="W16" i="119" s="1"/>
  <c r="U16" i="119"/>
  <c r="U12" i="131"/>
  <c r="V12" i="131" s="1"/>
  <c r="U10" i="123"/>
  <c r="V29" i="123"/>
  <c r="W29" i="123" s="1"/>
  <c r="U29" i="123"/>
  <c r="V14" i="119"/>
  <c r="W14" i="119" s="1"/>
  <c r="U14" i="119"/>
  <c r="V30" i="121"/>
  <c r="W30" i="121" s="1"/>
  <c r="U30" i="121"/>
  <c r="V13" i="120"/>
  <c r="W13" i="120" s="1"/>
  <c r="U13" i="120"/>
  <c r="V15" i="133"/>
  <c r="W15" i="133" s="1"/>
  <c r="U15" i="133"/>
  <c r="V15" i="120"/>
  <c r="W15" i="120" s="1"/>
  <c r="U15" i="120"/>
  <c r="V19" i="120"/>
  <c r="W19" i="120" s="1"/>
  <c r="V34" i="120"/>
  <c r="W34" i="120" s="1"/>
  <c r="T15" i="131"/>
  <c r="U10" i="133"/>
  <c r="U17" i="123"/>
  <c r="V17" i="123"/>
  <c r="W17" i="123" s="1"/>
  <c r="U36" i="120"/>
  <c r="V36" i="120"/>
  <c r="W36" i="120" s="1"/>
  <c r="V14" i="120"/>
  <c r="W14" i="120" s="1"/>
  <c r="U14" i="120"/>
  <c r="T17" i="135"/>
  <c r="U17" i="135" s="1"/>
  <c r="S17" i="135"/>
  <c r="U17" i="120"/>
  <c r="V17" i="120"/>
  <c r="W17" i="120" s="1"/>
  <c r="T14" i="131"/>
  <c r="U14" i="131"/>
  <c r="V14" i="131" s="1"/>
  <c r="S13" i="135"/>
  <c r="T13" i="135"/>
  <c r="U13" i="135" s="1"/>
  <c r="V18" i="119"/>
  <c r="W18" i="119" s="1"/>
  <c r="U18" i="119"/>
  <c r="U11" i="131"/>
  <c r="V11" i="131" s="1"/>
  <c r="T11" i="131"/>
  <c r="S15" i="135"/>
  <c r="T15" i="135"/>
  <c r="U15" i="135" s="1"/>
  <c r="M22" i="135"/>
  <c r="V16" i="120"/>
  <c r="W16" i="120" s="1"/>
  <c r="U16" i="120"/>
  <c r="U10" i="131"/>
  <c r="V10" i="131" s="1"/>
  <c r="T10" i="131"/>
  <c r="U11" i="133"/>
  <c r="V11" i="133"/>
  <c r="W11" i="133" s="1"/>
  <c r="V20" i="120"/>
  <c r="W20" i="120" s="1"/>
  <c r="U20" i="120"/>
  <c r="U16" i="131"/>
  <c r="V16" i="131" s="1"/>
  <c r="T16" i="131"/>
  <c r="T17" i="131"/>
  <c r="U17" i="131"/>
  <c r="V17" i="131" s="1"/>
  <c r="T10" i="135"/>
  <c r="U10" i="135" s="1"/>
  <c r="S10" i="135"/>
  <c r="V15" i="123"/>
  <c r="U15" i="123"/>
  <c r="V21" i="120"/>
  <c r="W21" i="120" s="1"/>
  <c r="U21" i="120"/>
  <c r="V32" i="119"/>
  <c r="W32" i="119" s="1"/>
  <c r="U32" i="119"/>
  <c r="U9" i="121"/>
  <c r="V9" i="121"/>
  <c r="W9" i="121" s="1"/>
  <c r="V12" i="132"/>
  <c r="W12" i="132" s="1"/>
  <c r="U12" i="132"/>
  <c r="U14" i="132"/>
  <c r="V14" i="132"/>
  <c r="W14" i="132" s="1"/>
  <c r="O31" i="121"/>
  <c r="O37" i="121" s="1"/>
  <c r="V25" i="121"/>
  <c r="W25" i="121" s="1"/>
  <c r="U25" i="121"/>
  <c r="V31" i="119"/>
  <c r="W31" i="119" s="1"/>
  <c r="U31" i="119"/>
  <c r="V18" i="123"/>
  <c r="U18" i="123"/>
  <c r="V10" i="132"/>
  <c r="W10" i="132" s="1"/>
  <c r="U10" i="132"/>
  <c r="U19" i="121"/>
  <c r="V19" i="121"/>
  <c r="W19" i="121" s="1"/>
  <c r="U13" i="132"/>
  <c r="V13" i="132"/>
  <c r="W13" i="132" s="1"/>
  <c r="V10" i="121"/>
  <c r="W10" i="121" s="1"/>
  <c r="U10" i="121"/>
  <c r="V15" i="121"/>
  <c r="W15" i="121" s="1"/>
  <c r="U15" i="121"/>
  <c r="V27" i="121"/>
  <c r="W27" i="121" s="1"/>
  <c r="U27" i="121"/>
  <c r="V11" i="132"/>
  <c r="W11" i="132" s="1"/>
  <c r="U11" i="132"/>
  <c r="S18" i="133"/>
  <c r="V31" i="123"/>
  <c r="U31" i="123"/>
  <c r="U11" i="118"/>
  <c r="O18" i="133"/>
  <c r="W12" i="133"/>
  <c r="U12" i="133"/>
  <c r="U11" i="123"/>
  <c r="U17" i="121"/>
  <c r="V17" i="121"/>
  <c r="O16" i="132"/>
  <c r="W12" i="119"/>
  <c r="U12" i="119"/>
  <c r="R20" i="131"/>
  <c r="U18" i="121"/>
  <c r="V18" i="121"/>
  <c r="W18" i="121" s="1"/>
  <c r="N20" i="131"/>
  <c r="U12" i="118"/>
  <c r="Q37" i="120"/>
  <c r="O35" i="123"/>
  <c r="S37" i="119"/>
  <c r="S35" i="123"/>
  <c r="Q37" i="121"/>
  <c r="M37" i="120"/>
  <c r="M35" i="123"/>
  <c r="S14" i="118"/>
  <c r="O37" i="119"/>
  <c r="Q14" i="118"/>
  <c r="V12" i="120"/>
  <c r="W12" i="120" s="1"/>
  <c r="M12" i="127"/>
  <c r="M12" i="124"/>
  <c r="Q35" i="123"/>
  <c r="S37" i="121"/>
  <c r="N10" i="119"/>
  <c r="M37" i="119"/>
  <c r="Q37" i="119"/>
  <c r="O14" i="118"/>
  <c r="M14" i="118"/>
  <c r="M37" i="121"/>
  <c r="T14" i="135" l="1"/>
  <c r="U14" i="135" s="1"/>
  <c r="V21" i="123"/>
  <c r="W21" i="123" s="1"/>
  <c r="W20" i="123" s="1"/>
  <c r="U15" i="131"/>
  <c r="V15" i="131" s="1"/>
  <c r="W15" i="131" s="1"/>
  <c r="U13" i="123"/>
  <c r="U12" i="123" s="1"/>
  <c r="S16" i="135"/>
  <c r="V16" i="135" s="1"/>
  <c r="U13" i="131"/>
  <c r="V13" i="131" s="1"/>
  <c r="W13" i="131" s="1"/>
  <c r="V10" i="133"/>
  <c r="W10" i="133" s="1"/>
  <c r="X10" i="133" s="1"/>
  <c r="V10" i="123"/>
  <c r="W10" i="123" s="1"/>
  <c r="X10" i="123" s="1"/>
  <c r="T18" i="131"/>
  <c r="W18" i="131" s="1"/>
  <c r="T12" i="135"/>
  <c r="U12" i="135" s="1"/>
  <c r="V12" i="135" s="1"/>
  <c r="X36" i="120"/>
  <c r="T11" i="135"/>
  <c r="U11" i="135" s="1"/>
  <c r="V11" i="135" s="1"/>
  <c r="U19" i="120"/>
  <c r="X19" i="120" s="1"/>
  <c r="X17" i="123"/>
  <c r="U34" i="120"/>
  <c r="X34" i="120" s="1"/>
  <c r="T12" i="131"/>
  <c r="W12" i="131" s="1"/>
  <c r="S21" i="135"/>
  <c r="V21" i="135" s="1"/>
  <c r="X10" i="124"/>
  <c r="X12" i="133"/>
  <c r="X13" i="133"/>
  <c r="X35" i="120"/>
  <c r="X22" i="123"/>
  <c r="X27" i="121"/>
  <c r="X10" i="121"/>
  <c r="X25" i="121"/>
  <c r="X9" i="121"/>
  <c r="X21" i="120"/>
  <c r="W16" i="131"/>
  <c r="X20" i="120"/>
  <c r="W10" i="131"/>
  <c r="X16" i="120"/>
  <c r="W11" i="131"/>
  <c r="X15" i="133"/>
  <c r="X30" i="121"/>
  <c r="X29" i="123"/>
  <c r="X16" i="119"/>
  <c r="U28" i="121"/>
  <c r="V10" i="134"/>
  <c r="U10" i="134"/>
  <c r="T14" i="134"/>
  <c r="W29" i="121"/>
  <c r="W28" i="121" s="1"/>
  <c r="V28" i="121"/>
  <c r="V10" i="135"/>
  <c r="X18" i="119"/>
  <c r="X14" i="120"/>
  <c r="X15" i="120"/>
  <c r="X13" i="120"/>
  <c r="X14" i="119"/>
  <c r="W17" i="131"/>
  <c r="W13" i="123"/>
  <c r="W12" i="123" s="1"/>
  <c r="V12" i="123"/>
  <c r="X11" i="133"/>
  <c r="V15" i="135"/>
  <c r="X17" i="120"/>
  <c r="U14" i="123"/>
  <c r="U20" i="123"/>
  <c r="V17" i="135"/>
  <c r="W15" i="123"/>
  <c r="W14" i="123" s="1"/>
  <c r="V14" i="123"/>
  <c r="N22" i="135"/>
  <c r="V14" i="135"/>
  <c r="V13" i="135"/>
  <c r="W14" i="131"/>
  <c r="X11" i="132"/>
  <c r="X15" i="121"/>
  <c r="X10" i="132"/>
  <c r="X31" i="119"/>
  <c r="X12" i="132"/>
  <c r="X32" i="119"/>
  <c r="X13" i="132"/>
  <c r="P31" i="121"/>
  <c r="U16" i="123"/>
  <c r="X19" i="121"/>
  <c r="W18" i="123"/>
  <c r="W16" i="123" s="1"/>
  <c r="V16" i="123"/>
  <c r="X14" i="132"/>
  <c r="W17" i="121"/>
  <c r="X17" i="121" s="1"/>
  <c r="V8" i="121"/>
  <c r="U8" i="121"/>
  <c r="X18" i="121"/>
  <c r="V11" i="123"/>
  <c r="W11" i="123" s="1"/>
  <c r="X11" i="123" s="1"/>
  <c r="V11" i="118"/>
  <c r="W11" i="118" s="1"/>
  <c r="X11" i="118" s="1"/>
  <c r="U30" i="123"/>
  <c r="W31" i="123"/>
  <c r="W30" i="123" s="1"/>
  <c r="V30" i="123"/>
  <c r="P18" i="133"/>
  <c r="V11" i="120"/>
  <c r="X12" i="119"/>
  <c r="W28" i="123"/>
  <c r="V28" i="123"/>
  <c r="O20" i="131"/>
  <c r="R16" i="132"/>
  <c r="V17" i="119"/>
  <c r="U17" i="119"/>
  <c r="P16" i="132"/>
  <c r="U28" i="123"/>
  <c r="V12" i="118"/>
  <c r="W12" i="118" s="1"/>
  <c r="X12" i="118" s="1"/>
  <c r="U11" i="119"/>
  <c r="V11" i="119"/>
  <c r="N35" i="123"/>
  <c r="U12" i="120"/>
  <c r="P10" i="119"/>
  <c r="N37" i="119"/>
  <c r="U21" i="119"/>
  <c r="U20" i="119" s="1"/>
  <c r="V21" i="119"/>
  <c r="U15" i="119"/>
  <c r="N37" i="121"/>
  <c r="N12" i="127"/>
  <c r="U30" i="119"/>
  <c r="U29" i="119" s="1"/>
  <c r="V30" i="119"/>
  <c r="V29" i="119" s="1"/>
  <c r="N14" i="118"/>
  <c r="N12" i="124"/>
  <c r="U35" i="121"/>
  <c r="U34" i="121" s="1"/>
  <c r="V35" i="121"/>
  <c r="V20" i="123" l="1"/>
  <c r="X29" i="121"/>
  <c r="X28" i="121" s="1"/>
  <c r="W10" i="134"/>
  <c r="W9" i="134" s="1"/>
  <c r="W14" i="134" s="1"/>
  <c r="V9" i="134"/>
  <c r="V14" i="134" s="1"/>
  <c r="U9" i="134"/>
  <c r="U14" i="134" s="1"/>
  <c r="X21" i="123"/>
  <c r="X20" i="123" s="1"/>
  <c r="X15" i="123"/>
  <c r="X14" i="123" s="1"/>
  <c r="P22" i="135"/>
  <c r="X13" i="123"/>
  <c r="X12" i="123" s="1"/>
  <c r="X18" i="123"/>
  <c r="X16" i="123" s="1"/>
  <c r="R31" i="121"/>
  <c r="W8" i="121"/>
  <c r="W11" i="120"/>
  <c r="X8" i="121"/>
  <c r="U11" i="120"/>
  <c r="R18" i="133"/>
  <c r="X31" i="123"/>
  <c r="X30" i="123" s="1"/>
  <c r="X28" i="123"/>
  <c r="U13" i="119"/>
  <c r="W17" i="119"/>
  <c r="T16" i="132"/>
  <c r="Q20" i="131"/>
  <c r="W13" i="119"/>
  <c r="V13" i="119"/>
  <c r="W35" i="121"/>
  <c r="W34" i="121" s="1"/>
  <c r="V34" i="121"/>
  <c r="W15" i="119"/>
  <c r="V15" i="119"/>
  <c r="W21" i="119"/>
  <c r="W20" i="119" s="1"/>
  <c r="V20" i="119"/>
  <c r="W30" i="119"/>
  <c r="W29" i="119" s="1"/>
  <c r="W11" i="119"/>
  <c r="X12" i="120"/>
  <c r="P12" i="124"/>
  <c r="P14" i="118"/>
  <c r="P12" i="127"/>
  <c r="P37" i="121"/>
  <c r="P35" i="123"/>
  <c r="R10" i="119"/>
  <c r="P37" i="119"/>
  <c r="X10" i="134" l="1"/>
  <c r="X9" i="134" s="1"/>
  <c r="X14" i="134" s="1"/>
  <c r="T9" i="135"/>
  <c r="S9" i="135"/>
  <c r="R22" i="135"/>
  <c r="T31" i="121"/>
  <c r="V32" i="121"/>
  <c r="U32" i="121"/>
  <c r="X11" i="120"/>
  <c r="T18" i="133"/>
  <c r="X17" i="119"/>
  <c r="X35" i="121"/>
  <c r="X34" i="121" s="1"/>
  <c r="V16" i="132"/>
  <c r="W16" i="132"/>
  <c r="U16" i="132"/>
  <c r="S20" i="131"/>
  <c r="X13" i="119"/>
  <c r="X15" i="119"/>
  <c r="X21" i="119"/>
  <c r="X20" i="119" s="1"/>
  <c r="X30" i="119"/>
  <c r="X29" i="119" s="1"/>
  <c r="X11" i="119"/>
  <c r="R37" i="121"/>
  <c r="R35" i="123"/>
  <c r="R12" i="127"/>
  <c r="R14" i="118"/>
  <c r="R37" i="119"/>
  <c r="T10" i="119"/>
  <c r="R12" i="124"/>
  <c r="S22" i="135" l="1"/>
  <c r="T22" i="135"/>
  <c r="U9" i="135"/>
  <c r="U22" i="135" s="1"/>
  <c r="V31" i="121"/>
  <c r="V37" i="121" s="1"/>
  <c r="W32" i="121"/>
  <c r="W31" i="121" s="1"/>
  <c r="U31" i="121"/>
  <c r="U37" i="121" s="1"/>
  <c r="W18" i="133"/>
  <c r="V18" i="133"/>
  <c r="U18" i="133"/>
  <c r="X16" i="132"/>
  <c r="V20" i="131"/>
  <c r="U20" i="131"/>
  <c r="T20" i="131"/>
  <c r="U10" i="127"/>
  <c r="V10" i="127"/>
  <c r="T12" i="127"/>
  <c r="V10" i="119"/>
  <c r="V9" i="119" s="1"/>
  <c r="V37" i="119" s="1"/>
  <c r="T37" i="119"/>
  <c r="U10" i="119"/>
  <c r="U9" i="119" s="1"/>
  <c r="U37" i="119" s="1"/>
  <c r="T12" i="124"/>
  <c r="U10" i="118"/>
  <c r="U14" i="118" s="1"/>
  <c r="V10" i="118"/>
  <c r="V14" i="118" s="1"/>
  <c r="T14" i="118"/>
  <c r="U9" i="123"/>
  <c r="U35" i="123" s="1"/>
  <c r="V9" i="123"/>
  <c r="V35" i="123" s="1"/>
  <c r="T35" i="123"/>
  <c r="T37" i="121"/>
  <c r="V9" i="135" l="1"/>
  <c r="V22" i="135" s="1"/>
  <c r="X32" i="121"/>
  <c r="X31" i="121" s="1"/>
  <c r="X18" i="133"/>
  <c r="W20" i="131"/>
  <c r="W37" i="121"/>
  <c r="V12" i="124"/>
  <c r="W12" i="124"/>
  <c r="U12" i="127"/>
  <c r="V12" i="127"/>
  <c r="W10" i="127"/>
  <c r="W12" i="127" s="1"/>
  <c r="U12" i="124"/>
  <c r="W10" i="119"/>
  <c r="W9" i="119" s="1"/>
  <c r="W37" i="119" s="1"/>
  <c r="W9" i="123"/>
  <c r="W35" i="123" s="1"/>
  <c r="W10" i="118"/>
  <c r="W14" i="118" s="1"/>
  <c r="X12" i="124" l="1"/>
  <c r="X37" i="121"/>
  <c r="X10" i="127"/>
  <c r="X12" i="127" s="1"/>
  <c r="X10" i="119"/>
  <c r="X9" i="119" s="1"/>
  <c r="X37" i="119" s="1"/>
  <c r="X9" i="123"/>
  <c r="X35" i="123" s="1"/>
  <c r="X10" i="118"/>
  <c r="X14" i="118" s="1"/>
  <c r="H37" i="120"/>
  <c r="G9" i="120"/>
  <c r="S37" i="120" l="1"/>
  <c r="O37" i="120"/>
  <c r="L37" i="120"/>
  <c r="N37" i="120"/>
  <c r="J37" i="120"/>
  <c r="P37" i="120" l="1"/>
  <c r="R37" i="120" l="1"/>
  <c r="T37" i="120" l="1"/>
  <c r="U37" i="120" l="1"/>
  <c r="W37" i="120"/>
  <c r="V37" i="120" l="1"/>
  <c r="X37" i="120"/>
</calcChain>
</file>

<file path=xl/sharedStrings.xml><?xml version="1.0" encoding="utf-8"?>
<sst xmlns="http://schemas.openxmlformats.org/spreadsheetml/2006/main" count="1335" uniqueCount="392">
  <si>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</si>
  <si>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</si>
  <si>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</si>
  <si>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</si>
  <si>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</si>
  <si>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</si>
  <si>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</si>
  <si>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</si>
  <si>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</si>
  <si>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</si>
  <si>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</si>
  <si>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</si>
  <si>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</si>
  <si>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</si>
  <si>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</si>
  <si>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</si>
  <si>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</si>
  <si>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</si>
  <si>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</si>
  <si>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</si>
  <si>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</si>
  <si>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</si>
  <si>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</si>
  <si>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</si>
  <si>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</si>
  <si>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</si>
  <si>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</si>
  <si>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</si>
  <si>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</si>
  <si>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</si>
  <si>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</si>
  <si>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</si>
  <si>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</si>
  <si>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</si>
  <si>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</si>
  <si>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</si>
  <si>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</si>
  <si>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</si>
  <si>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</si>
  <si>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</si>
  <si>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</si>
  <si>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</si>
  <si>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</si>
  <si>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</si>
  <si>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</si>
  <si>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</si>
  <si>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</si>
  <si>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</si>
  <si>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</si>
  <si>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</si>
  <si>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</si>
  <si>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</si>
  <si>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</si>
  <si>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</si>
  <si>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</si>
  <si>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</si>
  <si>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</si>
  <si>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</si>
  <si>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</si>
  <si>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</si>
  <si>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</si>
  <si>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</si>
  <si>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</si>
  <si>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</si>
  <si>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</si>
  <si>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</si>
  <si>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</si>
  <si>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SECRETARIO GENERAL</t>
  </si>
  <si>
    <t>MARIA GUADALUPE PEREZ LLAMAS</t>
  </si>
  <si>
    <t>ENC. DEL REGISTRO CIVIL</t>
  </si>
  <si>
    <t>MARIA DE JESUS AVELAR LAMAS</t>
  </si>
  <si>
    <t>RAQUEL CONTRERAS GONZALEZ</t>
  </si>
  <si>
    <t>OFELIA CASTRO CASTRO</t>
  </si>
  <si>
    <t>DIRECTOR</t>
  </si>
  <si>
    <t>ERNESTO MARTINEZ CASTRO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</si>
  <si>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</si>
  <si>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</si>
  <si>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</si>
  <si>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</si>
  <si>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</si>
  <si>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</si>
  <si>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</si>
  <si>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</si>
  <si>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</si>
  <si>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</si>
  <si>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</si>
  <si>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</si>
  <si>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</si>
  <si>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</si>
  <si>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</si>
  <si>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</si>
  <si>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</si>
  <si>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</si>
  <si>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</si>
  <si>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</si>
  <si>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</si>
  <si>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</si>
  <si>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                 PRESIDENTE MUNICIPAL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</si>
  <si>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</si>
  <si>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</si>
  <si>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</si>
  <si>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</si>
  <si>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</si>
  <si>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</si>
  <si>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</si>
  <si>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</si>
  <si>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</si>
  <si>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</si>
  <si>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</si>
  <si>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</si>
  <si>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</si>
  <si>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</si>
  <si>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</si>
  <si>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</si>
  <si>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</si>
  <si>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</si>
  <si>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</si>
  <si>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</si>
  <si>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</si>
  <si>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JUEZ MUNICIPAL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</si>
  <si>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</si>
  <si>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</si>
  <si>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</si>
  <si>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</si>
  <si>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</si>
  <si>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</si>
  <si>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</si>
  <si>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</si>
  <si>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</si>
  <si>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</si>
  <si>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</si>
  <si>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</si>
  <si>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</si>
  <si>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</si>
  <si>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</si>
  <si>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</si>
  <si>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</si>
  <si>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</si>
  <si>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</si>
  <si>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HACIENDA PÚBLICA MPAL</t>
  </si>
  <si>
    <t>024</t>
  </si>
  <si>
    <t>028</t>
  </si>
  <si>
    <t>113</t>
  </si>
  <si>
    <t>111</t>
  </si>
  <si>
    <t>093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</si>
  <si>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</si>
  <si>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</si>
  <si>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</si>
  <si>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</si>
  <si>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</si>
  <si>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</si>
  <si>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</si>
  <si>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</si>
  <si>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</si>
  <si>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</si>
  <si>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</si>
  <si>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</si>
  <si>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</si>
  <si>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</si>
  <si>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</si>
  <si>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</si>
  <si>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</si>
  <si>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</si>
  <si>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</si>
  <si>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</si>
  <si>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</si>
  <si>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</si>
  <si>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</si>
  <si>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</si>
  <si>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</si>
  <si>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</si>
  <si>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</si>
  <si>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</si>
  <si>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</si>
  <si>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</si>
  <si>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</si>
  <si>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</si>
  <si>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</si>
  <si>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</si>
  <si>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HUGO SANCHEZ CHAVEZ</t>
  </si>
  <si>
    <t>FRANCISCO JAVIER MERIN SOTO</t>
  </si>
  <si>
    <t>SAUL CASTRO CASTAÑEDA</t>
  </si>
  <si>
    <t>MÉDICO MUNICIPAL</t>
  </si>
  <si>
    <t>PARAMÉDICO</t>
  </si>
  <si>
    <t>CHOFER AMBULANCIA</t>
  </si>
  <si>
    <t>J NIEVES AVELAR RAMIREZ</t>
  </si>
  <si>
    <t>SERVICIOS MÉDICOS MUNICIPALES</t>
  </si>
  <si>
    <t>143</t>
  </si>
  <si>
    <t>146</t>
  </si>
  <si>
    <t>149</t>
  </si>
  <si>
    <t>152</t>
  </si>
  <si>
    <t>153</t>
  </si>
  <si>
    <t>154</t>
  </si>
  <si>
    <t>MARIA LUZ ELENA GUZMAN CARDONA</t>
  </si>
  <si>
    <t>PRESIDENTE MUNICIPAL</t>
  </si>
  <si>
    <t>ELIAS AVILA CASTRO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</si>
  <si>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</si>
  <si>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</si>
  <si>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</si>
  <si>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</si>
  <si>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</si>
  <si>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</si>
  <si>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</si>
  <si>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</si>
  <si>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</si>
  <si>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</si>
  <si>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</si>
  <si>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</si>
  <si>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</si>
  <si>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</si>
  <si>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</si>
  <si>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JUAN JOSE MAGALLANES RIVERA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</si>
  <si>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</si>
  <si>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</si>
  <si>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</si>
  <si>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</si>
  <si>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</si>
  <si>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</si>
  <si>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</si>
  <si>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</si>
  <si>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GUILLERMINA GARCIA CASTRO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</si>
  <si>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</si>
  <si>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</si>
  <si>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</si>
  <si>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</si>
  <si>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</si>
  <si>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JOSE ALFREDO CASTRO RODRIGUEZ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</si>
  <si>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</si>
  <si>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</si>
  <si>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</si>
  <si>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</si>
  <si>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</si>
  <si>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</si>
  <si>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>CARLOS ADRIAN AVILA LLAMAS</t>
  </si>
  <si>
    <t xml:space="preserve">                                          C. MARÍA LUZ ELENA GUZMÁN CARDONA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</si>
  <si>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</si>
  <si>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</si>
  <si>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</si>
  <si>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         PRESIDENTE MUNICIPAL</t>
  </si>
  <si>
    <t xml:space="preserve">                               L.C.P. CESAR JÉSUS LANDEROS MORA</t>
  </si>
  <si>
    <t xml:space="preserve">                                        ______________________________________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</si>
  <si>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</si>
  <si>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</si>
  <si>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</si>
  <si>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         PRESIDENTE MUNICIPAL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</si>
  <si>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</si>
  <si>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</si>
  <si>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</si>
  <si>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                  PRESIDENTE MUNICIPAL</t>
  </si>
  <si>
    <t xml:space="preserve">                               __________________________________</t>
  </si>
  <si>
    <t xml:space="preserve">                                ___________________________________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</si>
  <si>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</si>
  <si>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</si>
  <si>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</si>
  <si>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             PRESIDENTE MUNICIPAL</t>
  </si>
  <si>
    <t xml:space="preserve">                          L.C.P. CESAR JÉSUS LANDEROS MORA</t>
  </si>
  <si>
    <t xml:space="preserve">                        L.C.P. CESAR JÉSUS LANDEROS MORA</t>
  </si>
  <si>
    <t>MARIA SANDIBEL SANDOVAL AVELAR</t>
  </si>
  <si>
    <t>JOSE GUADALUPE CASILLAS CORTES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</si>
  <si>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</si>
  <si>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</si>
  <si>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</si>
  <si>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</si>
  <si>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</si>
  <si>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</si>
  <si>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</si>
  <si>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</si>
  <si>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</si>
  <si>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</si>
  <si>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</si>
  <si>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</si>
  <si>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</si>
  <si>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</si>
  <si>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</si>
  <si>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</si>
  <si>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</si>
  <si>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</si>
  <si>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</si>
  <si>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</si>
  <si>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</si>
  <si>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</si>
  <si>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</si>
  <si>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</si>
  <si>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</si>
  <si>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</si>
  <si>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186</t>
  </si>
  <si>
    <t>CONTRALOR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</si>
  <si>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</si>
  <si>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</si>
  <si>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</si>
  <si>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</si>
  <si>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</si>
  <si>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</si>
  <si>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</si>
  <si>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 xml:space="preserve">                                                      PRESIDENTE MUNICIPAL</t>
  </si>
  <si>
    <t>103</t>
  </si>
  <si>
    <t>023</t>
  </si>
  <si>
    <t>DIRECTOR ROYEC.PRODUCTIVOS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</si>
  <si>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</si>
  <si>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</si>
  <si>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</si>
  <si>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</si>
  <si>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</si>
  <si>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</si>
  <si>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</si>
  <si>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</si>
  <si>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</si>
  <si>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</si>
  <si>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</si>
  <si>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</si>
  <si>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</si>
  <si>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</si>
  <si>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</si>
  <si>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</si>
  <si>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</si>
  <si>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</si>
  <si>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</si>
  <si>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</si>
  <si>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</si>
  <si>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</si>
  <si>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</si>
  <si>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</si>
  <si>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</si>
  <si>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</si>
  <si>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</si>
  <si>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</si>
  <si>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210</t>
  </si>
  <si>
    <t>214</t>
  </si>
  <si>
    <t>215</t>
  </si>
  <si>
    <t>216</t>
  </si>
  <si>
    <t>JULIAN MADERA CASTRO</t>
  </si>
  <si>
    <t>JORGE SANDOVAL FLORES</t>
  </si>
  <si>
    <t>J CONCEPCION MILANEZ JUAREZ</t>
  </si>
  <si>
    <t>OPERADOR TRACTOR BULLDOZER D8</t>
  </si>
  <si>
    <t>217</t>
  </si>
  <si>
    <t>218</t>
  </si>
  <si>
    <t>AMELIA AVILA VEGA</t>
  </si>
  <si>
    <t>ENCARGADA DEL COMEDOR ESCOLAR</t>
  </si>
  <si>
    <t>MARIO AVILA AVILA</t>
  </si>
  <si>
    <t>CHOFER DE DESARROLLO SOCIAL</t>
  </si>
  <si>
    <t>221</t>
  </si>
  <si>
    <t>222</t>
  </si>
  <si>
    <t>EFREN CASTRO HORTA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</si>
  <si>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</si>
  <si>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</si>
  <si>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</si>
  <si>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</si>
  <si>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</si>
  <si>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</si>
  <si>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</si>
  <si>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</si>
  <si>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</si>
  <si>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</si>
  <si>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</si>
  <si>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</si>
  <si>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</si>
  <si>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</si>
  <si>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</si>
  <si>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J GUADALUPE RAMIREZ GARCIA</t>
  </si>
  <si>
    <t>234</t>
  </si>
  <si>
    <t>232</t>
  </si>
  <si>
    <t>236</t>
  </si>
  <si>
    <t>ABRAHAM CASTRO CASTRO</t>
  </si>
  <si>
    <t>239</t>
  </si>
  <si>
    <t>ENCARGADO DEL DEPORTE</t>
  </si>
  <si>
    <t>240</t>
  </si>
  <si>
    <t>241</t>
  </si>
  <si>
    <t>JOSE SANDOVAL VITELA</t>
  </si>
  <si>
    <t>EJERCICIO 2020</t>
  </si>
  <si>
    <t>TABLAS PUBLICADAS EL 31 DE DICIEMBRE DE 2020</t>
  </si>
  <si>
    <t>231</t>
  </si>
  <si>
    <t>015</t>
  </si>
  <si>
    <t>242</t>
  </si>
  <si>
    <t>243</t>
  </si>
  <si>
    <t>244</t>
  </si>
  <si>
    <t>LAURA VERONICA AGUAYO CASTRO</t>
  </si>
  <si>
    <t>245</t>
  </si>
  <si>
    <t>246</t>
  </si>
  <si>
    <t>DAVID CASTRO AVILA</t>
  </si>
  <si>
    <t>ISRAEL REYNOSO ESPARZA</t>
  </si>
  <si>
    <t>DIRECTOR OBRAS</t>
  </si>
  <si>
    <t>247</t>
  </si>
  <si>
    <t>JOSE ALFREDO AGUILAR CASTRO</t>
  </si>
  <si>
    <t>248</t>
  </si>
  <si>
    <t>GILBERTO CASTRO BALTIERRA</t>
  </si>
  <si>
    <t>EMILIA RAMIREZ CASTRO</t>
  </si>
  <si>
    <t>CHOFER CENTRO DE SALUD</t>
  </si>
  <si>
    <t>AFANADORA ESCUELA PRIMARIA 634</t>
  </si>
  <si>
    <t>ERIKA CARRILLO AVILA</t>
  </si>
  <si>
    <t>249</t>
  </si>
  <si>
    <t>J REYES AVELAR GUZMAN</t>
  </si>
  <si>
    <t>SUELDO  DEL 01 AL 15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</si>
</sst>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46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8" xfId="2" applyNumberFormat="1" applyFont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8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8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49" fontId="5" fillId="0" borderId="0" xfId="0" applyNumberFormat="1" applyFont="1" applyAlignment="1">
      <alignment horizontal="center"/>
    </xf>
    <xf numFmtId="0" fontId="3" fillId="4" borderId="4" xfId="0" applyFont="1" applyFill="1" applyBorder="1" applyAlignment="1">
      <alignment horizontal="center"/>
    </xf>
    <xf numFmtId="49" fontId="5" fillId="5" borderId="18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30" fillId="0" borderId="8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165" fontId="31" fillId="0" borderId="10" xfId="2" applyNumberFormat="1" applyFont="1" applyBorder="1" applyAlignment="1" applyProtection="1">
      <alignment horizontal="right"/>
    </xf>
    <xf numFmtId="165" fontId="31" fillId="2" borderId="10" xfId="2" applyNumberFormat="1" applyFont="1" applyFill="1" applyBorder="1" applyAlignment="1" applyProtection="1">
      <alignment horizontal="right"/>
    </xf>
    <xf numFmtId="49" fontId="32" fillId="0" borderId="8" xfId="0" applyNumberFormat="1" applyFont="1" applyBorder="1" applyAlignment="1">
      <alignment horizontal="center"/>
    </xf>
    <xf numFmtId="49" fontId="32" fillId="5" borderId="4" xfId="0" applyNumberFormat="1" applyFont="1" applyFill="1" applyBorder="1" applyAlignment="1">
      <alignment horizontal="center"/>
    </xf>
    <xf numFmtId="49" fontId="32" fillId="0" borderId="4" xfId="0" applyNumberFormat="1" applyFont="1" applyBorder="1" applyAlignment="1">
      <alignment horizontal="center"/>
    </xf>
    <xf numFmtId="0" fontId="32" fillId="0" borderId="4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0" fontId="32" fillId="0" borderId="4" xfId="0" applyFont="1" applyBorder="1"/>
    <xf numFmtId="49" fontId="32" fillId="0" borderId="4" xfId="5" applyNumberFormat="1" applyFont="1" applyBorder="1" applyAlignment="1" applyProtection="1">
      <alignment wrapText="1"/>
      <protection locked="0"/>
    </xf>
    <xf numFmtId="165" fontId="33" fillId="0" borderId="10" xfId="2" applyNumberFormat="1" applyFont="1" applyBorder="1" applyAlignment="1" applyProtection="1">
      <alignment horizontal="right"/>
    </xf>
    <xf numFmtId="165" fontId="33" fillId="2" borderId="10" xfId="2" applyNumberFormat="1" applyFont="1" applyFill="1" applyBorder="1" applyAlignment="1" applyProtection="1">
      <alignment horizontal="right"/>
    </xf>
    <xf numFmtId="0" fontId="32" fillId="0" borderId="0" xfId="0" applyFont="1"/>
    <xf numFmtId="49" fontId="30" fillId="0" borderId="0" xfId="0" applyNumberFormat="1" applyFont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18" xfId="0" applyFont="1" applyBorder="1" applyAlignment="1" applyProtection="1">
      <alignment horizontal="center"/>
      <protection locked="0"/>
    </xf>
    <xf numFmtId="49" fontId="32" fillId="0" borderId="20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5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center"/>
      <protection locked="0"/>
    </xf>
    <xf numFmtId="2" fontId="32" fillId="0" borderId="0" xfId="0" applyNumberFormat="1" applyFont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49" fontId="1" fillId="5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10" fontId="5" fillId="2" borderId="0" xfId="3" applyNumberFormat="1" applyFont="1" applyFill="1" applyBorder="1" applyAlignment="1" applyProtection="1">
      <alignment horizontal="right"/>
    </xf>
    <xf numFmtId="165" fontId="5" fillId="7" borderId="0" xfId="2" applyNumberFormat="1" applyFont="1" applyFill="1" applyBorder="1" applyAlignment="1" applyProtection="1">
      <alignment horizontal="right"/>
    </xf>
    <xf numFmtId="0" fontId="19" fillId="5" borderId="1" xfId="0" applyFont="1" applyFill="1" applyBorder="1"/>
    <xf numFmtId="0" fontId="19" fillId="4" borderId="4" xfId="0" applyFont="1" applyFill="1" applyBorder="1"/>
    <xf numFmtId="0" fontId="10" fillId="0" borderId="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3" borderId="19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2" borderId="19" xfId="0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9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23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83344</xdr:colOff>
      <xdr:row>23</xdr:row>
      <xdr:rowOff>142875</xdr:rowOff>
    </xdr:from>
    <xdr:to>
      <xdr:col>3</xdr:col>
      <xdr:colOff>1369218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20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7"/>
  <sheetViews>
    <sheetView showGridLines="0" workbookViewId="0">
      <selection activeCell="B35" sqref="B35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</cols>
  <sheetData>
    <row r="2" spans="1:7" ht="18.75" x14ac:dyDescent="0.3">
      <c r="B2" s="6" t="s">
        <v>57</v>
      </c>
      <c r="C2" s="7"/>
      <c r="D2" s="7"/>
      <c r="E2" s="7"/>
      <c r="F2" s="7"/>
      <c r="G2" s="7"/>
    </row>
    <row r="3" spans="1:7" x14ac:dyDescent="0.2">
      <c r="B3" s="8" t="s">
        <v>49</v>
      </c>
      <c r="C3" s="7"/>
      <c r="D3" s="7"/>
      <c r="E3" s="7"/>
      <c r="F3" s="7"/>
      <c r="G3" s="7"/>
    </row>
    <row r="4" spans="1:7" x14ac:dyDescent="0.2">
      <c r="B4" s="19" t="s">
        <v>368</v>
      </c>
      <c r="C4" s="7"/>
      <c r="D4" s="7"/>
      <c r="E4" s="7"/>
      <c r="F4" s="7"/>
      <c r="G4" s="7"/>
    </row>
    <row r="5" spans="1:7" x14ac:dyDescent="0.2">
      <c r="B5" s="7"/>
      <c r="C5" s="7"/>
      <c r="D5" s="7"/>
      <c r="E5" s="7"/>
      <c r="F5" s="7"/>
      <c r="G5" s="7"/>
    </row>
    <row r="6" spans="1:7" x14ac:dyDescent="0.2">
      <c r="B6" s="7"/>
      <c r="C6" s="7"/>
      <c r="D6" s="7"/>
      <c r="E6" s="7"/>
      <c r="F6" s="7"/>
      <c r="G6" s="7"/>
    </row>
    <row r="7" spans="1:7" ht="18.75" customHeight="1" x14ac:dyDescent="0.2">
      <c r="B7" s="297" t="s">
        <v>11</v>
      </c>
      <c r="C7" s="297"/>
      <c r="D7" s="297"/>
      <c r="E7" s="7"/>
      <c r="F7" s="298" t="s">
        <v>50</v>
      </c>
      <c r="G7" s="299"/>
    </row>
    <row r="8" spans="1:7" ht="14.25" customHeight="1" x14ac:dyDescent="0.2">
      <c r="B8" s="300" t="s">
        <v>10</v>
      </c>
      <c r="C8" s="300"/>
      <c r="D8" s="300"/>
      <c r="E8" s="7"/>
      <c r="F8" s="301" t="s">
        <v>51</v>
      </c>
      <c r="G8" s="302"/>
    </row>
    <row r="9" spans="1:7" ht="8.25" customHeight="1" x14ac:dyDescent="0.2">
      <c r="B9" s="294"/>
      <c r="C9" s="294"/>
      <c r="D9" s="294"/>
      <c r="E9" s="7"/>
      <c r="F9" s="295"/>
      <c r="G9" s="296"/>
    </row>
    <row r="10" spans="1:7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7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7" x14ac:dyDescent="0.2">
      <c r="A12" s="3"/>
      <c r="B12" s="10"/>
      <c r="C12" s="10"/>
      <c r="D12" s="10"/>
      <c r="E12" s="11"/>
      <c r="F12" s="10"/>
      <c r="G12" s="10"/>
    </row>
    <row r="13" spans="1:7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7" ht="15.95" customHeight="1" x14ac:dyDescent="0.2">
      <c r="A14" s="1"/>
      <c r="B14" s="20">
        <v>578.53</v>
      </c>
      <c r="C14" s="20">
        <v>11.11</v>
      </c>
      <c r="D14" s="21">
        <v>6.4000000000000001E-2</v>
      </c>
      <c r="E14" s="14"/>
      <c r="F14" s="20">
        <v>1768.97</v>
      </c>
      <c r="G14" s="20">
        <v>406.83</v>
      </c>
    </row>
    <row r="15" spans="1:7" ht="15.95" customHeight="1" x14ac:dyDescent="0.2">
      <c r="A15" s="1"/>
      <c r="B15" s="20">
        <v>4910.1899999999996</v>
      </c>
      <c r="C15" s="20">
        <v>288.33</v>
      </c>
      <c r="D15" s="21">
        <v>0.10879999999999999</v>
      </c>
      <c r="E15" s="14"/>
      <c r="F15" s="20">
        <v>2653.39</v>
      </c>
      <c r="G15" s="20">
        <v>406.62</v>
      </c>
    </row>
    <row r="16" spans="1:7" ht="15.95" customHeight="1" x14ac:dyDescent="0.2">
      <c r="A16" s="1"/>
      <c r="B16" s="20">
        <v>8629.2099999999991</v>
      </c>
      <c r="C16" s="20">
        <v>692.96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10031.08</v>
      </c>
      <c r="C17" s="20">
        <v>917.26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12009.95</v>
      </c>
      <c r="C18" s="20">
        <v>1271.8699999999999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24222.32</v>
      </c>
      <c r="C19" s="20">
        <v>3880.44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38177.699999999997</v>
      </c>
      <c r="C20" s="20">
        <v>7162.74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72887.509999999995</v>
      </c>
      <c r="C21" s="20">
        <v>17575.689999999999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97183.34</v>
      </c>
      <c r="C22" s="20">
        <v>25350.35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291550.01</v>
      </c>
      <c r="C23" s="20">
        <v>91435.02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7"/>
      <c r="C27" s="7"/>
      <c r="D27" s="7"/>
      <c r="E27" s="7"/>
      <c r="F27" s="7"/>
      <c r="G27" s="7"/>
    </row>
    <row r="28" spans="1:7" x14ac:dyDescent="0.2">
      <c r="C28" s="7"/>
      <c r="D28" s="7"/>
      <c r="E28" s="7"/>
      <c r="F28" s="7"/>
      <c r="G28" s="7"/>
    </row>
    <row r="29" spans="1:7" x14ac:dyDescent="0.2">
      <c r="C29" s="7"/>
      <c r="D29" s="7"/>
      <c r="E29" s="7"/>
      <c r="F29" s="7"/>
      <c r="G29" s="7"/>
    </row>
    <row r="30" spans="1:7" x14ac:dyDescent="0.2">
      <c r="C30" s="7"/>
      <c r="D30" s="7"/>
      <c r="E30" s="7"/>
      <c r="F30" s="7"/>
      <c r="G30" s="7"/>
    </row>
    <row r="31" spans="1:7" x14ac:dyDescent="0.2">
      <c r="C31" s="7"/>
      <c r="D31" s="7"/>
      <c r="E31" s="7"/>
      <c r="F31" s="7"/>
      <c r="G31" s="7"/>
    </row>
    <row r="32" spans="1:7" x14ac:dyDescent="0.2">
      <c r="B32" s="7"/>
      <c r="C32" s="7"/>
      <c r="D32" s="7"/>
      <c r="E32" s="7"/>
      <c r="F32" s="7"/>
      <c r="G32" s="7"/>
    </row>
    <row r="33" spans="2:7" x14ac:dyDescent="0.2">
      <c r="B33" s="8" t="s">
        <v>20</v>
      </c>
      <c r="C33" s="7"/>
      <c r="D33" s="7"/>
    </row>
    <row r="34" spans="2:7" ht="15.75" x14ac:dyDescent="0.25">
      <c r="B34" s="18" t="s">
        <v>369</v>
      </c>
      <c r="C34" s="7"/>
      <c r="D34" s="7"/>
    </row>
    <row r="35" spans="2:7" x14ac:dyDescent="0.2">
      <c r="B35" s="38" t="s">
        <v>48</v>
      </c>
      <c r="C35" s="7"/>
      <c r="D35" s="7"/>
    </row>
    <row r="44" spans="2:7" ht="17.25" customHeight="1" x14ac:dyDescent="0.2">
      <c r="B44" s="5" t="s">
        <v>46</v>
      </c>
      <c r="E44" s="7"/>
      <c r="F44" s="298" t="s">
        <v>55</v>
      </c>
      <c r="G44" s="299"/>
    </row>
    <row r="45" spans="2:7" x14ac:dyDescent="0.2">
      <c r="E45" s="7"/>
      <c r="F45" s="301" t="s">
        <v>56</v>
      </c>
      <c r="G45" s="302"/>
    </row>
    <row r="46" spans="2:7" ht="5.25" customHeight="1" x14ac:dyDescent="0.2">
      <c r="E46" s="7"/>
      <c r="F46" s="295"/>
      <c r="G46" s="296"/>
    </row>
    <row r="47" spans="2:7" x14ac:dyDescent="0.2">
      <c r="B47" s="297" t="s">
        <v>11</v>
      </c>
      <c r="C47" s="297"/>
      <c r="D47" s="297"/>
      <c r="E47" s="7"/>
      <c r="F47" s="9" t="s">
        <v>17</v>
      </c>
      <c r="G47" s="9" t="s">
        <v>18</v>
      </c>
    </row>
    <row r="48" spans="2:7" x14ac:dyDescent="0.2">
      <c r="B48" s="300" t="s">
        <v>10</v>
      </c>
      <c r="C48" s="300"/>
      <c r="D48" s="300"/>
      <c r="E48" s="7"/>
      <c r="F48" s="9"/>
      <c r="G48" s="9" t="s">
        <v>19</v>
      </c>
    </row>
    <row r="49" spans="2:7" x14ac:dyDescent="0.2">
      <c r="B49" s="294"/>
      <c r="C49" s="294"/>
      <c r="D49" s="294"/>
      <c r="E49" s="11"/>
      <c r="F49" s="10"/>
      <c r="G49" s="10"/>
    </row>
    <row r="50" spans="2:7" ht="15.95" customHeight="1" x14ac:dyDescent="0.2">
      <c r="B50" s="9" t="s">
        <v>12</v>
      </c>
      <c r="C50" s="9" t="s">
        <v>14</v>
      </c>
      <c r="D50" s="9" t="s">
        <v>8</v>
      </c>
      <c r="E50" s="14"/>
      <c r="F50" s="12">
        <v>0.01</v>
      </c>
      <c r="G50" s="12">
        <v>200.85</v>
      </c>
    </row>
    <row r="51" spans="2:7" ht="15.95" customHeight="1" x14ac:dyDescent="0.2">
      <c r="B51" s="9" t="s">
        <v>13</v>
      </c>
      <c r="C51" s="9" t="s">
        <v>15</v>
      </c>
      <c r="D51" s="9" t="s">
        <v>16</v>
      </c>
      <c r="E51" s="14"/>
      <c r="F51" s="12">
        <v>872.86</v>
      </c>
      <c r="G51" s="12">
        <v>200.7</v>
      </c>
    </row>
    <row r="52" spans="2:7" ht="15.95" customHeight="1" x14ac:dyDescent="0.2">
      <c r="B52" s="10"/>
      <c r="C52" s="10"/>
      <c r="D52" s="10"/>
      <c r="E52" s="14"/>
      <c r="F52" s="12">
        <v>1309.21</v>
      </c>
      <c r="G52" s="12">
        <v>200.7</v>
      </c>
    </row>
    <row r="53" spans="2:7" ht="15.95" customHeight="1" x14ac:dyDescent="0.2">
      <c r="B53" s="12">
        <v>0.01</v>
      </c>
      <c r="C53" s="12">
        <v>0</v>
      </c>
      <c r="D53" s="13">
        <v>1.9199999999999998E-2</v>
      </c>
      <c r="E53" s="14"/>
      <c r="F53" s="12">
        <v>1713.61</v>
      </c>
      <c r="G53" s="12">
        <v>193.8</v>
      </c>
    </row>
    <row r="54" spans="2:7" ht="15.95" customHeight="1" x14ac:dyDescent="0.2">
      <c r="B54" s="12">
        <v>285.45999999999998</v>
      </c>
      <c r="C54" s="12">
        <v>5.55</v>
      </c>
      <c r="D54" s="13">
        <v>6.4000000000000001E-2</v>
      </c>
      <c r="E54" s="14"/>
      <c r="F54" s="12">
        <v>1745.71</v>
      </c>
      <c r="G54" s="12">
        <v>188.7</v>
      </c>
    </row>
    <row r="55" spans="2:7" ht="15.95" customHeight="1" x14ac:dyDescent="0.2">
      <c r="B55" s="12">
        <v>2422.81</v>
      </c>
      <c r="C55" s="12">
        <v>142.19999999999999</v>
      </c>
      <c r="D55" s="13">
        <v>0.10879999999999999</v>
      </c>
      <c r="E55" s="14"/>
      <c r="F55" s="12">
        <v>2193.7600000000002</v>
      </c>
      <c r="G55" s="12">
        <v>174.75</v>
      </c>
    </row>
    <row r="56" spans="2:7" ht="15.95" customHeight="1" x14ac:dyDescent="0.2">
      <c r="B56" s="12">
        <v>4257.91</v>
      </c>
      <c r="C56" s="12">
        <v>341.85</v>
      </c>
      <c r="D56" s="13">
        <v>0.16</v>
      </c>
      <c r="E56" s="7"/>
      <c r="F56" s="12">
        <v>2327.56</v>
      </c>
      <c r="G56" s="12">
        <v>160.35</v>
      </c>
    </row>
    <row r="57" spans="2:7" ht="15.95" customHeight="1" x14ac:dyDescent="0.2">
      <c r="B57" s="12">
        <v>4949.5600000000004</v>
      </c>
      <c r="C57" s="12">
        <v>452.55</v>
      </c>
      <c r="D57" s="13">
        <v>0.1792</v>
      </c>
      <c r="E57" s="7"/>
      <c r="F57" s="12">
        <v>2632.66</v>
      </c>
      <c r="G57" s="12">
        <v>145.35</v>
      </c>
    </row>
    <row r="58" spans="2:7" ht="15.95" customHeight="1" x14ac:dyDescent="0.2">
      <c r="B58" s="12">
        <v>5925.91</v>
      </c>
      <c r="C58" s="12">
        <v>627.6</v>
      </c>
      <c r="D58" s="13">
        <v>0.21360000000000001</v>
      </c>
      <c r="E58" s="7"/>
      <c r="F58" s="12">
        <v>3071.41</v>
      </c>
      <c r="G58" s="12">
        <v>125.1</v>
      </c>
    </row>
    <row r="59" spans="2:7" ht="15.95" customHeight="1" x14ac:dyDescent="0.2">
      <c r="B59" s="12">
        <v>11951.86</v>
      </c>
      <c r="C59" s="12">
        <v>1914.75</v>
      </c>
      <c r="D59" s="13">
        <v>0.23519999999999999</v>
      </c>
      <c r="E59" s="7"/>
      <c r="F59" s="12">
        <v>3510.16</v>
      </c>
      <c r="G59" s="12">
        <v>107.4</v>
      </c>
    </row>
    <row r="60" spans="2:7" ht="15.95" customHeight="1" x14ac:dyDescent="0.2">
      <c r="B60" s="12">
        <v>18837.759999999998</v>
      </c>
      <c r="C60" s="12">
        <v>3534.3</v>
      </c>
      <c r="D60" s="13">
        <v>0.3</v>
      </c>
      <c r="E60" s="7"/>
      <c r="F60" s="12">
        <v>3642.61</v>
      </c>
      <c r="G60" s="12">
        <v>0</v>
      </c>
    </row>
    <row r="61" spans="2:7" x14ac:dyDescent="0.2">
      <c r="B61" s="12">
        <v>35964.31</v>
      </c>
      <c r="C61" s="12">
        <v>8672.25</v>
      </c>
      <c r="D61" s="13">
        <v>0.32</v>
      </c>
      <c r="E61" s="7"/>
      <c r="F61" s="17"/>
      <c r="G61" s="17"/>
    </row>
    <row r="62" spans="2:7" x14ac:dyDescent="0.2">
      <c r="B62" s="12">
        <v>47952.31</v>
      </c>
      <c r="C62" s="12">
        <v>12508.35</v>
      </c>
      <c r="D62" s="13">
        <v>0.34</v>
      </c>
    </row>
    <row r="63" spans="2:7" x14ac:dyDescent="0.2">
      <c r="B63" s="12">
        <v>143856.91</v>
      </c>
      <c r="C63" s="12">
        <v>45115.95</v>
      </c>
      <c r="D63" s="13">
        <v>0.35</v>
      </c>
    </row>
    <row r="64" spans="2:7" x14ac:dyDescent="0.2">
      <c r="B64" s="15"/>
      <c r="C64" s="15"/>
      <c r="D64" s="16"/>
    </row>
    <row r="66" spans="2:4" x14ac:dyDescent="0.2">
      <c r="B66" s="7"/>
      <c r="C66" s="7"/>
      <c r="D66" s="7"/>
    </row>
    <row r="67" spans="2:4" x14ac:dyDescent="0.2">
      <c r="B67" s="7"/>
      <c r="C67" s="7"/>
      <c r="D67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9:D49"/>
    <mergeCell ref="F46:G46"/>
    <mergeCell ref="B47:D47"/>
    <mergeCell ref="F44:G44"/>
    <mergeCell ref="B48:D48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26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85546875" customWidth="1"/>
    <col min="4" max="4" width="28.85546875" customWidth="1"/>
    <col min="5" max="5" width="13.5703125" customWidth="1"/>
    <col min="6" max="6" width="6.5703125" hidden="1" customWidth="1"/>
    <col min="7" max="7" width="10" hidden="1" customWidth="1"/>
    <col min="8" max="8" width="12.7109375" customWidth="1"/>
    <col min="9" max="9" width="9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7109375" customWidth="1"/>
    <col min="23" max="23" width="10.5703125" customWidth="1"/>
    <col min="24" max="24" width="12.7109375" customWidth="1"/>
    <col min="25" max="25" width="44.28515625" customWidth="1"/>
  </cols>
  <sheetData>
    <row r="1" spans="1:25" ht="18" x14ac:dyDescent="0.25">
      <c r="A1" s="306" t="s">
        <v>93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</row>
    <row r="2" spans="1:25" ht="18" x14ac:dyDescent="0.25">
      <c r="A2" s="306" t="s">
        <v>66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</row>
    <row r="3" spans="1:25" ht="15" x14ac:dyDescent="0.2">
      <c r="A3" s="307" t="s">
        <v>391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7" t="s">
        <v>1</v>
      </c>
      <c r="I6" s="318"/>
      <c r="J6" s="319"/>
      <c r="K6" s="24" t="s">
        <v>26</v>
      </c>
      <c r="L6" s="25"/>
      <c r="M6" s="320" t="s">
        <v>9</v>
      </c>
      <c r="N6" s="321"/>
      <c r="O6" s="321"/>
      <c r="P6" s="321"/>
      <c r="Q6" s="321"/>
      <c r="R6" s="322"/>
      <c r="S6" s="24" t="s">
        <v>30</v>
      </c>
      <c r="T6" s="24" t="s">
        <v>10</v>
      </c>
      <c r="U6" s="23" t="s">
        <v>54</v>
      </c>
      <c r="V6" s="323" t="s">
        <v>2</v>
      </c>
      <c r="W6" s="324"/>
      <c r="X6" s="23" t="s">
        <v>0</v>
      </c>
      <c r="Y6" s="42"/>
    </row>
    <row r="7" spans="1:25" ht="22.5" x14ac:dyDescent="0.2">
      <c r="A7" s="26" t="s">
        <v>21</v>
      </c>
      <c r="B7" s="61" t="s">
        <v>123</v>
      </c>
      <c r="C7" s="61" t="s">
        <v>146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15" x14ac:dyDescent="0.25">
      <c r="A9" s="47"/>
      <c r="B9" s="47"/>
      <c r="C9" s="47"/>
      <c r="D9" s="131" t="s">
        <v>86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132"/>
    </row>
    <row r="10" spans="1:25" s="188" customFormat="1" ht="88.5" customHeight="1" x14ac:dyDescent="0.2">
      <c r="A10" s="60" t="s">
        <v>100</v>
      </c>
      <c r="B10" s="138" t="s">
        <v>280</v>
      </c>
      <c r="C10" s="62" t="s">
        <v>145</v>
      </c>
      <c r="D10" s="166" t="s">
        <v>228</v>
      </c>
      <c r="E10" s="166" t="s">
        <v>63</v>
      </c>
      <c r="F10" s="167">
        <v>15</v>
      </c>
      <c r="G10" s="168">
        <f>H10/F10</f>
        <v>899.55266666666671</v>
      </c>
      <c r="H10" s="169">
        <v>13493.29</v>
      </c>
      <c r="I10" s="170">
        <v>0</v>
      </c>
      <c r="J10" s="171">
        <f>SUM(H10:I10)</f>
        <v>13493.29</v>
      </c>
      <c r="K10" s="172">
        <f>I10/2</f>
        <v>0</v>
      </c>
      <c r="L10" s="172">
        <f>H10+K10</f>
        <v>13493.29</v>
      </c>
      <c r="M10" s="172">
        <f>VLOOKUP(L10,Tarifa1,1)</f>
        <v>11951.86</v>
      </c>
      <c r="N10" s="172">
        <f>L10-M10</f>
        <v>1541.4300000000003</v>
      </c>
      <c r="O10" s="173">
        <f>VLOOKUP(L10,Tarifa1,3)</f>
        <v>0.23519999999999999</v>
      </c>
      <c r="P10" s="172">
        <f>N10*O10</f>
        <v>362.54433600000004</v>
      </c>
      <c r="Q10" s="174">
        <f>VLOOKUP(L10,Tarifa1,2)</f>
        <v>1914.75</v>
      </c>
      <c r="R10" s="172">
        <f>P10+Q10</f>
        <v>2277.2943359999999</v>
      </c>
      <c r="S10" s="172">
        <f>VLOOKUP(L10,Credito1,2)</f>
        <v>0</v>
      </c>
      <c r="T10" s="172">
        <f>R10-S10</f>
        <v>2277.2943359999999</v>
      </c>
      <c r="U10" s="171">
        <f>-IF(T10&gt;0,0,T10)</f>
        <v>0</v>
      </c>
      <c r="V10" s="171">
        <f>IF(T10&lt;0,0,T10)</f>
        <v>2277.2943359999999</v>
      </c>
      <c r="W10" s="171">
        <f>SUM(V10:V10)</f>
        <v>2277.2943359999999</v>
      </c>
      <c r="X10" s="171">
        <f>J10+U10-W10</f>
        <v>11215.995664000002</v>
      </c>
      <c r="Y10" s="187"/>
    </row>
    <row r="11" spans="1:25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5" customHeight="1" thickBot="1" x14ac:dyDescent="0.3">
      <c r="A12" s="303" t="s">
        <v>45</v>
      </c>
      <c r="B12" s="304"/>
      <c r="C12" s="304"/>
      <c r="D12" s="304"/>
      <c r="E12" s="304"/>
      <c r="F12" s="304"/>
      <c r="G12" s="305"/>
      <c r="H12" s="39">
        <f t="shared" ref="H12:X12" si="0">SUM(H10:H11)</f>
        <v>13493.29</v>
      </c>
      <c r="I12" s="39">
        <f t="shared" si="0"/>
        <v>0</v>
      </c>
      <c r="J12" s="39">
        <f t="shared" si="0"/>
        <v>13493.29</v>
      </c>
      <c r="K12" s="40">
        <f t="shared" si="0"/>
        <v>0</v>
      </c>
      <c r="L12" s="40">
        <f t="shared" si="0"/>
        <v>13493.29</v>
      </c>
      <c r="M12" s="40">
        <f t="shared" si="0"/>
        <v>11951.86</v>
      </c>
      <c r="N12" s="40">
        <f t="shared" si="0"/>
        <v>1541.4300000000003</v>
      </c>
      <c r="O12" s="40">
        <f t="shared" si="0"/>
        <v>0.23519999999999999</v>
      </c>
      <c r="P12" s="40">
        <f t="shared" si="0"/>
        <v>362.54433600000004</v>
      </c>
      <c r="Q12" s="40">
        <f t="shared" si="0"/>
        <v>1914.75</v>
      </c>
      <c r="R12" s="40">
        <f t="shared" si="0"/>
        <v>2277.2943359999999</v>
      </c>
      <c r="S12" s="40">
        <f t="shared" si="0"/>
        <v>0</v>
      </c>
      <c r="T12" s="40">
        <f t="shared" si="0"/>
        <v>2277.2943359999999</v>
      </c>
      <c r="U12" s="39">
        <f t="shared" si="0"/>
        <v>0</v>
      </c>
      <c r="V12" s="39">
        <f t="shared" si="0"/>
        <v>2277.2943359999999</v>
      </c>
      <c r="W12" s="39">
        <f t="shared" si="0"/>
        <v>2277.2943359999999</v>
      </c>
      <c r="X12" s="39">
        <f t="shared" si="0"/>
        <v>11215.995664000002</v>
      </c>
    </row>
    <row r="13" spans="1:25" ht="13.5" thickTop="1" x14ac:dyDescent="0.2"/>
    <row r="23" spans="4:37" ht="14.25" x14ac:dyDescent="0.2">
      <c r="D23" s="188" t="s">
        <v>292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 t="s">
        <v>293</v>
      </c>
      <c r="W23" s="188"/>
      <c r="X23" s="188"/>
      <c r="Y23" s="188"/>
    </row>
    <row r="24" spans="4:37" ht="15" x14ac:dyDescent="0.25">
      <c r="D24" s="193" t="s">
        <v>234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93" t="s">
        <v>251</v>
      </c>
      <c r="W24" s="188"/>
      <c r="X24" s="188"/>
      <c r="Y24" s="188"/>
    </row>
    <row r="25" spans="4:37" ht="15" x14ac:dyDescent="0.25">
      <c r="D25" s="193" t="s">
        <v>294</v>
      </c>
      <c r="E25" s="193"/>
      <c r="F25" s="193"/>
      <c r="G25" s="193"/>
      <c r="H25" s="193"/>
      <c r="I25" s="193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93" t="s">
        <v>98</v>
      </c>
      <c r="W25" s="193"/>
      <c r="X25" s="193"/>
      <c r="Y25" s="193"/>
      <c r="Z25" s="51"/>
      <c r="AA25" s="51"/>
      <c r="AB25" s="51"/>
      <c r="AC25" s="51"/>
      <c r="AD25" s="51"/>
      <c r="AE25" s="51"/>
      <c r="AF25" s="51"/>
      <c r="AG25" s="51"/>
      <c r="AJ25" s="51"/>
      <c r="AK25" s="51"/>
    </row>
    <row r="26" spans="4:37" ht="14.25" x14ac:dyDescent="0.2"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7"/>
  <sheetViews>
    <sheetView topLeftCell="B1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hidden="1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306" t="s">
        <v>93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</row>
    <row r="2" spans="1:25" ht="18" x14ac:dyDescent="0.25">
      <c r="A2" s="306" t="s">
        <v>66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</row>
    <row r="3" spans="1:25" ht="15" x14ac:dyDescent="0.2">
      <c r="A3" s="307" t="s">
        <v>391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7" t="s">
        <v>1</v>
      </c>
      <c r="I6" s="318"/>
      <c r="J6" s="319"/>
      <c r="K6" s="24" t="s">
        <v>26</v>
      </c>
      <c r="L6" s="25"/>
      <c r="M6" s="320" t="s">
        <v>9</v>
      </c>
      <c r="N6" s="321"/>
      <c r="O6" s="321"/>
      <c r="P6" s="321"/>
      <c r="Q6" s="321"/>
      <c r="R6" s="322"/>
      <c r="S6" s="24" t="s">
        <v>30</v>
      </c>
      <c r="T6" s="24" t="s">
        <v>10</v>
      </c>
      <c r="U6" s="23" t="s">
        <v>54</v>
      </c>
      <c r="V6" s="323" t="s">
        <v>2</v>
      </c>
      <c r="W6" s="324"/>
      <c r="X6" s="23" t="s">
        <v>0</v>
      </c>
      <c r="Y6" s="42"/>
    </row>
    <row r="7" spans="1:25" ht="22.5" x14ac:dyDescent="0.2">
      <c r="A7" s="26" t="s">
        <v>21</v>
      </c>
      <c r="B7" s="61" t="s">
        <v>123</v>
      </c>
      <c r="C7" s="61" t="s">
        <v>146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3" t="s">
        <v>147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88" customFormat="1" ht="69.95" customHeight="1" x14ac:dyDescent="0.2">
      <c r="A10" s="60" t="s">
        <v>101</v>
      </c>
      <c r="B10" s="62" t="s">
        <v>149</v>
      </c>
      <c r="C10" s="62" t="s">
        <v>145</v>
      </c>
      <c r="D10" s="176" t="s">
        <v>150</v>
      </c>
      <c r="E10" s="166" t="s">
        <v>148</v>
      </c>
      <c r="F10" s="167">
        <v>15</v>
      </c>
      <c r="G10" s="168">
        <f>H10/F10</f>
        <v>241.232</v>
      </c>
      <c r="H10" s="169">
        <v>3618.48</v>
      </c>
      <c r="I10" s="170">
        <v>0</v>
      </c>
      <c r="J10" s="171">
        <f>SUM(H10:I10)</f>
        <v>3618.48</v>
      </c>
      <c r="K10" s="172">
        <f>IF(H10/15&lt;=123.22,I10,I10/2)</f>
        <v>0</v>
      </c>
      <c r="L10" s="172">
        <f>H10+K10</f>
        <v>3618.48</v>
      </c>
      <c r="M10" s="172">
        <f>VLOOKUP(L10,Tarifa1,1)</f>
        <v>2422.81</v>
      </c>
      <c r="N10" s="172">
        <f>L10-M10</f>
        <v>1195.67</v>
      </c>
      <c r="O10" s="173">
        <f>VLOOKUP(L10,Tarifa1,3)</f>
        <v>0.10879999999999999</v>
      </c>
      <c r="P10" s="172">
        <f>N10*O10</f>
        <v>130.08889600000001</v>
      </c>
      <c r="Q10" s="174">
        <f>VLOOKUP(L10,Tarifa1,2)</f>
        <v>142.19999999999999</v>
      </c>
      <c r="R10" s="172">
        <f>P10+Q10</f>
        <v>272.28889600000002</v>
      </c>
      <c r="S10" s="172">
        <f>VLOOKUP(L10,Credito1,2)</f>
        <v>107.4</v>
      </c>
      <c r="T10" s="172">
        <f>R10-S10</f>
        <v>164.88889600000002</v>
      </c>
      <c r="U10" s="171">
        <f>-IF(T10&gt;0,0,T10)</f>
        <v>0</v>
      </c>
      <c r="V10" s="175">
        <f>IF(T10&lt;0,0,T10)</f>
        <v>164.88889600000002</v>
      </c>
      <c r="W10" s="171">
        <f>SUM(V10:V10)</f>
        <v>164.88889600000002</v>
      </c>
      <c r="X10" s="171">
        <f>J10+U10-W10</f>
        <v>3453.5911040000001</v>
      </c>
      <c r="Y10" s="187"/>
    </row>
    <row r="11" spans="1:25" s="188" customFormat="1" ht="69.95" customHeight="1" x14ac:dyDescent="0.2">
      <c r="A11" s="60" t="s">
        <v>102</v>
      </c>
      <c r="B11" s="62" t="s">
        <v>151</v>
      </c>
      <c r="C11" s="62" t="s">
        <v>145</v>
      </c>
      <c r="D11" s="176" t="s">
        <v>152</v>
      </c>
      <c r="E11" s="166" t="s">
        <v>148</v>
      </c>
      <c r="F11" s="167">
        <v>7</v>
      </c>
      <c r="G11" s="168">
        <v>208.2</v>
      </c>
      <c r="H11" s="169">
        <v>3618.48</v>
      </c>
      <c r="I11" s="170">
        <v>0</v>
      </c>
      <c r="J11" s="171">
        <f>SUM(H11:I11)</f>
        <v>3618.48</v>
      </c>
      <c r="K11" s="172">
        <f t="shared" ref="K11:K14" si="0">IF(H11/15&lt;=123.22,I11,I11/2)</f>
        <v>0</v>
      </c>
      <c r="L11" s="172">
        <f t="shared" ref="L11:L14" si="1">H11+K11</f>
        <v>3618.48</v>
      </c>
      <c r="M11" s="172">
        <f>VLOOKUP(L11,Tarifa1,1)</f>
        <v>2422.81</v>
      </c>
      <c r="N11" s="172">
        <f t="shared" ref="N11:N14" si="2">L11-M11</f>
        <v>1195.67</v>
      </c>
      <c r="O11" s="173">
        <f>VLOOKUP(L11,Tarifa1,3)</f>
        <v>0.10879999999999999</v>
      </c>
      <c r="P11" s="172">
        <f t="shared" ref="P11:P14" si="3">N11*O11</f>
        <v>130.08889600000001</v>
      </c>
      <c r="Q11" s="174">
        <f>VLOOKUP(L11,Tarifa1,2)</f>
        <v>142.19999999999999</v>
      </c>
      <c r="R11" s="172">
        <f t="shared" ref="R11:R14" si="4">P11+Q11</f>
        <v>272.28889600000002</v>
      </c>
      <c r="S11" s="172">
        <f>VLOOKUP(L11,Credito1,2)</f>
        <v>107.4</v>
      </c>
      <c r="T11" s="172">
        <f t="shared" ref="T11:T14" si="5">R11-S11</f>
        <v>164.88889600000002</v>
      </c>
      <c r="U11" s="171">
        <f>-IF(T11&gt;0,0,T11)</f>
        <v>0</v>
      </c>
      <c r="V11" s="175">
        <f>IF(T11&lt;0,0,T11)</f>
        <v>164.88889600000002</v>
      </c>
      <c r="W11" s="171">
        <f>SUM(V11:V11)</f>
        <v>164.88889600000002</v>
      </c>
      <c r="X11" s="171">
        <f>J11+U11-W11</f>
        <v>3453.5911040000001</v>
      </c>
      <c r="Y11" s="187"/>
    </row>
    <row r="12" spans="1:25" s="188" customFormat="1" ht="69.95" customHeight="1" x14ac:dyDescent="0.2">
      <c r="A12" s="125"/>
      <c r="B12" s="210" t="s">
        <v>284</v>
      </c>
      <c r="C12" s="62" t="s">
        <v>145</v>
      </c>
      <c r="D12" s="211" t="s">
        <v>230</v>
      </c>
      <c r="E12" s="166" t="s">
        <v>148</v>
      </c>
      <c r="F12" s="167">
        <v>7</v>
      </c>
      <c r="G12" s="168">
        <v>208.2</v>
      </c>
      <c r="H12" s="169">
        <v>3618.48</v>
      </c>
      <c r="I12" s="170">
        <v>0</v>
      </c>
      <c r="J12" s="171">
        <f>SUM(H12:I12)</f>
        <v>3618.48</v>
      </c>
      <c r="K12" s="172">
        <f t="shared" si="0"/>
        <v>0</v>
      </c>
      <c r="L12" s="172">
        <f t="shared" si="1"/>
        <v>3618.48</v>
      </c>
      <c r="M12" s="172">
        <f>VLOOKUP(L12,Tarifa1,1)</f>
        <v>2422.81</v>
      </c>
      <c r="N12" s="172">
        <f t="shared" si="2"/>
        <v>1195.67</v>
      </c>
      <c r="O12" s="173">
        <f>VLOOKUP(L12,Tarifa1,3)</f>
        <v>0.10879999999999999</v>
      </c>
      <c r="P12" s="172">
        <f t="shared" si="3"/>
        <v>130.08889600000001</v>
      </c>
      <c r="Q12" s="174">
        <f>VLOOKUP(L12,Tarifa1,2)</f>
        <v>142.19999999999999</v>
      </c>
      <c r="R12" s="172">
        <f t="shared" si="4"/>
        <v>272.28889600000002</v>
      </c>
      <c r="S12" s="172">
        <f>VLOOKUP(L12,Credito1,2)</f>
        <v>107.4</v>
      </c>
      <c r="T12" s="172">
        <f t="shared" si="5"/>
        <v>164.88889600000002</v>
      </c>
      <c r="U12" s="171">
        <f>-IF(T12&gt;0,0,T12)</f>
        <v>0</v>
      </c>
      <c r="V12" s="175">
        <f>IF(T12&lt;0,0,T12)</f>
        <v>164.88889600000002</v>
      </c>
      <c r="W12" s="171">
        <f>SUM(V12:V12)</f>
        <v>164.88889600000002</v>
      </c>
      <c r="X12" s="171">
        <f>J12+U12-W12</f>
        <v>3453.5911040000001</v>
      </c>
      <c r="Y12" s="187"/>
    </row>
    <row r="13" spans="1:25" s="188" customFormat="1" ht="69.95" customHeight="1" x14ac:dyDescent="0.2">
      <c r="A13" s="212"/>
      <c r="B13" s="213">
        <v>185</v>
      </c>
      <c r="C13" s="62" t="s">
        <v>145</v>
      </c>
      <c r="D13" s="214" t="s">
        <v>229</v>
      </c>
      <c r="E13" s="166" t="s">
        <v>148</v>
      </c>
      <c r="F13" s="167">
        <v>7</v>
      </c>
      <c r="G13" s="168">
        <v>208.2</v>
      </c>
      <c r="H13" s="169">
        <v>3618.48</v>
      </c>
      <c r="I13" s="170">
        <v>0</v>
      </c>
      <c r="J13" s="171">
        <f>SUM(H13:I13)</f>
        <v>3618.48</v>
      </c>
      <c r="K13" s="172">
        <f t="shared" si="0"/>
        <v>0</v>
      </c>
      <c r="L13" s="172">
        <f t="shared" si="1"/>
        <v>3618.48</v>
      </c>
      <c r="M13" s="172">
        <f>VLOOKUP(L13,Tarifa1,1)</f>
        <v>2422.81</v>
      </c>
      <c r="N13" s="172">
        <f t="shared" si="2"/>
        <v>1195.67</v>
      </c>
      <c r="O13" s="173">
        <f>VLOOKUP(L13,Tarifa1,3)</f>
        <v>0.10879999999999999</v>
      </c>
      <c r="P13" s="172">
        <f t="shared" si="3"/>
        <v>130.08889600000001</v>
      </c>
      <c r="Q13" s="174">
        <f>VLOOKUP(L13,Tarifa1,2)</f>
        <v>142.19999999999999</v>
      </c>
      <c r="R13" s="172">
        <f t="shared" si="4"/>
        <v>272.28889600000002</v>
      </c>
      <c r="S13" s="172">
        <f>VLOOKUP(L13,Credito1,2)</f>
        <v>107.4</v>
      </c>
      <c r="T13" s="172">
        <f t="shared" si="5"/>
        <v>164.88889600000002</v>
      </c>
      <c r="U13" s="171">
        <f>-IF(T13&gt;0,0,T13)</f>
        <v>0</v>
      </c>
      <c r="V13" s="175">
        <f>IF(T13&lt;0,0,T13)</f>
        <v>164.88889600000002</v>
      </c>
      <c r="W13" s="171">
        <f>SUM(V13:V13)</f>
        <v>164.88889600000002</v>
      </c>
      <c r="X13" s="171">
        <f>J13+U13-W13</f>
        <v>3453.5911040000001</v>
      </c>
      <c r="Y13" s="187"/>
    </row>
    <row r="14" spans="1:25" s="188" customFormat="1" ht="69.95" customHeight="1" x14ac:dyDescent="0.2">
      <c r="A14" s="202"/>
      <c r="B14" s="213">
        <v>188</v>
      </c>
      <c r="C14" s="62" t="s">
        <v>145</v>
      </c>
      <c r="D14" s="214" t="s">
        <v>291</v>
      </c>
      <c r="E14" s="166" t="s">
        <v>148</v>
      </c>
      <c r="F14" s="167">
        <v>7</v>
      </c>
      <c r="G14" s="168">
        <v>208.2</v>
      </c>
      <c r="H14" s="169">
        <v>3618.48</v>
      </c>
      <c r="I14" s="170">
        <v>0</v>
      </c>
      <c r="J14" s="171">
        <f>SUM(H14:I14)</f>
        <v>3618.48</v>
      </c>
      <c r="K14" s="172">
        <f t="shared" si="0"/>
        <v>0</v>
      </c>
      <c r="L14" s="172">
        <f t="shared" si="1"/>
        <v>3618.48</v>
      </c>
      <c r="M14" s="172">
        <f>VLOOKUP(L14,Tarifa1,1)</f>
        <v>2422.81</v>
      </c>
      <c r="N14" s="172">
        <f t="shared" si="2"/>
        <v>1195.67</v>
      </c>
      <c r="O14" s="173">
        <f>VLOOKUP(L14,Tarifa1,3)</f>
        <v>0.10879999999999999</v>
      </c>
      <c r="P14" s="172">
        <f t="shared" si="3"/>
        <v>130.08889600000001</v>
      </c>
      <c r="Q14" s="174">
        <f>VLOOKUP(L14,Tarifa1,2)</f>
        <v>142.19999999999999</v>
      </c>
      <c r="R14" s="172">
        <f t="shared" si="4"/>
        <v>272.28889600000002</v>
      </c>
      <c r="S14" s="172">
        <f>VLOOKUP(L14,Credito1,2)</f>
        <v>107.4</v>
      </c>
      <c r="T14" s="172">
        <f t="shared" si="5"/>
        <v>164.88889600000002</v>
      </c>
      <c r="U14" s="171">
        <f>-IF(T14&gt;0,0,T14)</f>
        <v>0</v>
      </c>
      <c r="V14" s="175">
        <f>IF(T14&lt;0,0,T14)</f>
        <v>164.88889600000002</v>
      </c>
      <c r="W14" s="171">
        <f>SUM(V14:V14)</f>
        <v>164.88889600000002</v>
      </c>
      <c r="X14" s="171">
        <f>J14+U14-W14</f>
        <v>3453.5911040000001</v>
      </c>
      <c r="Y14" s="187"/>
    </row>
    <row r="15" spans="1:25" x14ac:dyDescent="0.2">
      <c r="A15" s="56"/>
      <c r="B15" s="56"/>
      <c r="C15" s="56"/>
      <c r="D15" s="56"/>
      <c r="E15" s="56"/>
      <c r="F15" s="57"/>
      <c r="G15" s="56"/>
      <c r="H15" s="34"/>
      <c r="I15" s="34"/>
      <c r="J15" s="34"/>
      <c r="K15" s="3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5" ht="45" customHeight="1" thickBot="1" x14ac:dyDescent="0.3">
      <c r="A16" s="303" t="s">
        <v>45</v>
      </c>
      <c r="B16" s="304"/>
      <c r="C16" s="304"/>
      <c r="D16" s="304"/>
      <c r="E16" s="304"/>
      <c r="F16" s="304"/>
      <c r="G16" s="305"/>
      <c r="H16" s="39">
        <f>SUM(H10:H15)</f>
        <v>18092.400000000001</v>
      </c>
      <c r="I16" s="39">
        <f>SUM(I10:I15)</f>
        <v>0</v>
      </c>
      <c r="J16" s="39">
        <f>SUM(J10:J15)</f>
        <v>18092.400000000001</v>
      </c>
      <c r="K16" s="40">
        <f t="shared" ref="K16:T16" si="6">SUM(K10:K15)</f>
        <v>0</v>
      </c>
      <c r="L16" s="40">
        <f t="shared" si="6"/>
        <v>18092.400000000001</v>
      </c>
      <c r="M16" s="40">
        <f t="shared" si="6"/>
        <v>12114.05</v>
      </c>
      <c r="N16" s="40">
        <f t="shared" si="6"/>
        <v>5978.35</v>
      </c>
      <c r="O16" s="40">
        <f t="shared" si="6"/>
        <v>0.54399999999999993</v>
      </c>
      <c r="P16" s="40">
        <f t="shared" si="6"/>
        <v>650.44448</v>
      </c>
      <c r="Q16" s="40">
        <f t="shared" si="6"/>
        <v>711</v>
      </c>
      <c r="R16" s="40">
        <f t="shared" si="6"/>
        <v>1361.4444800000001</v>
      </c>
      <c r="S16" s="40">
        <f t="shared" si="6"/>
        <v>537</v>
      </c>
      <c r="T16" s="40">
        <f t="shared" si="6"/>
        <v>824.44448000000011</v>
      </c>
      <c r="U16" s="39">
        <f>SUM(U10:U15)</f>
        <v>0</v>
      </c>
      <c r="V16" s="39">
        <f>SUM(V10:V15)</f>
        <v>824.44448000000011</v>
      </c>
      <c r="W16" s="39">
        <f>SUM(W10:W15)</f>
        <v>824.44448000000011</v>
      </c>
      <c r="X16" s="39">
        <f>SUM(X10:X15)</f>
        <v>17267.95552</v>
      </c>
    </row>
    <row r="17" spans="4:25" ht="13.5" thickTop="1" x14ac:dyDescent="0.2"/>
    <row r="25" spans="4:25" x14ac:dyDescent="0.2">
      <c r="D25" s="4" t="s">
        <v>253</v>
      </c>
      <c r="V25" s="4" t="s">
        <v>242</v>
      </c>
    </row>
    <row r="26" spans="4:25" x14ac:dyDescent="0.2">
      <c r="D26" s="78" t="s">
        <v>234</v>
      </c>
      <c r="H26" s="4"/>
      <c r="V26" s="78" t="s">
        <v>255</v>
      </c>
    </row>
    <row r="27" spans="4:25" x14ac:dyDescent="0.2">
      <c r="D27" s="51" t="s">
        <v>254</v>
      </c>
      <c r="E27" s="51"/>
      <c r="F27" s="51"/>
      <c r="G27" s="51"/>
      <c r="H27" s="51"/>
      <c r="I27" s="51"/>
      <c r="V27" s="51" t="s">
        <v>252</v>
      </c>
      <c r="W27" s="51"/>
      <c r="X27" s="51"/>
      <c r="Y27" s="51"/>
    </row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0"/>
  <sheetViews>
    <sheetView topLeftCell="B1" zoomScale="80" zoomScaleNormal="80" workbookViewId="0">
      <selection activeCell="U4" sqref="U1:U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22.42578125" style="91" customWidth="1"/>
    <col min="5" max="5" width="6.5703125" style="91" hidden="1" customWidth="1"/>
    <col min="6" max="6" width="14.140625" style="91" customWidth="1"/>
    <col min="7" max="7" width="10.7109375" style="91" customWidth="1"/>
    <col min="8" max="8" width="14" style="91" customWidth="1"/>
    <col min="9" max="9" width="12.7109375" style="91" hidden="1" customWidth="1"/>
    <col min="10" max="10" width="13.140625" style="91" hidden="1" customWidth="1"/>
    <col min="11" max="13" width="11" style="91" hidden="1" customWidth="1"/>
    <col min="14" max="15" width="13.140625" style="91" hidden="1" customWidth="1"/>
    <col min="16" max="16" width="10.5703125" style="91" hidden="1" customWidth="1"/>
    <col min="17" max="17" width="10.42578125" style="91" hidden="1" customWidth="1"/>
    <col min="18" max="18" width="13.140625" style="91" hidden="1" customWidth="1"/>
    <col min="19" max="19" width="11.5703125" style="91" customWidth="1"/>
    <col min="20" max="21" width="13.28515625" style="91" customWidth="1"/>
    <col min="22" max="22" width="13.140625" style="91" customWidth="1"/>
    <col min="23" max="23" width="76.140625" style="91" customWidth="1"/>
    <col min="24" max="24" width="73.42578125" style="91" customWidth="1"/>
    <col min="25" max="16384" width="11.42578125" style="91"/>
  </cols>
  <sheetData>
    <row r="1" spans="1:25" ht="18" x14ac:dyDescent="0.25">
      <c r="A1" s="306" t="s">
        <v>92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4"/>
    </row>
    <row r="2" spans="1:25" ht="18" x14ac:dyDescent="0.25">
      <c r="A2" s="306" t="s">
        <v>66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4"/>
    </row>
    <row r="3" spans="1:25" ht="15" x14ac:dyDescent="0.2">
      <c r="A3" s="50" t="s">
        <v>351</v>
      </c>
      <c r="B3" s="307" t="s">
        <v>391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120"/>
      <c r="Y3" s="12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"/>
    </row>
    <row r="5" spans="1:25" x14ac:dyDescent="0.2">
      <c r="A5" s="22"/>
      <c r="B5" s="22"/>
      <c r="C5" s="22"/>
      <c r="D5" s="22"/>
      <c r="E5" s="23" t="s">
        <v>23</v>
      </c>
      <c r="F5" s="317" t="s">
        <v>1</v>
      </c>
      <c r="G5" s="318"/>
      <c r="H5" s="319"/>
      <c r="I5" s="24" t="s">
        <v>26</v>
      </c>
      <c r="J5" s="25"/>
      <c r="K5" s="320" t="s">
        <v>9</v>
      </c>
      <c r="L5" s="321"/>
      <c r="M5" s="321"/>
      <c r="N5" s="321"/>
      <c r="O5" s="321"/>
      <c r="P5" s="322"/>
      <c r="Q5" s="24" t="s">
        <v>30</v>
      </c>
      <c r="R5" s="24" t="s">
        <v>10</v>
      </c>
      <c r="S5" s="23" t="s">
        <v>54</v>
      </c>
      <c r="T5" s="323" t="s">
        <v>2</v>
      </c>
      <c r="U5" s="324"/>
      <c r="V5" s="23" t="s">
        <v>0</v>
      </c>
      <c r="W5" s="229"/>
      <c r="X5" s="4"/>
    </row>
    <row r="6" spans="1:25" ht="22.5" x14ac:dyDescent="0.2">
      <c r="A6" s="26" t="s">
        <v>21</v>
      </c>
      <c r="B6" s="61" t="s">
        <v>123</v>
      </c>
      <c r="C6" s="61" t="s">
        <v>146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44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169</v>
      </c>
      <c r="S7" s="26" t="s">
        <v>53</v>
      </c>
      <c r="T7" s="26"/>
      <c r="U7" s="26" t="s">
        <v>44</v>
      </c>
      <c r="V7" s="26" t="s">
        <v>5</v>
      </c>
      <c r="W7" s="230"/>
      <c r="X7" s="4"/>
    </row>
    <row r="8" spans="1:25" ht="28.5" customHeight="1" x14ac:dyDescent="0.25">
      <c r="A8" s="47"/>
      <c r="B8" s="216"/>
      <c r="C8" s="216"/>
      <c r="D8" s="45" t="s">
        <v>62</v>
      </c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197"/>
      <c r="X8" s="4"/>
    </row>
    <row r="9" spans="1:25" ht="65.099999999999994" customHeight="1" x14ac:dyDescent="0.2">
      <c r="A9" s="237" t="s">
        <v>100</v>
      </c>
      <c r="B9" s="238" t="s">
        <v>188</v>
      </c>
      <c r="C9" s="238" t="s">
        <v>145</v>
      </c>
      <c r="D9" s="239" t="s">
        <v>73</v>
      </c>
      <c r="E9" s="240">
        <v>15</v>
      </c>
      <c r="F9" s="241">
        <v>9346.8799999999992</v>
      </c>
      <c r="G9" s="242">
        <v>0</v>
      </c>
      <c r="H9" s="243">
        <f t="shared" ref="H9:H15" si="0">SUM(F9:G9)</f>
        <v>9346.8799999999992</v>
      </c>
      <c r="I9" s="244">
        <f>IF(F9/15&lt;=123.22,G9,G9/2)</f>
        <v>0</v>
      </c>
      <c r="J9" s="244">
        <f>F9+I9</f>
        <v>9346.8799999999992</v>
      </c>
      <c r="K9" s="244">
        <f t="shared" ref="K9:K21" si="1">VLOOKUP(J9,Tarifa1,1)</f>
        <v>5925.91</v>
      </c>
      <c r="L9" s="244">
        <f>J9-K9</f>
        <v>3420.9699999999993</v>
      </c>
      <c r="M9" s="245">
        <f t="shared" ref="M9:M21" si="2">VLOOKUP(J9,Tarifa1,3)</f>
        <v>0.21360000000000001</v>
      </c>
      <c r="N9" s="244">
        <f>L9*M9</f>
        <v>730.71919199999991</v>
      </c>
      <c r="O9" s="246">
        <f t="shared" ref="O9:O21" si="3">VLOOKUP(J9,Tarifa1,2)</f>
        <v>627.6</v>
      </c>
      <c r="P9" s="244">
        <f>N9+O9</f>
        <v>1358.3191919999999</v>
      </c>
      <c r="Q9" s="244">
        <f t="shared" ref="Q9:Q21" si="4">VLOOKUP(J9,Credito1,2)</f>
        <v>0</v>
      </c>
      <c r="R9" s="244">
        <f>P9-Q9</f>
        <v>1358.3191919999999</v>
      </c>
      <c r="S9" s="243">
        <f t="shared" ref="S9:S11" si="5">-IF(R9&gt;0,0,R9)</f>
        <v>0</v>
      </c>
      <c r="T9" s="243">
        <f t="shared" ref="T9:T11" si="6">IF(R9&lt;0,0,R9)</f>
        <v>1358.3191919999999</v>
      </c>
      <c r="U9" s="243">
        <f>SUM(T9:T9)</f>
        <v>1358.3191919999999</v>
      </c>
      <c r="V9" s="243">
        <f>H9+S9-U9</f>
        <v>7988.5608079999993</v>
      </c>
      <c r="W9" s="121"/>
      <c r="X9" s="4"/>
    </row>
    <row r="10" spans="1:25" s="188" customFormat="1" ht="65.099999999999994" customHeight="1" x14ac:dyDescent="0.2">
      <c r="A10" s="237"/>
      <c r="B10" s="238" t="s">
        <v>327</v>
      </c>
      <c r="C10" s="238" t="s">
        <v>145</v>
      </c>
      <c r="D10" s="239" t="s">
        <v>94</v>
      </c>
      <c r="E10" s="240">
        <v>15</v>
      </c>
      <c r="F10" s="241">
        <v>7636.04</v>
      </c>
      <c r="G10" s="242">
        <v>0</v>
      </c>
      <c r="H10" s="243">
        <f t="shared" si="0"/>
        <v>7636.04</v>
      </c>
      <c r="I10" s="244">
        <f t="shared" ref="I10:I14" si="7">IF(F10/15&lt;=123.22,G10,G10/2)</f>
        <v>0</v>
      </c>
      <c r="J10" s="244">
        <f t="shared" ref="J10:J14" si="8">F10+I10</f>
        <v>7636.04</v>
      </c>
      <c r="K10" s="244">
        <f t="shared" si="1"/>
        <v>5925.91</v>
      </c>
      <c r="L10" s="244">
        <f t="shared" ref="L10:L14" si="9">J10-K10</f>
        <v>1710.13</v>
      </c>
      <c r="M10" s="245">
        <f t="shared" si="2"/>
        <v>0.21360000000000001</v>
      </c>
      <c r="N10" s="244">
        <f t="shared" ref="N10:N14" si="10">L10*M10</f>
        <v>365.28376800000007</v>
      </c>
      <c r="O10" s="246">
        <f t="shared" si="3"/>
        <v>627.6</v>
      </c>
      <c r="P10" s="244">
        <f t="shared" ref="P10:P14" si="11">N10+O10</f>
        <v>992.88376800000015</v>
      </c>
      <c r="Q10" s="244">
        <f t="shared" si="4"/>
        <v>0</v>
      </c>
      <c r="R10" s="244">
        <f t="shared" ref="R10:R14" si="12">P10-Q10</f>
        <v>992.88376800000015</v>
      </c>
      <c r="S10" s="243">
        <f t="shared" si="5"/>
        <v>0</v>
      </c>
      <c r="T10" s="243">
        <f t="shared" si="6"/>
        <v>992.88376800000015</v>
      </c>
      <c r="U10" s="243">
        <f>SUM(T10:T10)</f>
        <v>992.88376800000015</v>
      </c>
      <c r="V10" s="243">
        <f>H10+S10-U10</f>
        <v>6643.1562319999994</v>
      </c>
      <c r="W10" s="121"/>
      <c r="X10" s="4"/>
    </row>
    <row r="11" spans="1:25" s="188" customFormat="1" ht="65.099999999999994" customHeight="1" x14ac:dyDescent="0.2">
      <c r="A11" s="237"/>
      <c r="B11" s="238" t="s">
        <v>350</v>
      </c>
      <c r="C11" s="238" t="s">
        <v>145</v>
      </c>
      <c r="D11" s="239" t="s">
        <v>94</v>
      </c>
      <c r="E11" s="240">
        <v>15</v>
      </c>
      <c r="F11" s="241">
        <v>7636.04</v>
      </c>
      <c r="G11" s="242">
        <v>0</v>
      </c>
      <c r="H11" s="243">
        <f t="shared" si="0"/>
        <v>7636.04</v>
      </c>
      <c r="I11" s="244">
        <f t="shared" si="7"/>
        <v>0</v>
      </c>
      <c r="J11" s="244">
        <f t="shared" si="8"/>
        <v>7636.04</v>
      </c>
      <c r="K11" s="244">
        <f t="shared" si="1"/>
        <v>5925.91</v>
      </c>
      <c r="L11" s="244">
        <f t="shared" si="9"/>
        <v>1710.13</v>
      </c>
      <c r="M11" s="245">
        <f t="shared" si="2"/>
        <v>0.21360000000000001</v>
      </c>
      <c r="N11" s="244">
        <f t="shared" si="10"/>
        <v>365.28376800000007</v>
      </c>
      <c r="O11" s="246">
        <f t="shared" si="3"/>
        <v>627.6</v>
      </c>
      <c r="P11" s="244">
        <f t="shared" si="11"/>
        <v>992.88376800000015</v>
      </c>
      <c r="Q11" s="244">
        <f t="shared" si="4"/>
        <v>0</v>
      </c>
      <c r="R11" s="244">
        <f t="shared" si="12"/>
        <v>992.88376800000015</v>
      </c>
      <c r="S11" s="243">
        <f t="shared" si="5"/>
        <v>0</v>
      </c>
      <c r="T11" s="243">
        <f t="shared" si="6"/>
        <v>992.88376800000015</v>
      </c>
      <c r="U11" s="243">
        <f>SUM(T11:T11)</f>
        <v>992.88376800000015</v>
      </c>
      <c r="V11" s="243">
        <f>H11+S11-U11</f>
        <v>6643.1562319999994</v>
      </c>
      <c r="W11" s="121"/>
      <c r="X11" s="4"/>
    </row>
    <row r="12" spans="1:25" s="188" customFormat="1" ht="65.099999999999994" customHeight="1" x14ac:dyDescent="0.2">
      <c r="A12" s="267"/>
      <c r="B12" s="238" t="s">
        <v>129</v>
      </c>
      <c r="C12" s="238" t="s">
        <v>145</v>
      </c>
      <c r="D12" s="239" t="s">
        <v>95</v>
      </c>
      <c r="E12" s="240">
        <v>15</v>
      </c>
      <c r="F12" s="241">
        <v>6922.63</v>
      </c>
      <c r="G12" s="242">
        <v>0</v>
      </c>
      <c r="H12" s="243">
        <f t="shared" si="0"/>
        <v>6922.63</v>
      </c>
      <c r="I12" s="244">
        <f t="shared" si="7"/>
        <v>0</v>
      </c>
      <c r="J12" s="244">
        <f t="shared" si="8"/>
        <v>6922.63</v>
      </c>
      <c r="K12" s="244">
        <f t="shared" si="1"/>
        <v>5925.91</v>
      </c>
      <c r="L12" s="244">
        <f t="shared" si="9"/>
        <v>996.72000000000025</v>
      </c>
      <c r="M12" s="245">
        <f t="shared" si="2"/>
        <v>0.21360000000000001</v>
      </c>
      <c r="N12" s="244">
        <f t="shared" si="10"/>
        <v>212.89939200000006</v>
      </c>
      <c r="O12" s="246">
        <f t="shared" si="3"/>
        <v>627.6</v>
      </c>
      <c r="P12" s="244">
        <f t="shared" si="11"/>
        <v>840.49939200000006</v>
      </c>
      <c r="Q12" s="244">
        <f t="shared" si="4"/>
        <v>0</v>
      </c>
      <c r="R12" s="244">
        <f t="shared" si="12"/>
        <v>840.49939200000006</v>
      </c>
      <c r="S12" s="243">
        <f t="shared" ref="S12:S16" si="13">-IF(R12&gt;0,0,R12)</f>
        <v>0</v>
      </c>
      <c r="T12" s="243">
        <f t="shared" ref="T12:T16" si="14">IF(R12&lt;0,0,R12)</f>
        <v>840.49939200000006</v>
      </c>
      <c r="U12" s="243">
        <f>SUM(T12:T12)</f>
        <v>840.49939200000006</v>
      </c>
      <c r="V12" s="243">
        <f>H12+S12-U12</f>
        <v>6082.1306080000004</v>
      </c>
      <c r="W12" s="122"/>
      <c r="X12" s="4"/>
    </row>
    <row r="13" spans="1:25" s="188" customFormat="1" ht="65.099999999999994" customHeight="1" x14ac:dyDescent="0.2">
      <c r="A13" s="267"/>
      <c r="B13" s="238" t="s">
        <v>315</v>
      </c>
      <c r="C13" s="238" t="s">
        <v>145</v>
      </c>
      <c r="D13" s="239" t="s">
        <v>95</v>
      </c>
      <c r="E13" s="240">
        <v>15</v>
      </c>
      <c r="F13" s="241">
        <v>6922.63</v>
      </c>
      <c r="G13" s="242">
        <v>0</v>
      </c>
      <c r="H13" s="243">
        <f t="shared" si="0"/>
        <v>6922.63</v>
      </c>
      <c r="I13" s="244">
        <f t="shared" si="7"/>
        <v>0</v>
      </c>
      <c r="J13" s="244">
        <f t="shared" si="8"/>
        <v>6922.63</v>
      </c>
      <c r="K13" s="244">
        <f t="shared" si="1"/>
        <v>5925.91</v>
      </c>
      <c r="L13" s="244">
        <f t="shared" si="9"/>
        <v>996.72000000000025</v>
      </c>
      <c r="M13" s="245">
        <f t="shared" si="2"/>
        <v>0.21360000000000001</v>
      </c>
      <c r="N13" s="244">
        <f t="shared" si="10"/>
        <v>212.89939200000006</v>
      </c>
      <c r="O13" s="246">
        <f t="shared" si="3"/>
        <v>627.6</v>
      </c>
      <c r="P13" s="244">
        <f t="shared" si="11"/>
        <v>840.49939200000006</v>
      </c>
      <c r="Q13" s="244">
        <f t="shared" si="4"/>
        <v>0</v>
      </c>
      <c r="R13" s="244">
        <f t="shared" si="12"/>
        <v>840.49939200000006</v>
      </c>
      <c r="S13" s="243">
        <f t="shared" si="13"/>
        <v>0</v>
      </c>
      <c r="T13" s="243">
        <f t="shared" si="14"/>
        <v>840.49939200000006</v>
      </c>
      <c r="U13" s="243">
        <f>SUM(T13:T13)</f>
        <v>840.49939200000006</v>
      </c>
      <c r="V13" s="243">
        <f>H13+S13-U13</f>
        <v>6082.1306080000004</v>
      </c>
      <c r="W13" s="122"/>
      <c r="X13" s="4"/>
    </row>
    <row r="14" spans="1:25" s="188" customFormat="1" ht="65.099999999999994" customHeight="1" x14ac:dyDescent="0.2">
      <c r="A14" s="267"/>
      <c r="B14" s="238" t="s">
        <v>326</v>
      </c>
      <c r="C14" s="238" t="s">
        <v>145</v>
      </c>
      <c r="D14" s="239" t="s">
        <v>95</v>
      </c>
      <c r="E14" s="240">
        <v>15</v>
      </c>
      <c r="F14" s="241">
        <v>6922.63</v>
      </c>
      <c r="G14" s="242">
        <v>0</v>
      </c>
      <c r="H14" s="243">
        <f t="shared" si="0"/>
        <v>6922.63</v>
      </c>
      <c r="I14" s="244">
        <f t="shared" si="7"/>
        <v>0</v>
      </c>
      <c r="J14" s="244">
        <f t="shared" si="8"/>
        <v>6922.63</v>
      </c>
      <c r="K14" s="244">
        <f t="shared" si="1"/>
        <v>5925.91</v>
      </c>
      <c r="L14" s="244">
        <f t="shared" si="9"/>
        <v>996.72000000000025</v>
      </c>
      <c r="M14" s="245">
        <f t="shared" si="2"/>
        <v>0.21360000000000001</v>
      </c>
      <c r="N14" s="244">
        <f t="shared" si="10"/>
        <v>212.89939200000006</v>
      </c>
      <c r="O14" s="246">
        <f t="shared" si="3"/>
        <v>627.6</v>
      </c>
      <c r="P14" s="244">
        <f t="shared" si="11"/>
        <v>840.49939200000006</v>
      </c>
      <c r="Q14" s="244">
        <f t="shared" si="4"/>
        <v>0</v>
      </c>
      <c r="R14" s="244">
        <f t="shared" si="12"/>
        <v>840.49939200000006</v>
      </c>
      <c r="S14" s="243">
        <f t="shared" si="13"/>
        <v>0</v>
      </c>
      <c r="T14" s="243">
        <f t="shared" si="14"/>
        <v>840.49939200000006</v>
      </c>
      <c r="U14" s="243">
        <f>SUM(T14:T14)</f>
        <v>840.49939200000006</v>
      </c>
      <c r="V14" s="243">
        <f>H14+S14-U14</f>
        <v>6082.1306080000004</v>
      </c>
      <c r="W14" s="122"/>
      <c r="X14" s="4"/>
    </row>
    <row r="15" spans="1:25" ht="65.099999999999994" customHeight="1" x14ac:dyDescent="0.2">
      <c r="A15" s="267"/>
      <c r="B15" s="238" t="s">
        <v>340</v>
      </c>
      <c r="C15" s="238" t="s">
        <v>145</v>
      </c>
      <c r="D15" s="239" t="s">
        <v>95</v>
      </c>
      <c r="E15" s="240">
        <v>15</v>
      </c>
      <c r="F15" s="241">
        <v>6922.63</v>
      </c>
      <c r="G15" s="242">
        <v>0</v>
      </c>
      <c r="H15" s="243">
        <f t="shared" si="0"/>
        <v>6922.63</v>
      </c>
      <c r="I15" s="244">
        <f t="shared" ref="I15:I21" si="15">IF(F15/15&lt;=123.22,G15,G15/2)</f>
        <v>0</v>
      </c>
      <c r="J15" s="244">
        <f t="shared" ref="J15:J21" si="16">F15+I15</f>
        <v>6922.63</v>
      </c>
      <c r="K15" s="244">
        <f t="shared" si="1"/>
        <v>5925.91</v>
      </c>
      <c r="L15" s="244">
        <f t="shared" ref="L15:L21" si="17">J15-K15</f>
        <v>996.72000000000025</v>
      </c>
      <c r="M15" s="245">
        <f t="shared" si="2"/>
        <v>0.21360000000000001</v>
      </c>
      <c r="N15" s="244">
        <f t="shared" ref="N15:N21" si="18">L15*M15</f>
        <v>212.89939200000006</v>
      </c>
      <c r="O15" s="246">
        <f t="shared" si="3"/>
        <v>627.6</v>
      </c>
      <c r="P15" s="244">
        <f t="shared" ref="P15:P21" si="19">N15+O15</f>
        <v>840.49939200000006</v>
      </c>
      <c r="Q15" s="244">
        <f t="shared" si="4"/>
        <v>0</v>
      </c>
      <c r="R15" s="244">
        <f t="shared" ref="R15:R21" si="20">P15-Q15</f>
        <v>840.49939200000006</v>
      </c>
      <c r="S15" s="243">
        <f t="shared" si="13"/>
        <v>0</v>
      </c>
      <c r="T15" s="243">
        <f t="shared" si="14"/>
        <v>840.49939200000006</v>
      </c>
      <c r="U15" s="243">
        <f>SUM(T15:T15)</f>
        <v>840.49939200000006</v>
      </c>
      <c r="V15" s="243">
        <f>H15+S15-U15</f>
        <v>6082.1306080000004</v>
      </c>
      <c r="W15" s="122"/>
      <c r="X15" s="4"/>
    </row>
    <row r="16" spans="1:25" ht="65.099999999999994" customHeight="1" x14ac:dyDescent="0.2">
      <c r="A16" s="267"/>
      <c r="B16" s="268">
        <v>231</v>
      </c>
      <c r="C16" s="238" t="s">
        <v>145</v>
      </c>
      <c r="D16" s="239" t="s">
        <v>95</v>
      </c>
      <c r="E16" s="269">
        <v>15</v>
      </c>
      <c r="F16" s="241">
        <v>6922.63</v>
      </c>
      <c r="G16" s="242">
        <v>0</v>
      </c>
      <c r="H16" s="243">
        <f t="shared" ref="H16" si="21">SUM(F16:G16)</f>
        <v>6922.63</v>
      </c>
      <c r="I16" s="244">
        <f t="shared" si="15"/>
        <v>0</v>
      </c>
      <c r="J16" s="244">
        <f t="shared" si="16"/>
        <v>6922.63</v>
      </c>
      <c r="K16" s="244">
        <f t="shared" si="1"/>
        <v>5925.91</v>
      </c>
      <c r="L16" s="244">
        <f t="shared" si="17"/>
        <v>996.72000000000025</v>
      </c>
      <c r="M16" s="245">
        <f t="shared" si="2"/>
        <v>0.21360000000000001</v>
      </c>
      <c r="N16" s="244">
        <f t="shared" si="18"/>
        <v>212.89939200000006</v>
      </c>
      <c r="O16" s="246">
        <f t="shared" si="3"/>
        <v>627.6</v>
      </c>
      <c r="P16" s="244">
        <f t="shared" si="19"/>
        <v>840.49939200000006</v>
      </c>
      <c r="Q16" s="244">
        <f t="shared" si="4"/>
        <v>0</v>
      </c>
      <c r="R16" s="244">
        <f t="shared" si="20"/>
        <v>840.49939200000006</v>
      </c>
      <c r="S16" s="243">
        <f t="shared" si="13"/>
        <v>0</v>
      </c>
      <c r="T16" s="243">
        <f t="shared" si="14"/>
        <v>840.49939200000006</v>
      </c>
      <c r="U16" s="243">
        <f>SUM(T16:T16)</f>
        <v>840.49939200000006</v>
      </c>
      <c r="V16" s="243">
        <f>H16+S16-U16</f>
        <v>6082.1306080000004</v>
      </c>
      <c r="W16" s="122"/>
      <c r="X16" s="4"/>
    </row>
    <row r="17" spans="1:36" ht="65.099999999999994" customHeight="1" x14ac:dyDescent="0.2">
      <c r="A17" s="267"/>
      <c r="B17" s="238" t="s">
        <v>361</v>
      </c>
      <c r="C17" s="238" t="s">
        <v>145</v>
      </c>
      <c r="D17" s="239" t="s">
        <v>95</v>
      </c>
      <c r="E17" s="269">
        <v>15</v>
      </c>
      <c r="F17" s="241">
        <v>6922.63</v>
      </c>
      <c r="G17" s="242">
        <v>0</v>
      </c>
      <c r="H17" s="243">
        <f t="shared" ref="H17:H21" si="22">SUM(F17:G17)</f>
        <v>6922.63</v>
      </c>
      <c r="I17" s="244">
        <f t="shared" si="15"/>
        <v>0</v>
      </c>
      <c r="J17" s="244">
        <f t="shared" si="16"/>
        <v>6922.63</v>
      </c>
      <c r="K17" s="244">
        <f t="shared" si="1"/>
        <v>5925.91</v>
      </c>
      <c r="L17" s="244">
        <f t="shared" si="17"/>
        <v>996.72000000000025</v>
      </c>
      <c r="M17" s="245">
        <f t="shared" si="2"/>
        <v>0.21360000000000001</v>
      </c>
      <c r="N17" s="244">
        <f t="shared" si="18"/>
        <v>212.89939200000006</v>
      </c>
      <c r="O17" s="246">
        <f t="shared" si="3"/>
        <v>627.6</v>
      </c>
      <c r="P17" s="244">
        <f t="shared" si="19"/>
        <v>840.49939200000006</v>
      </c>
      <c r="Q17" s="244">
        <f t="shared" si="4"/>
        <v>0</v>
      </c>
      <c r="R17" s="244">
        <f t="shared" si="20"/>
        <v>840.49939200000006</v>
      </c>
      <c r="S17" s="243">
        <f t="shared" ref="S17:S21" si="23">-IF(R17&gt;0,0,R17)</f>
        <v>0</v>
      </c>
      <c r="T17" s="243">
        <f t="shared" ref="T17:T21" si="24">IF(R17&lt;0,0,R17)</f>
        <v>840.49939200000006</v>
      </c>
      <c r="U17" s="243">
        <f>SUM(T17:T17)</f>
        <v>840.49939200000006</v>
      </c>
      <c r="V17" s="243">
        <f>H17+S17-U17</f>
        <v>6082.1306080000004</v>
      </c>
      <c r="W17" s="122"/>
      <c r="X17" s="4"/>
    </row>
    <row r="18" spans="1:36" ht="65.099999999999994" customHeight="1" x14ac:dyDescent="0.2">
      <c r="A18" s="267"/>
      <c r="B18" s="238" t="s">
        <v>365</v>
      </c>
      <c r="C18" s="238" t="s">
        <v>145</v>
      </c>
      <c r="D18" s="239" t="s">
        <v>95</v>
      </c>
      <c r="E18" s="240">
        <v>15</v>
      </c>
      <c r="F18" s="241">
        <v>6922.63</v>
      </c>
      <c r="G18" s="242">
        <v>0</v>
      </c>
      <c r="H18" s="243">
        <f t="shared" ref="H18" si="25">SUM(F18:G18)</f>
        <v>6922.63</v>
      </c>
      <c r="I18" s="244">
        <f t="shared" ref="I18:I20" si="26">IF(F18/15&lt;=123.22,G18,G18/2)</f>
        <v>0</v>
      </c>
      <c r="J18" s="244">
        <f t="shared" ref="J18:J20" si="27">F18+I18</f>
        <v>6922.63</v>
      </c>
      <c r="K18" s="244">
        <f t="shared" ref="K18:K20" si="28">VLOOKUP(J18,Tarifa1,1)</f>
        <v>5925.91</v>
      </c>
      <c r="L18" s="244">
        <f t="shared" ref="L18:L20" si="29">J18-K18</f>
        <v>996.72000000000025</v>
      </c>
      <c r="M18" s="245">
        <f t="shared" ref="M18:M20" si="30">VLOOKUP(J18,Tarifa1,3)</f>
        <v>0.21360000000000001</v>
      </c>
      <c r="N18" s="244">
        <f t="shared" ref="N18:N20" si="31">L18*M18</f>
        <v>212.89939200000006</v>
      </c>
      <c r="O18" s="246">
        <f t="shared" ref="O18:O20" si="32">VLOOKUP(J18,Tarifa1,2)</f>
        <v>627.6</v>
      </c>
      <c r="P18" s="244">
        <f t="shared" ref="P18:P20" si="33">N18+O18</f>
        <v>840.49939200000006</v>
      </c>
      <c r="Q18" s="244">
        <f t="shared" ref="Q18:Q20" si="34">VLOOKUP(J18,Credito1,2)</f>
        <v>0</v>
      </c>
      <c r="R18" s="244">
        <f t="shared" ref="R18:R20" si="35">P18-Q18</f>
        <v>840.49939200000006</v>
      </c>
      <c r="S18" s="243">
        <f t="shared" ref="S18:S20" si="36">-IF(R18&gt;0,0,R18)</f>
        <v>0</v>
      </c>
      <c r="T18" s="243">
        <f t="shared" ref="T18:T20" si="37">IF(R18&lt;0,0,R18)</f>
        <v>840.49939200000006</v>
      </c>
      <c r="U18" s="243">
        <f>SUM(T18:T18)</f>
        <v>840.49939200000006</v>
      </c>
      <c r="V18" s="243">
        <f>H18+S18-U18</f>
        <v>6082.1306080000004</v>
      </c>
      <c r="W18" s="122"/>
      <c r="X18" s="4"/>
    </row>
    <row r="19" spans="1:36" ht="65.099999999999994" customHeight="1" x14ac:dyDescent="0.2">
      <c r="A19" s="267"/>
      <c r="B19" s="238" t="s">
        <v>366</v>
      </c>
      <c r="C19" s="238" t="s">
        <v>145</v>
      </c>
      <c r="D19" s="239" t="s">
        <v>95</v>
      </c>
      <c r="E19" s="240">
        <v>15</v>
      </c>
      <c r="F19" s="241">
        <v>6922.63</v>
      </c>
      <c r="G19" s="242">
        <v>0</v>
      </c>
      <c r="H19" s="243">
        <f t="shared" ref="H19:H20" si="38">SUM(F19:G19)</f>
        <v>6922.63</v>
      </c>
      <c r="I19" s="244">
        <f t="shared" si="26"/>
        <v>0</v>
      </c>
      <c r="J19" s="244">
        <f t="shared" si="27"/>
        <v>6922.63</v>
      </c>
      <c r="K19" s="244">
        <f t="shared" si="28"/>
        <v>5925.91</v>
      </c>
      <c r="L19" s="244">
        <f t="shared" si="29"/>
        <v>996.72000000000025</v>
      </c>
      <c r="M19" s="245">
        <f t="shared" si="30"/>
        <v>0.21360000000000001</v>
      </c>
      <c r="N19" s="244">
        <f t="shared" si="31"/>
        <v>212.89939200000006</v>
      </c>
      <c r="O19" s="246">
        <f t="shared" si="32"/>
        <v>627.6</v>
      </c>
      <c r="P19" s="244">
        <f t="shared" si="33"/>
        <v>840.49939200000006</v>
      </c>
      <c r="Q19" s="244">
        <f t="shared" si="34"/>
        <v>0</v>
      </c>
      <c r="R19" s="244">
        <f t="shared" si="35"/>
        <v>840.49939200000006</v>
      </c>
      <c r="S19" s="243">
        <f t="shared" si="36"/>
        <v>0</v>
      </c>
      <c r="T19" s="243">
        <f t="shared" si="37"/>
        <v>840.49939200000006</v>
      </c>
      <c r="U19" s="243">
        <f>SUM(T19:T19)</f>
        <v>840.49939200000006</v>
      </c>
      <c r="V19" s="243">
        <f>H19+S19-U19</f>
        <v>6082.1306080000004</v>
      </c>
      <c r="W19" s="122"/>
      <c r="X19" s="4"/>
    </row>
    <row r="20" spans="1:36" ht="65.099999999999994" customHeight="1" x14ac:dyDescent="0.2">
      <c r="A20" s="267"/>
      <c r="B20" s="238" t="s">
        <v>372</v>
      </c>
      <c r="C20" s="238" t="s">
        <v>145</v>
      </c>
      <c r="D20" s="239" t="s">
        <v>95</v>
      </c>
      <c r="E20" s="240">
        <v>15</v>
      </c>
      <c r="F20" s="241">
        <v>6922.63</v>
      </c>
      <c r="G20" s="242">
        <v>0</v>
      </c>
      <c r="H20" s="243">
        <f t="shared" si="38"/>
        <v>6922.63</v>
      </c>
      <c r="I20" s="244">
        <f t="shared" si="26"/>
        <v>0</v>
      </c>
      <c r="J20" s="244">
        <f t="shared" si="27"/>
        <v>6922.63</v>
      </c>
      <c r="K20" s="244">
        <f t="shared" si="28"/>
        <v>5925.91</v>
      </c>
      <c r="L20" s="244">
        <f t="shared" si="29"/>
        <v>996.72000000000025</v>
      </c>
      <c r="M20" s="245">
        <f t="shared" si="30"/>
        <v>0.21360000000000001</v>
      </c>
      <c r="N20" s="244">
        <f t="shared" si="31"/>
        <v>212.89939200000006</v>
      </c>
      <c r="O20" s="246">
        <f t="shared" si="32"/>
        <v>627.6</v>
      </c>
      <c r="P20" s="244">
        <f t="shared" si="33"/>
        <v>840.49939200000006</v>
      </c>
      <c r="Q20" s="244">
        <f t="shared" si="34"/>
        <v>0</v>
      </c>
      <c r="R20" s="244">
        <f t="shared" si="35"/>
        <v>840.49939200000006</v>
      </c>
      <c r="S20" s="243">
        <f t="shared" si="36"/>
        <v>0</v>
      </c>
      <c r="T20" s="243">
        <f t="shared" si="37"/>
        <v>840.49939200000006</v>
      </c>
      <c r="U20" s="243">
        <f>SUM(T20:T20)</f>
        <v>840.49939200000006</v>
      </c>
      <c r="V20" s="243">
        <f>H20+S20-U20</f>
        <v>6082.1306080000004</v>
      </c>
      <c r="W20" s="122"/>
      <c r="X20" s="4"/>
    </row>
    <row r="21" spans="1:36" ht="65.099999999999994" customHeight="1" x14ac:dyDescent="0.2">
      <c r="A21" s="267"/>
      <c r="B21" s="238" t="s">
        <v>373</v>
      </c>
      <c r="C21" s="238" t="s">
        <v>145</v>
      </c>
      <c r="D21" s="239" t="s">
        <v>95</v>
      </c>
      <c r="E21" s="240">
        <v>15</v>
      </c>
      <c r="F21" s="241">
        <v>6922.63</v>
      </c>
      <c r="G21" s="242">
        <v>0</v>
      </c>
      <c r="H21" s="243">
        <f t="shared" si="22"/>
        <v>6922.63</v>
      </c>
      <c r="I21" s="244">
        <f t="shared" si="15"/>
        <v>0</v>
      </c>
      <c r="J21" s="244">
        <f t="shared" si="16"/>
        <v>6922.63</v>
      </c>
      <c r="K21" s="244">
        <f t="shared" si="1"/>
        <v>5925.91</v>
      </c>
      <c r="L21" s="244">
        <f t="shared" si="17"/>
        <v>996.72000000000025</v>
      </c>
      <c r="M21" s="245">
        <f t="shared" si="2"/>
        <v>0.21360000000000001</v>
      </c>
      <c r="N21" s="244">
        <f t="shared" si="18"/>
        <v>212.89939200000006</v>
      </c>
      <c r="O21" s="246">
        <f t="shared" si="3"/>
        <v>627.6</v>
      </c>
      <c r="P21" s="244">
        <f t="shared" si="19"/>
        <v>840.49939200000006</v>
      </c>
      <c r="Q21" s="244">
        <f t="shared" si="4"/>
        <v>0</v>
      </c>
      <c r="R21" s="244">
        <f t="shared" si="20"/>
        <v>840.49939200000006</v>
      </c>
      <c r="S21" s="243">
        <f t="shared" si="23"/>
        <v>0</v>
      </c>
      <c r="T21" s="243">
        <f t="shared" si="24"/>
        <v>840.49939200000006</v>
      </c>
      <c r="U21" s="243">
        <f>SUM(T21:T21)</f>
        <v>840.49939200000006</v>
      </c>
      <c r="V21" s="243">
        <f>H21+S21-U21</f>
        <v>6082.1306080000004</v>
      </c>
      <c r="W21" s="122"/>
      <c r="X21" s="4"/>
    </row>
    <row r="22" spans="1:36" ht="38.1" customHeight="1" thickBot="1" x14ac:dyDescent="0.3">
      <c r="A22" s="332" t="s">
        <v>45</v>
      </c>
      <c r="B22" s="333"/>
      <c r="C22" s="333"/>
      <c r="D22" s="333"/>
      <c r="E22" s="333"/>
      <c r="F22" s="247">
        <f>SUM(F9:F21)</f>
        <v>93845.260000000009</v>
      </c>
      <c r="G22" s="247">
        <f>SUM(G9:G21)</f>
        <v>0</v>
      </c>
      <c r="H22" s="247">
        <f>SUM(H9:H21)</f>
        <v>93845.260000000009</v>
      </c>
      <c r="I22" s="248">
        <f t="shared" ref="I22:R22" si="39">SUM(I9:I16)</f>
        <v>0</v>
      </c>
      <c r="J22" s="248">
        <f t="shared" si="39"/>
        <v>59232.109999999993</v>
      </c>
      <c r="K22" s="248">
        <f t="shared" si="39"/>
        <v>47407.28</v>
      </c>
      <c r="L22" s="248">
        <f t="shared" si="39"/>
        <v>11824.830000000002</v>
      </c>
      <c r="M22" s="248">
        <f t="shared" si="39"/>
        <v>1.7088000000000001</v>
      </c>
      <c r="N22" s="248">
        <f t="shared" si="39"/>
        <v>2525.7836880000009</v>
      </c>
      <c r="O22" s="248">
        <f t="shared" si="39"/>
        <v>5020.8</v>
      </c>
      <c r="P22" s="248">
        <f t="shared" si="39"/>
        <v>7546.5836879999988</v>
      </c>
      <c r="Q22" s="248">
        <f t="shared" si="39"/>
        <v>0</v>
      </c>
      <c r="R22" s="248">
        <f t="shared" si="39"/>
        <v>7546.5836879999988</v>
      </c>
      <c r="S22" s="247">
        <f>SUM(S9:S21)</f>
        <v>0</v>
      </c>
      <c r="T22" s="247">
        <f>SUM(T9:T21)</f>
        <v>11749.080647999997</v>
      </c>
      <c r="U22" s="247">
        <f>SUM(U9:U21)</f>
        <v>11749.080647999997</v>
      </c>
      <c r="V22" s="247">
        <f>SUM(V9:V21)</f>
        <v>82096.179352000006</v>
      </c>
      <c r="W22" s="4"/>
      <c r="X22" s="4"/>
    </row>
    <row r="23" spans="1:36" ht="13.5" thickTop="1" x14ac:dyDescent="0.2"/>
    <row r="29" spans="1:36" x14ac:dyDescent="0.2">
      <c r="G29" s="114"/>
    </row>
    <row r="30" spans="1:36" x14ac:dyDescent="0.2">
      <c r="D30" s="115"/>
      <c r="E30" s="115"/>
      <c r="F30" s="115"/>
      <c r="G30" s="115"/>
      <c r="H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I30" s="115"/>
      <c r="AJ30" s="115"/>
    </row>
  </sheetData>
  <mergeCells count="7">
    <mergeCell ref="A22:E22"/>
    <mergeCell ref="A1:W1"/>
    <mergeCell ref="A2:W2"/>
    <mergeCell ref="F5:H5"/>
    <mergeCell ref="K5:P5"/>
    <mergeCell ref="T5:U5"/>
    <mergeCell ref="B3:W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30"/>
  <sheetViews>
    <sheetView tabSelected="1" topLeftCell="B1" zoomScale="75" zoomScaleNormal="75" workbookViewId="0">
      <selection activeCell="Z12" sqref="Z12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19.5703125" style="91" customWidth="1"/>
    <col min="6" max="6" width="6.5703125" style="91" hidden="1" customWidth="1"/>
    <col min="7" max="7" width="10" style="91" hidden="1" customWidth="1"/>
    <col min="8" max="8" width="12.7109375" style="91" customWidth="1"/>
    <col min="9" max="9" width="11.85546875" style="91" customWidth="1"/>
    <col min="10" max="10" width="12.7109375" style="9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8" width="10.42578125" style="91" hidden="1" customWidth="1"/>
    <col min="19" max="19" width="13.140625" style="91" hidden="1" customWidth="1"/>
    <col min="20" max="20" width="11.5703125" style="91" hidden="1" customWidth="1"/>
    <col min="21" max="21" width="9.7109375" style="91" customWidth="1"/>
    <col min="22" max="22" width="11.85546875" style="91" customWidth="1"/>
    <col min="23" max="23" width="11.28515625" style="91" customWidth="1"/>
    <col min="24" max="24" width="12.7109375" style="91" customWidth="1"/>
    <col min="25" max="25" width="73.42578125" style="91" customWidth="1"/>
    <col min="26" max="16384" width="11.42578125" style="91"/>
  </cols>
  <sheetData>
    <row r="1" spans="1:25" ht="18" x14ac:dyDescent="0.25">
      <c r="A1" s="337" t="s">
        <v>92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</row>
    <row r="2" spans="1:25" ht="18" x14ac:dyDescent="0.25">
      <c r="A2" s="337" t="s">
        <v>66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</row>
    <row r="3" spans="1:25" ht="15" x14ac:dyDescent="0.2">
      <c r="A3" s="307" t="s">
        <v>391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</row>
    <row r="4" spans="1:25" ht="15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15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x14ac:dyDescent="0.2">
      <c r="A6" s="92"/>
      <c r="B6" s="92"/>
      <c r="C6" s="92"/>
      <c r="D6" s="92"/>
      <c r="E6" s="92"/>
      <c r="F6" s="93" t="s">
        <v>23</v>
      </c>
      <c r="G6" s="93" t="s">
        <v>6</v>
      </c>
      <c r="H6" s="338" t="s">
        <v>1</v>
      </c>
      <c r="I6" s="339"/>
      <c r="J6" s="340"/>
      <c r="K6" s="94" t="s">
        <v>26</v>
      </c>
      <c r="L6" s="95"/>
      <c r="M6" s="341" t="s">
        <v>9</v>
      </c>
      <c r="N6" s="342"/>
      <c r="O6" s="342"/>
      <c r="P6" s="342"/>
      <c r="Q6" s="342"/>
      <c r="R6" s="343"/>
      <c r="S6" s="94" t="s">
        <v>30</v>
      </c>
      <c r="T6" s="94" t="s">
        <v>10</v>
      </c>
      <c r="U6" s="93" t="s">
        <v>54</v>
      </c>
      <c r="V6" s="344" t="s">
        <v>2</v>
      </c>
      <c r="W6" s="345"/>
      <c r="X6" s="93" t="s">
        <v>0</v>
      </c>
      <c r="Y6" s="96"/>
    </row>
    <row r="7" spans="1:25" ht="22.5" x14ac:dyDescent="0.2">
      <c r="A7" s="97" t="s">
        <v>21</v>
      </c>
      <c r="B7" s="98" t="s">
        <v>123</v>
      </c>
      <c r="C7" s="98" t="s">
        <v>146</v>
      </c>
      <c r="D7" s="97" t="s">
        <v>22</v>
      </c>
      <c r="E7" s="97"/>
      <c r="F7" s="99" t="s">
        <v>24</v>
      </c>
      <c r="G7" s="97" t="s">
        <v>25</v>
      </c>
      <c r="H7" s="93" t="s">
        <v>6</v>
      </c>
      <c r="I7" s="93" t="s">
        <v>59</v>
      </c>
      <c r="J7" s="93" t="s">
        <v>28</v>
      </c>
      <c r="K7" s="100" t="s">
        <v>27</v>
      </c>
      <c r="L7" s="95" t="s">
        <v>32</v>
      </c>
      <c r="M7" s="95" t="s">
        <v>12</v>
      </c>
      <c r="N7" s="95" t="s">
        <v>34</v>
      </c>
      <c r="O7" s="95" t="s">
        <v>36</v>
      </c>
      <c r="P7" s="95" t="s">
        <v>37</v>
      </c>
      <c r="Q7" s="95" t="s">
        <v>14</v>
      </c>
      <c r="R7" s="95" t="s">
        <v>10</v>
      </c>
      <c r="S7" s="100" t="s">
        <v>40</v>
      </c>
      <c r="T7" s="100" t="s">
        <v>41</v>
      </c>
      <c r="U7" s="97" t="s">
        <v>31</v>
      </c>
      <c r="V7" s="93" t="s">
        <v>3</v>
      </c>
      <c r="W7" s="93" t="s">
        <v>7</v>
      </c>
      <c r="X7" s="97" t="s">
        <v>4</v>
      </c>
      <c r="Y7" s="101" t="s">
        <v>58</v>
      </c>
    </row>
    <row r="8" spans="1:25" x14ac:dyDescent="0.2">
      <c r="A8" s="102"/>
      <c r="B8" s="97"/>
      <c r="C8" s="97"/>
      <c r="D8" s="97"/>
      <c r="E8" s="97"/>
      <c r="F8" s="97"/>
      <c r="G8" s="97"/>
      <c r="H8" s="97" t="s">
        <v>47</v>
      </c>
      <c r="I8" s="97" t="s">
        <v>60</v>
      </c>
      <c r="J8" s="97" t="s">
        <v>29</v>
      </c>
      <c r="K8" s="100" t="s">
        <v>43</v>
      </c>
      <c r="L8" s="94" t="s">
        <v>33</v>
      </c>
      <c r="M8" s="94" t="s">
        <v>13</v>
      </c>
      <c r="N8" s="94" t="s">
        <v>35</v>
      </c>
      <c r="O8" s="94" t="s">
        <v>35</v>
      </c>
      <c r="P8" s="94" t="s">
        <v>38</v>
      </c>
      <c r="Q8" s="94" t="s">
        <v>15</v>
      </c>
      <c r="R8" s="94" t="s">
        <v>39</v>
      </c>
      <c r="S8" s="100" t="s">
        <v>19</v>
      </c>
      <c r="T8" s="103" t="s">
        <v>169</v>
      </c>
      <c r="U8" s="97" t="s">
        <v>53</v>
      </c>
      <c r="V8" s="97"/>
      <c r="W8" s="97" t="s">
        <v>44</v>
      </c>
      <c r="X8" s="97" t="s">
        <v>5</v>
      </c>
      <c r="Y8" s="104"/>
    </row>
    <row r="9" spans="1:25" ht="15" x14ac:dyDescent="0.25">
      <c r="A9" s="105"/>
      <c r="B9" s="106"/>
      <c r="C9" s="106"/>
      <c r="D9" s="45" t="s">
        <v>186</v>
      </c>
      <c r="E9" s="107" t="s">
        <v>62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8"/>
    </row>
    <row r="10" spans="1:25" s="188" customFormat="1" ht="75" customHeight="1" x14ac:dyDescent="0.2">
      <c r="A10" s="60" t="s">
        <v>100</v>
      </c>
      <c r="B10" s="62" t="s">
        <v>189</v>
      </c>
      <c r="C10" s="62" t="s">
        <v>145</v>
      </c>
      <c r="D10" s="177" t="s">
        <v>179</v>
      </c>
      <c r="E10" s="177" t="s">
        <v>182</v>
      </c>
      <c r="F10" s="167">
        <v>15</v>
      </c>
      <c r="G10" s="168">
        <f>H10/F10</f>
        <v>598.92466666666667</v>
      </c>
      <c r="H10" s="119">
        <v>8983.8700000000008</v>
      </c>
      <c r="I10" s="126">
        <v>0</v>
      </c>
      <c r="J10" s="127">
        <f>H10</f>
        <v>8983.8700000000008</v>
      </c>
      <c r="K10" s="172">
        <f>IF(H10/15&lt;=123.22,I10,I10/2)</f>
        <v>0</v>
      </c>
      <c r="L10" s="172">
        <f>H10+K10</f>
        <v>8983.8700000000008</v>
      </c>
      <c r="M10" s="172">
        <f t="shared" ref="M10:M15" si="0">VLOOKUP(L10,Tarifa1,1)</f>
        <v>5925.91</v>
      </c>
      <c r="N10" s="172">
        <f>L10-M10</f>
        <v>3057.9600000000009</v>
      </c>
      <c r="O10" s="173">
        <f t="shared" ref="O10:O15" si="1">VLOOKUP(L10,Tarifa1,3)</f>
        <v>0.21360000000000001</v>
      </c>
      <c r="P10" s="172">
        <f>N10*O10</f>
        <v>653.18025600000021</v>
      </c>
      <c r="Q10" s="174">
        <f t="shared" ref="Q10:Q15" si="2">VLOOKUP(L10,Tarifa1,2)</f>
        <v>627.6</v>
      </c>
      <c r="R10" s="172">
        <f>P10+Q10</f>
        <v>1280.7802560000002</v>
      </c>
      <c r="S10" s="172">
        <f t="shared" ref="S10:S15" si="3">VLOOKUP(L10,Credito1,2)</f>
        <v>0</v>
      </c>
      <c r="T10" s="172">
        <f>R10-S10</f>
        <v>1280.7802560000002</v>
      </c>
      <c r="U10" s="127">
        <f>-IF(T10&gt;0,0,T10)</f>
        <v>0</v>
      </c>
      <c r="V10" s="127">
        <f t="shared" ref="V10:V15" si="4">IF(T10&lt;0,0,T10)</f>
        <v>1280.7802560000002</v>
      </c>
      <c r="W10" s="127">
        <f>SUM(V10:V10)</f>
        <v>1280.7802560000002</v>
      </c>
      <c r="X10" s="127">
        <f>J10+U10-W10+I10</f>
        <v>7703.0897440000008</v>
      </c>
      <c r="Y10" s="166"/>
    </row>
    <row r="11" spans="1:25" s="188" customFormat="1" ht="75" customHeight="1" x14ac:dyDescent="0.2">
      <c r="A11" s="60"/>
      <c r="B11" s="138" t="s">
        <v>285</v>
      </c>
      <c r="C11" s="62" t="s">
        <v>145</v>
      </c>
      <c r="D11" s="177" t="s">
        <v>257</v>
      </c>
      <c r="E11" s="177" t="s">
        <v>182</v>
      </c>
      <c r="F11" s="167"/>
      <c r="G11" s="168"/>
      <c r="H11" s="119">
        <v>8983.8700000000008</v>
      </c>
      <c r="I11" s="126">
        <v>0</v>
      </c>
      <c r="J11" s="127">
        <f>H11</f>
        <v>8983.8700000000008</v>
      </c>
      <c r="K11" s="172">
        <f t="shared" ref="K11:K14" si="5">IF(H11/15&lt;=123.22,I11,I11/2)</f>
        <v>0</v>
      </c>
      <c r="L11" s="172">
        <f t="shared" ref="L11:L14" si="6">H11+K11</f>
        <v>8983.8700000000008</v>
      </c>
      <c r="M11" s="172">
        <f t="shared" si="0"/>
        <v>5925.91</v>
      </c>
      <c r="N11" s="172">
        <f t="shared" ref="N11:N14" si="7">L11-M11</f>
        <v>3057.9600000000009</v>
      </c>
      <c r="O11" s="173">
        <f t="shared" si="1"/>
        <v>0.21360000000000001</v>
      </c>
      <c r="P11" s="172">
        <f t="shared" ref="P11:P14" si="8">N11*O11</f>
        <v>653.18025600000021</v>
      </c>
      <c r="Q11" s="174">
        <f t="shared" si="2"/>
        <v>627.6</v>
      </c>
      <c r="R11" s="172">
        <f t="shared" ref="R11:R14" si="9">P11+Q11</f>
        <v>1280.7802560000002</v>
      </c>
      <c r="S11" s="172">
        <f t="shared" si="3"/>
        <v>0</v>
      </c>
      <c r="T11" s="172">
        <f t="shared" ref="T11:T14" si="10">R11-S11</f>
        <v>1280.7802560000002</v>
      </c>
      <c r="U11" s="127">
        <f>-IF(T11&gt;0,0,T11)</f>
        <v>0</v>
      </c>
      <c r="V11" s="127">
        <f t="shared" si="4"/>
        <v>1280.7802560000002</v>
      </c>
      <c r="W11" s="127">
        <f>SUM(V11:V11)</f>
        <v>1280.7802560000002</v>
      </c>
      <c r="X11" s="127">
        <f>J11+U11-W11+I11</f>
        <v>7703.0897440000008</v>
      </c>
      <c r="Y11" s="166"/>
    </row>
    <row r="12" spans="1:25" s="188" customFormat="1" ht="75" customHeight="1" x14ac:dyDescent="0.2">
      <c r="A12" s="60" t="s">
        <v>103</v>
      </c>
      <c r="B12" s="62" t="s">
        <v>190</v>
      </c>
      <c r="C12" s="62" t="s">
        <v>145</v>
      </c>
      <c r="D12" s="187" t="s">
        <v>281</v>
      </c>
      <c r="E12" s="166" t="s">
        <v>183</v>
      </c>
      <c r="F12" s="167">
        <v>15</v>
      </c>
      <c r="G12" s="168">
        <f>H12/F12</f>
        <v>375.8846666666667</v>
      </c>
      <c r="H12" s="169">
        <v>5638.27</v>
      </c>
      <c r="I12" s="170">
        <v>0</v>
      </c>
      <c r="J12" s="171">
        <f t="shared" ref="J12:J13" si="11">SUM(H12:I12)</f>
        <v>5638.27</v>
      </c>
      <c r="K12" s="172">
        <f t="shared" si="5"/>
        <v>0</v>
      </c>
      <c r="L12" s="172">
        <f t="shared" si="6"/>
        <v>5638.27</v>
      </c>
      <c r="M12" s="172">
        <f t="shared" si="0"/>
        <v>4949.5600000000004</v>
      </c>
      <c r="N12" s="172">
        <f t="shared" si="7"/>
        <v>688.71</v>
      </c>
      <c r="O12" s="173">
        <f t="shared" si="1"/>
        <v>0.1792</v>
      </c>
      <c r="P12" s="172">
        <f t="shared" si="8"/>
        <v>123.416832</v>
      </c>
      <c r="Q12" s="174">
        <f t="shared" si="2"/>
        <v>452.55</v>
      </c>
      <c r="R12" s="172">
        <f t="shared" si="9"/>
        <v>575.96683200000007</v>
      </c>
      <c r="S12" s="172">
        <f t="shared" si="3"/>
        <v>0</v>
      </c>
      <c r="T12" s="172">
        <f t="shared" si="10"/>
        <v>575.96683200000007</v>
      </c>
      <c r="U12" s="171">
        <f t="shared" ref="U12" si="12">-IF(T12&gt;0,0,T12)</f>
        <v>0</v>
      </c>
      <c r="V12" s="171">
        <f t="shared" si="4"/>
        <v>575.96683200000007</v>
      </c>
      <c r="W12" s="171">
        <f>SUM(V12:V12)</f>
        <v>575.96683200000007</v>
      </c>
      <c r="X12" s="171">
        <f>J12+U12-W12</f>
        <v>5062.3031680000004</v>
      </c>
      <c r="Y12" s="187"/>
    </row>
    <row r="13" spans="1:25" s="188" customFormat="1" ht="75" customHeight="1" x14ac:dyDescent="0.2">
      <c r="A13" s="60"/>
      <c r="B13" s="62" t="s">
        <v>343</v>
      </c>
      <c r="C13" s="62" t="s">
        <v>145</v>
      </c>
      <c r="D13" s="187" t="s">
        <v>344</v>
      </c>
      <c r="E13" s="166" t="s">
        <v>183</v>
      </c>
      <c r="F13" s="167"/>
      <c r="G13" s="168"/>
      <c r="H13" s="169">
        <v>5394.6</v>
      </c>
      <c r="I13" s="170">
        <v>0</v>
      </c>
      <c r="J13" s="171">
        <f t="shared" si="11"/>
        <v>5394.6</v>
      </c>
      <c r="K13" s="172">
        <f t="shared" si="5"/>
        <v>0</v>
      </c>
      <c r="L13" s="172">
        <f t="shared" si="6"/>
        <v>5394.6</v>
      </c>
      <c r="M13" s="172">
        <f t="shared" si="0"/>
        <v>4949.5600000000004</v>
      </c>
      <c r="N13" s="172">
        <f t="shared" si="7"/>
        <v>445.03999999999996</v>
      </c>
      <c r="O13" s="173">
        <f t="shared" si="1"/>
        <v>0.1792</v>
      </c>
      <c r="P13" s="172">
        <f t="shared" si="8"/>
        <v>79.751167999999993</v>
      </c>
      <c r="Q13" s="174">
        <f t="shared" si="2"/>
        <v>452.55</v>
      </c>
      <c r="R13" s="172">
        <f t="shared" si="9"/>
        <v>532.30116799999996</v>
      </c>
      <c r="S13" s="172">
        <f t="shared" si="3"/>
        <v>0</v>
      </c>
      <c r="T13" s="172">
        <f t="shared" si="10"/>
        <v>532.30116799999996</v>
      </c>
      <c r="U13" s="171">
        <f t="shared" ref="U13:U14" si="13">-IF(T13&gt;0,0,T13)</f>
        <v>0</v>
      </c>
      <c r="V13" s="171">
        <f t="shared" si="4"/>
        <v>532.30116799999996</v>
      </c>
      <c r="W13" s="171">
        <f>SUM(V13:V13)</f>
        <v>532.30116799999996</v>
      </c>
      <c r="X13" s="171">
        <f>J13+U13-W13</f>
        <v>4862.2988320000004</v>
      </c>
      <c r="Y13" s="187"/>
    </row>
    <row r="14" spans="1:25" s="188" customFormat="1" ht="75" customHeight="1" x14ac:dyDescent="0.2">
      <c r="A14" s="60"/>
      <c r="B14" s="62" t="s">
        <v>383</v>
      </c>
      <c r="C14" s="62" t="s">
        <v>145</v>
      </c>
      <c r="D14" s="187" t="s">
        <v>385</v>
      </c>
      <c r="E14" s="166" t="s">
        <v>183</v>
      </c>
      <c r="F14" s="167"/>
      <c r="G14" s="168"/>
      <c r="H14" s="119">
        <v>2954.72</v>
      </c>
      <c r="I14" s="126">
        <v>0</v>
      </c>
      <c r="J14" s="127">
        <f t="shared" ref="J14" si="14">SUM(H14:I14)</f>
        <v>2954.72</v>
      </c>
      <c r="K14" s="172">
        <f t="shared" si="5"/>
        <v>0</v>
      </c>
      <c r="L14" s="172">
        <f t="shared" si="6"/>
        <v>2954.72</v>
      </c>
      <c r="M14" s="172">
        <f>VLOOKUP(L14,Tarifa1,1)</f>
        <v>2422.81</v>
      </c>
      <c r="N14" s="172">
        <f t="shared" si="7"/>
        <v>531.90999999999985</v>
      </c>
      <c r="O14" s="173">
        <f>VLOOKUP(L14,Tarifa1,3)</f>
        <v>0.10879999999999999</v>
      </c>
      <c r="P14" s="172">
        <f t="shared" si="8"/>
        <v>57.87180799999998</v>
      </c>
      <c r="Q14" s="174">
        <f>VLOOKUP(L14,Tarifa1,2)</f>
        <v>142.19999999999999</v>
      </c>
      <c r="R14" s="172">
        <f t="shared" si="9"/>
        <v>200.07180799999998</v>
      </c>
      <c r="S14" s="172">
        <f>VLOOKUP(L14,Credito1,2)</f>
        <v>145.35</v>
      </c>
      <c r="T14" s="172">
        <f t="shared" si="10"/>
        <v>54.721807999999982</v>
      </c>
      <c r="U14" s="127">
        <f t="shared" si="13"/>
        <v>0</v>
      </c>
      <c r="V14" s="127">
        <f t="shared" si="4"/>
        <v>54.721807999999982</v>
      </c>
      <c r="W14" s="127">
        <f>SUM(V14:V14)</f>
        <v>54.721807999999982</v>
      </c>
      <c r="X14" s="127">
        <f>J14+U14-W14</f>
        <v>2899.998192</v>
      </c>
      <c r="Y14" s="187"/>
    </row>
    <row r="15" spans="1:25" s="188" customFormat="1" ht="75" customHeight="1" x14ac:dyDescent="0.2">
      <c r="A15" s="60" t="s">
        <v>108</v>
      </c>
      <c r="B15" s="62" t="s">
        <v>191</v>
      </c>
      <c r="C15" s="62" t="s">
        <v>232</v>
      </c>
      <c r="D15" s="187" t="s">
        <v>181</v>
      </c>
      <c r="E15" s="177" t="s">
        <v>184</v>
      </c>
      <c r="F15" s="167">
        <v>15</v>
      </c>
      <c r="G15" s="168">
        <f>H15/F15</f>
        <v>279.94400000000002</v>
      </c>
      <c r="H15" s="169">
        <v>4199.16</v>
      </c>
      <c r="I15" s="170">
        <v>0</v>
      </c>
      <c r="J15" s="171">
        <f>SUM(H15:I15)</f>
        <v>4199.16</v>
      </c>
      <c r="K15" s="172">
        <f>IF(H15/15&lt;=123.22,I15,I15/2)</f>
        <v>0</v>
      </c>
      <c r="L15" s="172">
        <f>H15+K15</f>
        <v>4199.16</v>
      </c>
      <c r="M15" s="172">
        <f t="shared" si="0"/>
        <v>2422.81</v>
      </c>
      <c r="N15" s="172">
        <f>L15-M15</f>
        <v>1776.35</v>
      </c>
      <c r="O15" s="173">
        <f t="shared" si="1"/>
        <v>0.10879999999999999</v>
      </c>
      <c r="P15" s="172">
        <f>N15*O15</f>
        <v>193.26687999999999</v>
      </c>
      <c r="Q15" s="174">
        <f t="shared" si="2"/>
        <v>142.19999999999999</v>
      </c>
      <c r="R15" s="172">
        <f>P15+Q15</f>
        <v>335.46687999999995</v>
      </c>
      <c r="S15" s="172">
        <f t="shared" si="3"/>
        <v>0</v>
      </c>
      <c r="T15" s="172">
        <f>R15-S15</f>
        <v>335.46687999999995</v>
      </c>
      <c r="U15" s="171">
        <f>-IF(T15&gt;0,0,T15)</f>
        <v>0</v>
      </c>
      <c r="V15" s="171">
        <f t="shared" si="4"/>
        <v>335.46687999999995</v>
      </c>
      <c r="W15" s="171">
        <f>SUM(V15:V15)</f>
        <v>335.46687999999995</v>
      </c>
      <c r="X15" s="171">
        <f>J15+U15-W15</f>
        <v>3863.6931199999999</v>
      </c>
      <c r="Y15" s="187"/>
    </row>
    <row r="16" spans="1:25" s="188" customFormat="1" ht="75" customHeight="1" x14ac:dyDescent="0.2">
      <c r="A16" s="215"/>
      <c r="B16" s="62" t="s">
        <v>192</v>
      </c>
      <c r="C16" s="62" t="s">
        <v>145</v>
      </c>
      <c r="D16" s="187" t="s">
        <v>180</v>
      </c>
      <c r="E16" s="177" t="s">
        <v>184</v>
      </c>
      <c r="F16" s="167">
        <v>15</v>
      </c>
      <c r="G16" s="168">
        <f>H16/F16</f>
        <v>279.94400000000002</v>
      </c>
      <c r="H16" s="169">
        <v>4199.16</v>
      </c>
      <c r="I16" s="170">
        <v>0</v>
      </c>
      <c r="J16" s="171">
        <f>SUM(H16:I16)</f>
        <v>4199.16</v>
      </c>
      <c r="K16" s="172">
        <f t="shared" ref="K16" si="15">IF(H16/15&lt;=123.22,I16,I16/2)</f>
        <v>0</v>
      </c>
      <c r="L16" s="172">
        <f t="shared" ref="L16" si="16">H16+K16</f>
        <v>4199.16</v>
      </c>
      <c r="M16" s="172">
        <f t="shared" ref="M16" si="17">VLOOKUP(L16,Tarifa1,1)</f>
        <v>2422.81</v>
      </c>
      <c r="N16" s="172">
        <f t="shared" ref="N16" si="18">L16-M16</f>
        <v>1776.35</v>
      </c>
      <c r="O16" s="173">
        <f t="shared" ref="O16" si="19">VLOOKUP(L16,Tarifa1,3)</f>
        <v>0.10879999999999999</v>
      </c>
      <c r="P16" s="172">
        <f t="shared" ref="P16" si="20">N16*O16</f>
        <v>193.26687999999999</v>
      </c>
      <c r="Q16" s="174">
        <f t="shared" ref="Q16" si="21">VLOOKUP(L16,Tarifa1,2)</f>
        <v>142.19999999999999</v>
      </c>
      <c r="R16" s="172">
        <f t="shared" ref="R16" si="22">P16+Q16</f>
        <v>335.46687999999995</v>
      </c>
      <c r="S16" s="172">
        <f t="shared" ref="S16" si="23">VLOOKUP(L16,Credito1,2)</f>
        <v>0</v>
      </c>
      <c r="T16" s="172">
        <f t="shared" ref="T16" si="24">R16-S16</f>
        <v>335.46687999999995</v>
      </c>
      <c r="U16" s="171">
        <f>-IF(T16&gt;0,0,T16)</f>
        <v>0</v>
      </c>
      <c r="V16" s="171">
        <f t="shared" ref="V16" si="25">IF(T16&lt;0,0,T16)</f>
        <v>335.46687999999995</v>
      </c>
      <c r="W16" s="171">
        <f>SUM(V16:V16)</f>
        <v>335.46687999999995</v>
      </c>
      <c r="X16" s="171">
        <f>J16+U16-W16</f>
        <v>3863.6931199999999</v>
      </c>
      <c r="Y16" s="187"/>
    </row>
    <row r="17" spans="1:37" s="188" customFormat="1" ht="75" customHeight="1" x14ac:dyDescent="0.2">
      <c r="A17" s="215"/>
      <c r="B17" s="62" t="s">
        <v>389</v>
      </c>
      <c r="C17" s="62" t="s">
        <v>145</v>
      </c>
      <c r="D17" s="187" t="s">
        <v>390</v>
      </c>
      <c r="E17" s="177" t="s">
        <v>386</v>
      </c>
      <c r="F17" s="167">
        <v>15</v>
      </c>
      <c r="G17" s="168">
        <f>H17/F17</f>
        <v>223.18199999999999</v>
      </c>
      <c r="H17" s="119">
        <v>3347.73</v>
      </c>
      <c r="I17" s="126">
        <v>0</v>
      </c>
      <c r="J17" s="127">
        <f t="shared" ref="J17" si="26">SUM(H17:I17)</f>
        <v>3347.73</v>
      </c>
      <c r="K17" s="128">
        <v>0</v>
      </c>
      <c r="L17" s="128">
        <f>H17+K17</f>
        <v>3347.73</v>
      </c>
      <c r="M17" s="128">
        <v>2422.81</v>
      </c>
      <c r="N17" s="128">
        <f>L17-M17</f>
        <v>924.92000000000007</v>
      </c>
      <c r="O17" s="129">
        <f>VLOOKUP(L17,Tarifa1,3)</f>
        <v>0.10879999999999999</v>
      </c>
      <c r="P17" s="128">
        <f>N17*O17</f>
        <v>100.63129600000001</v>
      </c>
      <c r="Q17" s="130">
        <v>142.19999999999999</v>
      </c>
      <c r="R17" s="128">
        <f>P17+Q17</f>
        <v>242.83129600000001</v>
      </c>
      <c r="S17" s="128">
        <v>125.1</v>
      </c>
      <c r="T17" s="128">
        <f>R17-S17</f>
        <v>117.73129600000001</v>
      </c>
      <c r="U17" s="127">
        <f>-IF(T17&gt;0,0,T17)</f>
        <v>0</v>
      </c>
      <c r="V17" s="127">
        <f>IF(T17&lt;0,0,T17)</f>
        <v>117.73129600000001</v>
      </c>
      <c r="W17" s="127">
        <f>SUM(V17:V17)</f>
        <v>117.73129600000001</v>
      </c>
      <c r="X17" s="127">
        <f>J17+U17-W17</f>
        <v>3229.9987040000001</v>
      </c>
      <c r="Y17" s="187"/>
    </row>
    <row r="18" spans="1:37" ht="40.5" customHeight="1" thickBot="1" x14ac:dyDescent="0.25">
      <c r="A18" s="334" t="s">
        <v>45</v>
      </c>
      <c r="B18" s="335"/>
      <c r="C18" s="335"/>
      <c r="D18" s="335"/>
      <c r="E18" s="335"/>
      <c r="F18" s="335"/>
      <c r="G18" s="336"/>
      <c r="H18" s="112">
        <f t="shared" ref="H18:V18" si="27">SUM(H10:H17)</f>
        <v>43701.380000000012</v>
      </c>
      <c r="I18" s="112">
        <f t="shared" si="27"/>
        <v>0</v>
      </c>
      <c r="J18" s="112">
        <f t="shared" si="27"/>
        <v>43701.380000000012</v>
      </c>
      <c r="K18" s="113">
        <f t="shared" si="27"/>
        <v>0</v>
      </c>
      <c r="L18" s="113">
        <f t="shared" si="27"/>
        <v>43701.380000000012</v>
      </c>
      <c r="M18" s="113">
        <f t="shared" si="27"/>
        <v>31442.180000000008</v>
      </c>
      <c r="N18" s="113">
        <f t="shared" si="27"/>
        <v>12259.200000000003</v>
      </c>
      <c r="O18" s="113">
        <f t="shared" si="27"/>
        <v>1.2208000000000001</v>
      </c>
      <c r="P18" s="113">
        <f t="shared" si="27"/>
        <v>2054.565376</v>
      </c>
      <c r="Q18" s="113">
        <f t="shared" si="27"/>
        <v>2729.0999999999995</v>
      </c>
      <c r="R18" s="113">
        <f t="shared" si="27"/>
        <v>4783.6653760000008</v>
      </c>
      <c r="S18" s="113">
        <f t="shared" si="27"/>
        <v>270.45</v>
      </c>
      <c r="T18" s="113">
        <f t="shared" si="27"/>
        <v>4513.2153760000001</v>
      </c>
      <c r="U18" s="112">
        <f t="shared" si="27"/>
        <v>0</v>
      </c>
      <c r="V18" s="112">
        <f t="shared" si="27"/>
        <v>4513.2153760000001</v>
      </c>
      <c r="W18" s="112">
        <f>SUM(W10:W17)</f>
        <v>4513.2153760000001</v>
      </c>
      <c r="X18" s="112">
        <f>SUM(X10:X17)</f>
        <v>39188.164623999997</v>
      </c>
    </row>
    <row r="19" spans="1:37" ht="13.5" thickTop="1" x14ac:dyDescent="0.2"/>
    <row r="28" spans="1:37" x14ac:dyDescent="0.2">
      <c r="D28" s="4" t="s">
        <v>250</v>
      </c>
      <c r="V28" s="4" t="s">
        <v>243</v>
      </c>
    </row>
    <row r="29" spans="1:37" x14ac:dyDescent="0.2">
      <c r="D29" s="78" t="s">
        <v>234</v>
      </c>
      <c r="H29" s="114"/>
      <c r="V29" s="78" t="s">
        <v>256</v>
      </c>
    </row>
    <row r="30" spans="1:37" x14ac:dyDescent="0.2">
      <c r="D30" s="51" t="s">
        <v>244</v>
      </c>
      <c r="E30" s="115"/>
      <c r="F30" s="115"/>
      <c r="G30" s="115"/>
      <c r="H30" s="115"/>
      <c r="I30" s="115"/>
      <c r="V30" s="51" t="s">
        <v>252</v>
      </c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J30" s="115"/>
      <c r="AK30" s="115"/>
    </row>
  </sheetData>
  <mergeCells count="7">
    <mergeCell ref="A18:G18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0"/>
  <sheetViews>
    <sheetView topLeftCell="B1"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26.140625" customWidth="1"/>
    <col min="6" max="6" width="5" hidden="1" customWidth="1"/>
    <col min="7" max="7" width="10" hidden="1" customWidth="1"/>
    <col min="8" max="8" width="11.5703125" customWidth="1"/>
    <col min="9" max="9" width="10.85546875" customWidth="1"/>
    <col min="10" max="10" width="11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140625" customWidth="1"/>
    <col min="25" max="25" width="52.85546875" customWidth="1"/>
  </cols>
  <sheetData>
    <row r="1" spans="1:31" ht="18" x14ac:dyDescent="0.25">
      <c r="A1" s="306" t="s">
        <v>92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</row>
    <row r="2" spans="1:31" ht="18" x14ac:dyDescent="0.25">
      <c r="A2" s="306" t="s">
        <v>66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</row>
    <row r="3" spans="1:31" ht="15" x14ac:dyDescent="0.2">
      <c r="A3" s="307" t="s">
        <v>391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</row>
    <row r="4" spans="1:31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09" t="s">
        <v>1</v>
      </c>
      <c r="I6" s="310"/>
      <c r="J6" s="311"/>
      <c r="K6" s="67" t="s">
        <v>26</v>
      </c>
      <c r="L6" s="68"/>
      <c r="M6" s="312" t="s">
        <v>9</v>
      </c>
      <c r="N6" s="313"/>
      <c r="O6" s="313"/>
      <c r="P6" s="313"/>
      <c r="Q6" s="313"/>
      <c r="R6" s="314"/>
      <c r="S6" s="67" t="s">
        <v>30</v>
      </c>
      <c r="T6" s="67" t="s">
        <v>10</v>
      </c>
      <c r="U6" s="66" t="s">
        <v>54</v>
      </c>
      <c r="V6" s="315" t="s">
        <v>2</v>
      </c>
      <c r="W6" s="316"/>
      <c r="X6" s="66" t="s">
        <v>0</v>
      </c>
      <c r="Y6" s="65"/>
    </row>
    <row r="7" spans="1:31" s="69" customFormat="1" ht="29.25" customHeight="1" x14ac:dyDescent="0.2">
      <c r="A7" s="70" t="s">
        <v>21</v>
      </c>
      <c r="B7" s="64" t="s">
        <v>123</v>
      </c>
      <c r="C7" s="64" t="s">
        <v>162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68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9"/>
      <c r="B8" s="80"/>
      <c r="C8" s="80"/>
      <c r="D8" s="79"/>
      <c r="E8" s="79"/>
      <c r="F8" s="79"/>
      <c r="G8" s="79"/>
      <c r="H8" s="79" t="s">
        <v>47</v>
      </c>
      <c r="I8" s="79" t="s">
        <v>60</v>
      </c>
      <c r="J8" s="79" t="s">
        <v>29</v>
      </c>
      <c r="K8" s="81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67" t="s">
        <v>15</v>
      </c>
      <c r="R8" s="67" t="s">
        <v>39</v>
      </c>
      <c r="S8" s="72" t="s">
        <v>19</v>
      </c>
      <c r="T8" s="73" t="s">
        <v>163</v>
      </c>
      <c r="U8" s="79" t="s">
        <v>53</v>
      </c>
      <c r="V8" s="79"/>
      <c r="W8" s="79" t="s">
        <v>44</v>
      </c>
      <c r="X8" s="79" t="s">
        <v>5</v>
      </c>
      <c r="Y8" s="75"/>
    </row>
    <row r="9" spans="1:31" s="69" customFormat="1" ht="54.75" customHeight="1" x14ac:dyDescent="0.2">
      <c r="A9" s="82"/>
      <c r="B9" s="83" t="s">
        <v>123</v>
      </c>
      <c r="C9" s="83" t="s">
        <v>162</v>
      </c>
      <c r="D9" s="84" t="s">
        <v>64</v>
      </c>
      <c r="E9" s="82" t="s">
        <v>62</v>
      </c>
      <c r="F9" s="82"/>
      <c r="G9" s="82"/>
      <c r="H9" s="85">
        <f>SUM(H10:H12)</f>
        <v>43027.51</v>
      </c>
      <c r="I9" s="85">
        <f>SUM(I10:I12)</f>
        <v>0</v>
      </c>
      <c r="J9" s="85">
        <f>SUM(J10:J12)</f>
        <v>43027.51</v>
      </c>
      <c r="K9" s="82"/>
      <c r="L9" s="82"/>
      <c r="M9" s="82"/>
      <c r="N9" s="82"/>
      <c r="O9" s="82"/>
      <c r="P9" s="82"/>
      <c r="Q9" s="82"/>
      <c r="R9" s="82"/>
      <c r="S9" s="82"/>
      <c r="T9" s="86"/>
      <c r="U9" s="85">
        <f>SUM(U10:U12)</f>
        <v>0</v>
      </c>
      <c r="V9" s="85">
        <f>SUM(V10:V12)</f>
        <v>8016.0574320000005</v>
      </c>
      <c r="W9" s="85">
        <f>SUM(W10:W12)</f>
        <v>8016.0574320000005</v>
      </c>
      <c r="X9" s="85">
        <f>SUM(X10:X12)</f>
        <v>35011.452568000001</v>
      </c>
      <c r="Y9" s="87"/>
    </row>
    <row r="10" spans="1:31" s="69" customFormat="1" ht="54.95" customHeight="1" x14ac:dyDescent="0.2">
      <c r="A10" s="116" t="s">
        <v>100</v>
      </c>
      <c r="B10" s="139" t="s">
        <v>259</v>
      </c>
      <c r="C10" s="116" t="s">
        <v>145</v>
      </c>
      <c r="D10" s="121" t="s">
        <v>193</v>
      </c>
      <c r="E10" s="121" t="s">
        <v>194</v>
      </c>
      <c r="F10" s="133">
        <v>15</v>
      </c>
      <c r="G10" s="134">
        <v>1677.25</v>
      </c>
      <c r="H10" s="119">
        <v>25158.73</v>
      </c>
      <c r="I10" s="126">
        <v>0</v>
      </c>
      <c r="J10" s="127">
        <f>SUM(H10:I10)</f>
        <v>25158.73</v>
      </c>
      <c r="K10" s="128">
        <f>IF(H10/15&lt;=123.22,I10,I10/2)</f>
        <v>0</v>
      </c>
      <c r="L10" s="128">
        <f>H10+K10</f>
        <v>25158.73</v>
      </c>
      <c r="M10" s="128">
        <f>VLOOKUP(L10,Tarifa1,1)</f>
        <v>18837.759999999998</v>
      </c>
      <c r="N10" s="128">
        <f>L10-M10</f>
        <v>6320.9700000000012</v>
      </c>
      <c r="O10" s="129">
        <f>VLOOKUP(L10,Tarifa1,3)</f>
        <v>0.3</v>
      </c>
      <c r="P10" s="128">
        <f>N10*O10</f>
        <v>1896.2910000000002</v>
      </c>
      <c r="Q10" s="130">
        <f>VLOOKUP(L10,Tarifa1,2)</f>
        <v>3534.3</v>
      </c>
      <c r="R10" s="128">
        <f>P10+Q10</f>
        <v>5430.5910000000003</v>
      </c>
      <c r="S10" s="128">
        <f>VLOOKUP(L10,Credito1,2)</f>
        <v>0</v>
      </c>
      <c r="T10" s="128">
        <f>R10-S10</f>
        <v>5430.5910000000003</v>
      </c>
      <c r="U10" s="127">
        <f>-IF(T10&gt;0,0,T10)</f>
        <v>0</v>
      </c>
      <c r="V10" s="135">
        <f>IF(T10&lt;0,0,T10)</f>
        <v>5430.5910000000003</v>
      </c>
      <c r="W10" s="127">
        <f>SUM(V10:V10)</f>
        <v>5430.5910000000003</v>
      </c>
      <c r="X10" s="127">
        <f>J10+U10-W10</f>
        <v>19728.138999999999</v>
      </c>
      <c r="Y10" s="76"/>
    </row>
    <row r="11" spans="1:31" s="69" customFormat="1" ht="54.95" customHeight="1" x14ac:dyDescent="0.2">
      <c r="A11" s="116" t="s">
        <v>101</v>
      </c>
      <c r="B11" s="139" t="s">
        <v>260</v>
      </c>
      <c r="C11" s="116" t="s">
        <v>232</v>
      </c>
      <c r="D11" s="121" t="s">
        <v>195</v>
      </c>
      <c r="E11" s="121" t="s">
        <v>67</v>
      </c>
      <c r="F11" s="133">
        <v>15</v>
      </c>
      <c r="G11" s="134">
        <v>850.15</v>
      </c>
      <c r="H11" s="119">
        <v>12752.27</v>
      </c>
      <c r="I11" s="126">
        <v>0</v>
      </c>
      <c r="J11" s="127">
        <f>SUM(H11:I11)</f>
        <v>12752.27</v>
      </c>
      <c r="K11" s="128">
        <f t="shared" ref="K11:K12" si="0">IF(H11/15&lt;=123.22,I11,I11/2)</f>
        <v>0</v>
      </c>
      <c r="L11" s="128">
        <f t="shared" ref="L11:L12" si="1">H11+K11</f>
        <v>12752.27</v>
      </c>
      <c r="M11" s="128">
        <f>VLOOKUP(L11,Tarifa1,1)</f>
        <v>11951.86</v>
      </c>
      <c r="N11" s="128">
        <f t="shared" ref="N11:N12" si="2">L11-M11</f>
        <v>800.40999999999985</v>
      </c>
      <c r="O11" s="129">
        <f>VLOOKUP(L11,Tarifa1,3)</f>
        <v>0.23519999999999999</v>
      </c>
      <c r="P11" s="128">
        <f t="shared" ref="P11:P12" si="3">N11*O11</f>
        <v>188.25643199999996</v>
      </c>
      <c r="Q11" s="130">
        <f>VLOOKUP(L11,Tarifa1,2)</f>
        <v>1914.75</v>
      </c>
      <c r="R11" s="128">
        <f t="shared" ref="R11:R12" si="4">P11+Q11</f>
        <v>2103.0064320000001</v>
      </c>
      <c r="S11" s="128">
        <f>VLOOKUP(L11,Credito1,2)</f>
        <v>0</v>
      </c>
      <c r="T11" s="128">
        <f t="shared" ref="T11:T12" si="5">R11-S11</f>
        <v>2103.0064320000001</v>
      </c>
      <c r="U11" s="127">
        <f>-IF(T11&gt;0,0,T11)</f>
        <v>0</v>
      </c>
      <c r="V11" s="127">
        <f>IF(T11&lt;0,0,T11)</f>
        <v>2103.0064320000001</v>
      </c>
      <c r="W11" s="127">
        <f>SUM(V11:V11)</f>
        <v>2103.0064320000001</v>
      </c>
      <c r="X11" s="127">
        <f>J11+U11-W11</f>
        <v>10649.263568</v>
      </c>
      <c r="Y11" s="76"/>
      <c r="AE11" s="77"/>
    </row>
    <row r="12" spans="1:31" s="69" customFormat="1" ht="54.95" customHeight="1" x14ac:dyDescent="0.2">
      <c r="A12" s="116"/>
      <c r="B12" s="116" t="s">
        <v>131</v>
      </c>
      <c r="C12" s="139" t="s">
        <v>232</v>
      </c>
      <c r="D12" s="121" t="s">
        <v>68</v>
      </c>
      <c r="E12" s="121" t="s">
        <v>65</v>
      </c>
      <c r="F12" s="133">
        <v>15</v>
      </c>
      <c r="G12" s="134">
        <v>341.11</v>
      </c>
      <c r="H12" s="119">
        <v>5116.51</v>
      </c>
      <c r="I12" s="126">
        <v>0</v>
      </c>
      <c r="J12" s="127">
        <f>SUM(H12:I12)</f>
        <v>5116.51</v>
      </c>
      <c r="K12" s="128">
        <f t="shared" si="0"/>
        <v>0</v>
      </c>
      <c r="L12" s="128">
        <f t="shared" si="1"/>
        <v>5116.51</v>
      </c>
      <c r="M12" s="128">
        <f>VLOOKUP(L12,Tarifa1,1)</f>
        <v>4949.5600000000004</v>
      </c>
      <c r="N12" s="128">
        <f t="shared" si="2"/>
        <v>166.94999999999982</v>
      </c>
      <c r="O12" s="129">
        <f>VLOOKUP(L12,Tarifa1,3)</f>
        <v>0.1792</v>
      </c>
      <c r="P12" s="128">
        <f t="shared" si="3"/>
        <v>29.917439999999967</v>
      </c>
      <c r="Q12" s="130">
        <f>VLOOKUP(L12,Tarifa1,2)</f>
        <v>452.55</v>
      </c>
      <c r="R12" s="128">
        <f t="shared" si="4"/>
        <v>482.46743999999995</v>
      </c>
      <c r="S12" s="128">
        <f>VLOOKUP(L12,Credito1,2)</f>
        <v>0</v>
      </c>
      <c r="T12" s="128">
        <f t="shared" si="5"/>
        <v>482.46743999999995</v>
      </c>
      <c r="U12" s="127">
        <f>-IF(T12&gt;0,0,T12)</f>
        <v>0</v>
      </c>
      <c r="V12" s="127">
        <v>482.46</v>
      </c>
      <c r="W12" s="127">
        <f>SUM(V12:V12)</f>
        <v>482.46</v>
      </c>
      <c r="X12" s="127">
        <f>J12+U12-W12</f>
        <v>4634.05</v>
      </c>
      <c r="Y12" s="76"/>
      <c r="AE12" s="77"/>
    </row>
    <row r="13" spans="1:31" s="69" customFormat="1" ht="54.75" customHeight="1" x14ac:dyDescent="0.2">
      <c r="A13" s="116"/>
      <c r="B13" s="140" t="s">
        <v>123</v>
      </c>
      <c r="C13" s="140" t="s">
        <v>162</v>
      </c>
      <c r="D13" s="141" t="s">
        <v>153</v>
      </c>
      <c r="E13" s="142" t="s">
        <v>62</v>
      </c>
      <c r="F13" s="142"/>
      <c r="G13" s="142"/>
      <c r="H13" s="143">
        <f>SUM(H14)</f>
        <v>5729.24</v>
      </c>
      <c r="I13" s="143">
        <f>SUM(I14)</f>
        <v>0</v>
      </c>
      <c r="J13" s="143">
        <f>SUM(J14)</f>
        <v>5729.24</v>
      </c>
      <c r="K13" s="142"/>
      <c r="L13" s="142"/>
      <c r="M13" s="142"/>
      <c r="N13" s="142"/>
      <c r="O13" s="142"/>
      <c r="P13" s="142"/>
      <c r="Q13" s="145"/>
      <c r="R13" s="142"/>
      <c r="S13" s="142"/>
      <c r="T13" s="144"/>
      <c r="U13" s="143">
        <f>SUM(U14)</f>
        <v>0</v>
      </c>
      <c r="V13" s="143">
        <f>SUM(V14)</f>
        <v>592.26865599999996</v>
      </c>
      <c r="W13" s="143">
        <f>SUM(W14)</f>
        <v>592.26865599999996</v>
      </c>
      <c r="X13" s="143">
        <f>SUM(X14)</f>
        <v>5136.9713439999996</v>
      </c>
      <c r="Y13" s="87"/>
      <c r="AE13" s="77"/>
    </row>
    <row r="14" spans="1:31" s="69" customFormat="1" ht="54.95" customHeight="1" x14ac:dyDescent="0.2">
      <c r="A14" s="116" t="s">
        <v>102</v>
      </c>
      <c r="B14" s="139" t="s">
        <v>261</v>
      </c>
      <c r="C14" s="116" t="s">
        <v>145</v>
      </c>
      <c r="D14" s="136" t="s">
        <v>196</v>
      </c>
      <c r="E14" s="123" t="s">
        <v>117</v>
      </c>
      <c r="F14" s="133">
        <v>15</v>
      </c>
      <c r="G14" s="134">
        <v>381.95</v>
      </c>
      <c r="H14" s="119">
        <v>5729.24</v>
      </c>
      <c r="I14" s="126">
        <v>0</v>
      </c>
      <c r="J14" s="127">
        <f>H14</f>
        <v>5729.24</v>
      </c>
      <c r="K14" s="128">
        <f t="shared" ref="K14" si="6">IF(H14/15&lt;=123.22,I14,I14/2)</f>
        <v>0</v>
      </c>
      <c r="L14" s="128">
        <f t="shared" ref="L14" si="7">H14+K14</f>
        <v>5729.24</v>
      </c>
      <c r="M14" s="128">
        <f>VLOOKUP(L14,Tarifa1,1)</f>
        <v>4949.5600000000004</v>
      </c>
      <c r="N14" s="128">
        <f t="shared" ref="N14" si="8">L14-M14</f>
        <v>779.67999999999938</v>
      </c>
      <c r="O14" s="129">
        <f>VLOOKUP(L14,Tarifa1,3)</f>
        <v>0.1792</v>
      </c>
      <c r="P14" s="128">
        <f t="shared" ref="P14" si="9">N14*O14</f>
        <v>139.7186559999999</v>
      </c>
      <c r="Q14" s="130">
        <f>VLOOKUP(L14,Tarifa1,2)</f>
        <v>452.55</v>
      </c>
      <c r="R14" s="128">
        <f t="shared" ref="R14" si="10">P14+Q14</f>
        <v>592.26865599999996</v>
      </c>
      <c r="S14" s="128">
        <f>VLOOKUP(L14,Credito1,2)</f>
        <v>0</v>
      </c>
      <c r="T14" s="128">
        <f t="shared" ref="T14" si="11">R14-S14</f>
        <v>592.26865599999996</v>
      </c>
      <c r="U14" s="127">
        <f>-IF(T14&gt;0,0,T14)</f>
        <v>0</v>
      </c>
      <c r="V14" s="127">
        <f>IF(T14&lt;0,0,T14)</f>
        <v>592.26865599999996</v>
      </c>
      <c r="W14" s="127">
        <f>SUM(V14:V14)</f>
        <v>592.26865599999996</v>
      </c>
      <c r="X14" s="127">
        <f>J14+U14-W14</f>
        <v>5136.9713439999996</v>
      </c>
      <c r="Y14" s="76"/>
      <c r="AE14" s="77"/>
    </row>
    <row r="15" spans="1:31" s="69" customFormat="1" ht="54.75" customHeight="1" x14ac:dyDescent="0.2">
      <c r="A15" s="116"/>
      <c r="B15" s="140" t="s">
        <v>123</v>
      </c>
      <c r="C15" s="140" t="s">
        <v>162</v>
      </c>
      <c r="D15" s="141" t="s">
        <v>154</v>
      </c>
      <c r="E15" s="142" t="s">
        <v>62</v>
      </c>
      <c r="F15" s="142"/>
      <c r="G15" s="142"/>
      <c r="H15" s="143">
        <f>SUM(H16)</f>
        <v>4580.22</v>
      </c>
      <c r="I15" s="143">
        <f>SUM(I16)</f>
        <v>0</v>
      </c>
      <c r="J15" s="143">
        <f>SUM(J16)</f>
        <v>4580.22</v>
      </c>
      <c r="K15" s="142"/>
      <c r="L15" s="142"/>
      <c r="M15" s="142"/>
      <c r="N15" s="142"/>
      <c r="O15" s="142"/>
      <c r="P15" s="142"/>
      <c r="Q15" s="145"/>
      <c r="R15" s="142"/>
      <c r="S15" s="142"/>
      <c r="T15" s="144"/>
      <c r="U15" s="143">
        <f>SUM(U16)</f>
        <v>0</v>
      </c>
      <c r="V15" s="143">
        <f>SUM(V16)</f>
        <v>393.41960000000006</v>
      </c>
      <c r="W15" s="143">
        <f>SUM(W16)</f>
        <v>393.41960000000006</v>
      </c>
      <c r="X15" s="143">
        <f>SUM(X16)</f>
        <v>4186.8004000000001</v>
      </c>
      <c r="Y15" s="87"/>
      <c r="AE15" s="77"/>
    </row>
    <row r="16" spans="1:31" s="69" customFormat="1" ht="54.95" customHeight="1" x14ac:dyDescent="0.2">
      <c r="A16" s="116" t="s">
        <v>104</v>
      </c>
      <c r="B16" s="116" t="s">
        <v>132</v>
      </c>
      <c r="C16" s="116" t="s">
        <v>145</v>
      </c>
      <c r="D16" s="121" t="s">
        <v>120</v>
      </c>
      <c r="E16" s="121" t="s">
        <v>69</v>
      </c>
      <c r="F16" s="133">
        <v>15</v>
      </c>
      <c r="G16" s="134">
        <v>305.35000000000002</v>
      </c>
      <c r="H16" s="119">
        <v>4580.22</v>
      </c>
      <c r="I16" s="126">
        <v>0</v>
      </c>
      <c r="J16" s="127">
        <f>SUM(H16:I16)</f>
        <v>4580.22</v>
      </c>
      <c r="K16" s="128">
        <f t="shared" ref="K16" si="12">IF(H16/15&lt;=123.22,I16,I16/2)</f>
        <v>0</v>
      </c>
      <c r="L16" s="128">
        <f t="shared" ref="L16" si="13">H16+K16</f>
        <v>4580.22</v>
      </c>
      <c r="M16" s="128">
        <f>VLOOKUP(L16,Tarifa1,1)</f>
        <v>4257.91</v>
      </c>
      <c r="N16" s="128">
        <f t="shared" ref="N16" si="14">L16-M16</f>
        <v>322.3100000000004</v>
      </c>
      <c r="O16" s="129">
        <f>VLOOKUP(L16,Tarifa1,3)</f>
        <v>0.16</v>
      </c>
      <c r="P16" s="128">
        <f t="shared" ref="P16" si="15">N16*O16</f>
        <v>51.569600000000065</v>
      </c>
      <c r="Q16" s="130">
        <f>VLOOKUP(L16,Tarifa1,2)</f>
        <v>341.85</v>
      </c>
      <c r="R16" s="128">
        <f t="shared" ref="R16" si="16">P16+Q16</f>
        <v>393.41960000000006</v>
      </c>
      <c r="S16" s="128">
        <f>VLOOKUP(L16,Credito1,2)</f>
        <v>0</v>
      </c>
      <c r="T16" s="128">
        <f t="shared" ref="T16" si="17">R16-S16</f>
        <v>393.41960000000006</v>
      </c>
      <c r="U16" s="127">
        <f>-IF(T16&gt;0,0,T16)</f>
        <v>0</v>
      </c>
      <c r="V16" s="127">
        <f>IF(T16&lt;0,0,T16)</f>
        <v>393.41960000000006</v>
      </c>
      <c r="W16" s="127">
        <f>SUM(V16:V16)</f>
        <v>393.41960000000006</v>
      </c>
      <c r="X16" s="127">
        <f>J16+U16-W16</f>
        <v>4186.8004000000001</v>
      </c>
      <c r="Y16" s="76"/>
      <c r="AE16" s="88"/>
    </row>
    <row r="17" spans="1:31" s="69" customFormat="1" ht="54.75" customHeight="1" x14ac:dyDescent="0.2">
      <c r="A17" s="116"/>
      <c r="B17" s="140" t="s">
        <v>123</v>
      </c>
      <c r="C17" s="140" t="s">
        <v>162</v>
      </c>
      <c r="D17" s="141" t="s">
        <v>155</v>
      </c>
      <c r="E17" s="142" t="s">
        <v>62</v>
      </c>
      <c r="F17" s="142"/>
      <c r="G17" s="142"/>
      <c r="H17" s="143">
        <f>SUM(H18:H19)</f>
        <v>13488.490000000002</v>
      </c>
      <c r="I17" s="143">
        <f>SUM(I18:I19)</f>
        <v>0</v>
      </c>
      <c r="J17" s="143">
        <f>SUM(J18:J19)</f>
        <v>13488.490000000002</v>
      </c>
      <c r="K17" s="142"/>
      <c r="L17" s="142"/>
      <c r="M17" s="142"/>
      <c r="N17" s="142"/>
      <c r="O17" s="142"/>
      <c r="P17" s="142"/>
      <c r="Q17" s="145"/>
      <c r="R17" s="142"/>
      <c r="S17" s="142"/>
      <c r="T17" s="144"/>
      <c r="U17" s="143">
        <f>SUM(U18:U19)</f>
        <v>0</v>
      </c>
      <c r="V17" s="143">
        <f>SUM(V18:V19)</f>
        <v>1691.810952</v>
      </c>
      <c r="W17" s="143">
        <f>SUM(W18:W19)</f>
        <v>1691.810952</v>
      </c>
      <c r="X17" s="143">
        <f>SUM(X18:X19)</f>
        <v>11796.679048</v>
      </c>
      <c r="Y17" s="87"/>
      <c r="AE17" s="88"/>
    </row>
    <row r="18" spans="1:31" s="69" customFormat="1" ht="54.95" customHeight="1" x14ac:dyDescent="0.2">
      <c r="A18" s="116" t="s">
        <v>105</v>
      </c>
      <c r="B18" s="139" t="s">
        <v>262</v>
      </c>
      <c r="C18" s="116" t="s">
        <v>145</v>
      </c>
      <c r="D18" s="121" t="s">
        <v>197</v>
      </c>
      <c r="E18" s="121" t="s">
        <v>99</v>
      </c>
      <c r="F18" s="133">
        <v>15</v>
      </c>
      <c r="G18" s="134">
        <v>625.85200000000009</v>
      </c>
      <c r="H18" s="119">
        <v>9387.7800000000007</v>
      </c>
      <c r="I18" s="126">
        <v>0</v>
      </c>
      <c r="J18" s="127">
        <f>H18</f>
        <v>9387.7800000000007</v>
      </c>
      <c r="K18" s="128">
        <f t="shared" ref="K18:K19" si="18">IF(H18/15&lt;=123.22,I18,I18/2)</f>
        <v>0</v>
      </c>
      <c r="L18" s="128">
        <f t="shared" ref="L18:L19" si="19">H18+K18</f>
        <v>9387.7800000000007</v>
      </c>
      <c r="M18" s="128">
        <f>VLOOKUP(L18,Tarifa1,1)</f>
        <v>5925.91</v>
      </c>
      <c r="N18" s="128">
        <f t="shared" ref="N18:N19" si="20">L18-M18</f>
        <v>3461.8700000000008</v>
      </c>
      <c r="O18" s="129">
        <f>VLOOKUP(L18,Tarifa1,3)</f>
        <v>0.21360000000000001</v>
      </c>
      <c r="P18" s="128">
        <f t="shared" ref="P18:P19" si="21">N18*O18</f>
        <v>739.4554320000002</v>
      </c>
      <c r="Q18" s="130">
        <f>VLOOKUP(L18,Tarifa1,2)</f>
        <v>627.6</v>
      </c>
      <c r="R18" s="128">
        <f t="shared" ref="R18:R19" si="22">P18+Q18</f>
        <v>1367.0554320000001</v>
      </c>
      <c r="S18" s="128">
        <f>VLOOKUP(L18,Credito1,2)</f>
        <v>0</v>
      </c>
      <c r="T18" s="128">
        <f t="shared" ref="T18:T19" si="23">R18-S18</f>
        <v>1367.0554320000001</v>
      </c>
      <c r="U18" s="127">
        <f>-IF(T18&gt;0,0,T18)</f>
        <v>0</v>
      </c>
      <c r="V18" s="127">
        <f>IF(T18&lt;0,0,T18)</f>
        <v>1367.0554320000001</v>
      </c>
      <c r="W18" s="127">
        <f>SUM(V18:V18)</f>
        <v>1367.0554320000001</v>
      </c>
      <c r="X18" s="127">
        <f>J18+U18-W18</f>
        <v>8020.7245680000005</v>
      </c>
      <c r="Y18" s="76"/>
      <c r="AE18" s="88"/>
    </row>
    <row r="19" spans="1:31" s="69" customFormat="1" ht="54.95" customHeight="1" x14ac:dyDescent="0.2">
      <c r="A19" s="116"/>
      <c r="B19" s="146" t="s">
        <v>295</v>
      </c>
      <c r="C19" s="147" t="s">
        <v>145</v>
      </c>
      <c r="D19" s="148" t="s">
        <v>282</v>
      </c>
      <c r="E19" s="149" t="s">
        <v>283</v>
      </c>
      <c r="F19" s="150">
        <v>15</v>
      </c>
      <c r="G19" s="134">
        <v>273.38066666666668</v>
      </c>
      <c r="H19" s="119">
        <v>4100.71</v>
      </c>
      <c r="I19" s="126">
        <v>0</v>
      </c>
      <c r="J19" s="127">
        <f>SUM(H19:I19)</f>
        <v>4100.71</v>
      </c>
      <c r="K19" s="128">
        <f t="shared" si="18"/>
        <v>0</v>
      </c>
      <c r="L19" s="128">
        <f t="shared" si="19"/>
        <v>4100.71</v>
      </c>
      <c r="M19" s="128">
        <f>VLOOKUP(L19,Tarifa1,1)</f>
        <v>2422.81</v>
      </c>
      <c r="N19" s="128">
        <f t="shared" si="20"/>
        <v>1677.9</v>
      </c>
      <c r="O19" s="129">
        <f>VLOOKUP(L19,Tarifa1,3)</f>
        <v>0.10879999999999999</v>
      </c>
      <c r="P19" s="128">
        <f t="shared" si="21"/>
        <v>182.55552</v>
      </c>
      <c r="Q19" s="130">
        <f>VLOOKUP(L19,Tarifa1,2)</f>
        <v>142.19999999999999</v>
      </c>
      <c r="R19" s="128">
        <f t="shared" si="22"/>
        <v>324.75551999999999</v>
      </c>
      <c r="S19" s="128">
        <f>VLOOKUP(L19,Credito1,2)</f>
        <v>0</v>
      </c>
      <c r="T19" s="128">
        <f t="shared" si="23"/>
        <v>324.75551999999999</v>
      </c>
      <c r="U19" s="127">
        <f>-IF(T19&gt;0,0,T19)</f>
        <v>0</v>
      </c>
      <c r="V19" s="127">
        <f>IF(T19&lt;0,0,T19)</f>
        <v>324.75551999999999</v>
      </c>
      <c r="W19" s="127">
        <f>SUM(V19:V19)</f>
        <v>324.75551999999999</v>
      </c>
      <c r="X19" s="127">
        <f>J19+U19-W19</f>
        <v>3775.9544799999999</v>
      </c>
      <c r="Y19" s="74"/>
      <c r="AE19" s="88"/>
    </row>
    <row r="20" spans="1:31" s="69" customFormat="1" ht="54.95" customHeight="1" x14ac:dyDescent="0.2">
      <c r="A20" s="116"/>
      <c r="B20" s="140" t="s">
        <v>123</v>
      </c>
      <c r="C20" s="140" t="s">
        <v>162</v>
      </c>
      <c r="D20" s="141" t="s">
        <v>156</v>
      </c>
      <c r="E20" s="142" t="s">
        <v>62</v>
      </c>
      <c r="F20" s="142"/>
      <c r="G20" s="142"/>
      <c r="H20" s="143">
        <f>SUM(H21)</f>
        <v>2528.08</v>
      </c>
      <c r="I20" s="143">
        <f>SUM(I21)</f>
        <v>0</v>
      </c>
      <c r="J20" s="143">
        <f>SUM(J21)</f>
        <v>2528.08</v>
      </c>
      <c r="K20" s="142"/>
      <c r="L20" s="142"/>
      <c r="M20" s="142"/>
      <c r="N20" s="142"/>
      <c r="O20" s="142"/>
      <c r="P20" s="142"/>
      <c r="Q20" s="145"/>
      <c r="R20" s="142"/>
      <c r="S20" s="142"/>
      <c r="T20" s="144"/>
      <c r="U20" s="143">
        <f>SUM(U21)</f>
        <v>6.6966240000000141</v>
      </c>
      <c r="V20" s="143">
        <f>SUM(V21)</f>
        <v>0</v>
      </c>
      <c r="W20" s="143">
        <f>SUM(W21)</f>
        <v>0</v>
      </c>
      <c r="X20" s="143">
        <f>SUM(X21)</f>
        <v>2534.7766240000001</v>
      </c>
      <c r="Y20" s="87"/>
      <c r="AE20" s="88"/>
    </row>
    <row r="21" spans="1:31" s="69" customFormat="1" ht="54.95" customHeight="1" x14ac:dyDescent="0.2">
      <c r="A21" s="116" t="s">
        <v>106</v>
      </c>
      <c r="B21" s="116" t="s">
        <v>133</v>
      </c>
      <c r="C21" s="116" t="s">
        <v>145</v>
      </c>
      <c r="D21" s="121" t="s">
        <v>70</v>
      </c>
      <c r="E21" s="121" t="s">
        <v>91</v>
      </c>
      <c r="F21" s="133">
        <v>15</v>
      </c>
      <c r="G21" s="134">
        <v>168.53866666666667</v>
      </c>
      <c r="H21" s="119">
        <v>2528.08</v>
      </c>
      <c r="I21" s="126">
        <v>0</v>
      </c>
      <c r="J21" s="127">
        <f>SUM(H21:I21)</f>
        <v>2528.08</v>
      </c>
      <c r="K21" s="128">
        <f t="shared" ref="K21" si="24">IF(H21/15&lt;=123.22,I21,I21/2)</f>
        <v>0</v>
      </c>
      <c r="L21" s="128">
        <f t="shared" ref="L21" si="25">H21+K21</f>
        <v>2528.08</v>
      </c>
      <c r="M21" s="128">
        <f>VLOOKUP(L21,Tarifa1,1)</f>
        <v>2422.81</v>
      </c>
      <c r="N21" s="128">
        <f t="shared" ref="N21" si="26">L21-M21</f>
        <v>105.26999999999998</v>
      </c>
      <c r="O21" s="129">
        <f>VLOOKUP(L21,Tarifa1,3)</f>
        <v>0.10879999999999999</v>
      </c>
      <c r="P21" s="128">
        <f t="shared" ref="P21" si="27">N21*O21</f>
        <v>11.453375999999997</v>
      </c>
      <c r="Q21" s="130">
        <f>VLOOKUP(L21,Tarifa1,2)</f>
        <v>142.19999999999999</v>
      </c>
      <c r="R21" s="128">
        <f t="shared" ref="R21" si="28">P21+Q21</f>
        <v>153.65337599999998</v>
      </c>
      <c r="S21" s="128">
        <f>VLOOKUP(L21,Credito1,2)</f>
        <v>160.35</v>
      </c>
      <c r="T21" s="128">
        <f t="shared" ref="T21" si="29">R21-S21</f>
        <v>-6.6966240000000141</v>
      </c>
      <c r="U21" s="127">
        <f>-IF(T21&gt;0,0,T21)</f>
        <v>6.6966240000000141</v>
      </c>
      <c r="V21" s="127">
        <f>IF(T21&lt;0,0,T21)</f>
        <v>0</v>
      </c>
      <c r="W21" s="127">
        <f>SUM(V21:V21)</f>
        <v>0</v>
      </c>
      <c r="X21" s="127">
        <f>J21+U21-W21</f>
        <v>2534.7766240000001</v>
      </c>
      <c r="Y21" s="76"/>
      <c r="AE21" s="77"/>
    </row>
    <row r="22" spans="1:31" s="69" customFormat="1" ht="54.95" customHeight="1" x14ac:dyDescent="0.2">
      <c r="A22" s="116"/>
      <c r="AE22" s="77"/>
    </row>
    <row r="23" spans="1:31" s="90" customFormat="1" ht="54.95" customHeight="1" x14ac:dyDescent="0.2">
      <c r="A23" s="116" t="s">
        <v>107</v>
      </c>
    </row>
    <row r="24" spans="1:31" s="90" customFormat="1" ht="28.5" customHeight="1" x14ac:dyDescent="0.25">
      <c r="A24" s="154"/>
      <c r="B24" s="306" t="s">
        <v>92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</row>
    <row r="25" spans="1:31" s="90" customFormat="1" ht="21.75" customHeight="1" x14ac:dyDescent="0.25">
      <c r="A25" s="154"/>
      <c r="B25" s="306" t="s">
        <v>66</v>
      </c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</row>
    <row r="26" spans="1:31" s="90" customFormat="1" ht="23.25" customHeight="1" x14ac:dyDescent="0.2">
      <c r="A26" s="154"/>
      <c r="B26" s="307" t="s">
        <v>391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</row>
    <row r="27" spans="1:31" s="90" customFormat="1" ht="13.5" customHeight="1" x14ac:dyDescent="0.2">
      <c r="A27" s="154"/>
      <c r="B27" s="5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1:31" s="90" customFormat="1" ht="10.5" customHeight="1" x14ac:dyDescent="0.2">
      <c r="A28" s="154"/>
      <c r="B28" s="5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31" s="90" customFormat="1" ht="54.75" customHeight="1" x14ac:dyDescent="0.2">
      <c r="A29" s="154"/>
      <c r="B29" s="140" t="s">
        <v>123</v>
      </c>
      <c r="C29" s="140" t="s">
        <v>162</v>
      </c>
      <c r="D29" s="141" t="s">
        <v>157</v>
      </c>
      <c r="E29" s="142" t="s">
        <v>62</v>
      </c>
      <c r="F29" s="142"/>
      <c r="G29" s="142"/>
      <c r="H29" s="143">
        <f>SUM(H30:H32)</f>
        <v>8046.6900000000005</v>
      </c>
      <c r="I29" s="143">
        <f>SUM(I30:I32)</f>
        <v>0</v>
      </c>
      <c r="J29" s="143">
        <f>SUM(J30:J32)</f>
        <v>8046.6900000000005</v>
      </c>
      <c r="K29" s="142"/>
      <c r="L29" s="142"/>
      <c r="M29" s="142"/>
      <c r="N29" s="142"/>
      <c r="O29" s="142"/>
      <c r="P29" s="142"/>
      <c r="Q29" s="145"/>
      <c r="R29" s="142"/>
      <c r="S29" s="142"/>
      <c r="T29" s="144"/>
      <c r="U29" s="143">
        <f>SUM(U30:U32)</f>
        <v>0</v>
      </c>
      <c r="V29" s="143">
        <f>SUM(V30:V32)</f>
        <v>75.224687999999986</v>
      </c>
      <c r="W29" s="143">
        <f>SUM(W30:W32)</f>
        <v>75.224687999999986</v>
      </c>
      <c r="X29" s="143">
        <f>SUM(X30:X32)</f>
        <v>7971.4653120000003</v>
      </c>
      <c r="Y29" s="87"/>
      <c r="Z29" s="120"/>
    </row>
    <row r="30" spans="1:31" s="90" customFormat="1" ht="54.75" customHeight="1" x14ac:dyDescent="0.2">
      <c r="A30" s="154"/>
      <c r="B30" s="116" t="s">
        <v>136</v>
      </c>
      <c r="C30" s="116" t="s">
        <v>145</v>
      </c>
      <c r="D30" s="124" t="s">
        <v>110</v>
      </c>
      <c r="E30" s="124" t="s">
        <v>216</v>
      </c>
      <c r="F30" s="151">
        <v>15</v>
      </c>
      <c r="G30" s="134">
        <v>178.81533333333334</v>
      </c>
      <c r="H30" s="152">
        <v>2682.23</v>
      </c>
      <c r="I30" s="153">
        <v>0</v>
      </c>
      <c r="J30" s="152">
        <f>SUM(H30:I30)</f>
        <v>2682.23</v>
      </c>
      <c r="K30" s="128">
        <f t="shared" ref="K30" si="30">IF(H30/15&lt;=123.22,I30,I30/2)</f>
        <v>0</v>
      </c>
      <c r="L30" s="128">
        <f t="shared" ref="L30" si="31">H30+K30</f>
        <v>2682.23</v>
      </c>
      <c r="M30" s="128">
        <f>VLOOKUP(L30,Tarifa1,1)</f>
        <v>2422.81</v>
      </c>
      <c r="N30" s="128">
        <f t="shared" ref="N30" si="32">L30-M30</f>
        <v>259.42000000000007</v>
      </c>
      <c r="O30" s="129">
        <f>VLOOKUP(L30,Tarifa1,3)</f>
        <v>0.10879999999999999</v>
      </c>
      <c r="P30" s="128">
        <f t="shared" ref="P30" si="33">N30*O30</f>
        <v>28.224896000000005</v>
      </c>
      <c r="Q30" s="130">
        <f>VLOOKUP(L30,Tarifa1,2)</f>
        <v>142.19999999999999</v>
      </c>
      <c r="R30" s="128">
        <f t="shared" ref="R30" si="34">P30+Q30</f>
        <v>170.42489599999999</v>
      </c>
      <c r="S30" s="128">
        <f>VLOOKUP(L30,Credito1,2)</f>
        <v>145.35</v>
      </c>
      <c r="T30" s="128">
        <f t="shared" ref="T30" si="35">R30-S30</f>
        <v>25.074895999999995</v>
      </c>
      <c r="U30" s="152">
        <f>-IF(T30&gt;0,0,T30)</f>
        <v>0</v>
      </c>
      <c r="V30" s="152">
        <f>IF(T30&lt;0,0,T30)</f>
        <v>25.074895999999995</v>
      </c>
      <c r="W30" s="152">
        <f>SUM(V30:V30)</f>
        <v>25.074895999999995</v>
      </c>
      <c r="X30" s="152">
        <f>J30+U30-W30</f>
        <v>2657.1551039999999</v>
      </c>
      <c r="Y30" s="89"/>
      <c r="Z30" s="120"/>
    </row>
    <row r="31" spans="1:31" s="69" customFormat="1" ht="54.95" customHeight="1" x14ac:dyDescent="0.2">
      <c r="A31" s="116" t="s">
        <v>108</v>
      </c>
      <c r="B31" s="116" t="s">
        <v>134</v>
      </c>
      <c r="C31" s="116" t="s">
        <v>145</v>
      </c>
      <c r="D31" s="121" t="s">
        <v>71</v>
      </c>
      <c r="E31" s="124" t="s">
        <v>216</v>
      </c>
      <c r="F31" s="133">
        <v>15</v>
      </c>
      <c r="G31" s="134">
        <v>178.81533333333334</v>
      </c>
      <c r="H31" s="152">
        <v>2682.23</v>
      </c>
      <c r="I31" s="153">
        <v>0</v>
      </c>
      <c r="J31" s="152">
        <f>SUM(H31:I31)</f>
        <v>2682.23</v>
      </c>
      <c r="K31" s="128">
        <f t="shared" ref="K31" si="36">IF(H31/15&lt;=123.22,I31,I31/2)</f>
        <v>0</v>
      </c>
      <c r="L31" s="128">
        <f t="shared" ref="L31" si="37">H31+K31</f>
        <v>2682.23</v>
      </c>
      <c r="M31" s="128">
        <f>VLOOKUP(L31,Tarifa1,1)</f>
        <v>2422.81</v>
      </c>
      <c r="N31" s="128">
        <f t="shared" ref="N31" si="38">L31-M31</f>
        <v>259.42000000000007</v>
      </c>
      <c r="O31" s="129">
        <f>VLOOKUP(L31,Tarifa1,3)</f>
        <v>0.10879999999999999</v>
      </c>
      <c r="P31" s="128">
        <f t="shared" ref="P31" si="39">N31*O31</f>
        <v>28.224896000000005</v>
      </c>
      <c r="Q31" s="130">
        <f>VLOOKUP(L31,Tarifa1,2)</f>
        <v>142.19999999999999</v>
      </c>
      <c r="R31" s="128">
        <f t="shared" ref="R31" si="40">P31+Q31</f>
        <v>170.42489599999999</v>
      </c>
      <c r="S31" s="128">
        <f>VLOOKUP(L31,Credito1,2)</f>
        <v>145.35</v>
      </c>
      <c r="T31" s="128">
        <f t="shared" ref="T31" si="41">R31-S31</f>
        <v>25.074895999999995</v>
      </c>
      <c r="U31" s="152">
        <f>-IF(T31&gt;0,0,T31)</f>
        <v>0</v>
      </c>
      <c r="V31" s="152">
        <f>IF(T31&lt;0,0,T31)</f>
        <v>25.074895999999995</v>
      </c>
      <c r="W31" s="152">
        <f>SUM(V31:V31)</f>
        <v>25.074895999999995</v>
      </c>
      <c r="X31" s="152">
        <f>J31+U31-W31</f>
        <v>2657.1551039999999</v>
      </c>
      <c r="Y31" s="76"/>
    </row>
    <row r="32" spans="1:31" s="69" customFormat="1" ht="54.95" customHeight="1" x14ac:dyDescent="0.2">
      <c r="A32" s="116"/>
      <c r="B32" s="116" t="s">
        <v>328</v>
      </c>
      <c r="C32" s="116" t="s">
        <v>145</v>
      </c>
      <c r="D32" s="121" t="s">
        <v>349</v>
      </c>
      <c r="E32" s="124" t="s">
        <v>216</v>
      </c>
      <c r="F32" s="133">
        <v>15</v>
      </c>
      <c r="G32" s="134">
        <v>178.81533333333334</v>
      </c>
      <c r="H32" s="152">
        <v>2682.23</v>
      </c>
      <c r="I32" s="153">
        <v>0</v>
      </c>
      <c r="J32" s="152">
        <f>SUM(H32:I32)</f>
        <v>2682.23</v>
      </c>
      <c r="K32" s="128">
        <f t="shared" ref="K32" si="42">IF(H32/15&lt;=123.22,I32,I32/2)</f>
        <v>0</v>
      </c>
      <c r="L32" s="128">
        <f t="shared" ref="L32" si="43">H32+K32</f>
        <v>2682.23</v>
      </c>
      <c r="M32" s="128">
        <f>VLOOKUP(L32,Tarifa1,1)</f>
        <v>2422.81</v>
      </c>
      <c r="N32" s="128">
        <f t="shared" ref="N32" si="44">L32-M32</f>
        <v>259.42000000000007</v>
      </c>
      <c r="O32" s="129">
        <f>VLOOKUP(L32,Tarifa1,3)</f>
        <v>0.10879999999999999</v>
      </c>
      <c r="P32" s="128">
        <f t="shared" ref="P32" si="45">N32*O32</f>
        <v>28.224896000000005</v>
      </c>
      <c r="Q32" s="130">
        <f>VLOOKUP(L32,Tarifa1,2)</f>
        <v>142.19999999999999</v>
      </c>
      <c r="R32" s="128">
        <f t="shared" ref="R32" si="46">P32+Q32</f>
        <v>170.42489599999999</v>
      </c>
      <c r="S32" s="128">
        <f>VLOOKUP(L32,Credito1,2)</f>
        <v>145.35</v>
      </c>
      <c r="T32" s="128">
        <f t="shared" ref="T32" si="47">R32-S32</f>
        <v>25.074895999999995</v>
      </c>
      <c r="U32" s="152">
        <f>-IF(T32&gt;0,0,T32)</f>
        <v>0</v>
      </c>
      <c r="V32" s="152">
        <f>IF(T32&lt;0,0,T32)</f>
        <v>25.074895999999995</v>
      </c>
      <c r="W32" s="152">
        <f>SUM(V32:V32)</f>
        <v>25.074895999999995</v>
      </c>
      <c r="X32" s="152">
        <f>J32+U32-W32</f>
        <v>2657.1551039999999</v>
      </c>
      <c r="Y32" s="74"/>
    </row>
    <row r="33" spans="1:25" s="69" customFormat="1" ht="54.95" customHeight="1" x14ac:dyDescent="0.2">
      <c r="A33" s="116"/>
      <c r="B33" s="140" t="s">
        <v>123</v>
      </c>
      <c r="C33" s="140" t="s">
        <v>162</v>
      </c>
      <c r="D33" s="141" t="s">
        <v>158</v>
      </c>
      <c r="E33" s="142" t="s">
        <v>62</v>
      </c>
      <c r="F33" s="142"/>
      <c r="G33" s="142"/>
      <c r="H33" s="143">
        <f>SUM(H34:H35)</f>
        <v>4879.08</v>
      </c>
      <c r="I33" s="143">
        <f>SUM(I34:I35)</f>
        <v>0</v>
      </c>
      <c r="J33" s="143">
        <f>SUM(J34:J35)</f>
        <v>4879.08</v>
      </c>
      <c r="K33" s="142"/>
      <c r="L33" s="142"/>
      <c r="M33" s="142"/>
      <c r="N33" s="142"/>
      <c r="O33" s="142"/>
      <c r="P33" s="142"/>
      <c r="Q33" s="145"/>
      <c r="R33" s="142"/>
      <c r="S33" s="142"/>
      <c r="T33" s="144"/>
      <c r="U33" s="143">
        <f>SUM(U34:U35)</f>
        <v>41.931567999999999</v>
      </c>
      <c r="V33" s="143">
        <f>SUM(V34:V35)</f>
        <v>0</v>
      </c>
      <c r="W33" s="143">
        <f>SUM(W34:W35)</f>
        <v>0</v>
      </c>
      <c r="X33" s="143">
        <f>SUM(X34:X35)</f>
        <v>4921.0115679999999</v>
      </c>
      <c r="Y33" s="293"/>
    </row>
    <row r="34" spans="1:25" s="69" customFormat="1" ht="54.95" customHeight="1" x14ac:dyDescent="0.2">
      <c r="A34" s="116"/>
      <c r="B34" s="116" t="s">
        <v>135</v>
      </c>
      <c r="C34" s="116" t="s">
        <v>145</v>
      </c>
      <c r="D34" s="121" t="s">
        <v>72</v>
      </c>
      <c r="E34" s="123" t="s">
        <v>89</v>
      </c>
      <c r="F34" s="133">
        <v>15</v>
      </c>
      <c r="G34" s="134">
        <v>73.040000000000006</v>
      </c>
      <c r="H34" s="119">
        <v>2311.48</v>
      </c>
      <c r="I34" s="126">
        <v>0</v>
      </c>
      <c r="J34" s="127">
        <f>SUM(H34:I34)</f>
        <v>2311.48</v>
      </c>
      <c r="K34" s="128">
        <f t="shared" ref="K34:K35" si="48">IF(H34/15&lt;=123.22,I34,I34/2)</f>
        <v>0</v>
      </c>
      <c r="L34" s="128">
        <f t="shared" ref="L34:L35" si="49">H34+K34</f>
        <v>2311.48</v>
      </c>
      <c r="M34" s="128">
        <f>VLOOKUP(L34,Tarifa1,1)</f>
        <v>285.45999999999998</v>
      </c>
      <c r="N34" s="128">
        <f t="shared" ref="N34:N35" si="50">L34-M34</f>
        <v>2026.02</v>
      </c>
      <c r="O34" s="129">
        <f>VLOOKUP(L34,Tarifa1,3)</f>
        <v>6.4000000000000001E-2</v>
      </c>
      <c r="P34" s="128">
        <f t="shared" ref="P34:P35" si="51">N34*O34</f>
        <v>129.66528</v>
      </c>
      <c r="Q34" s="130">
        <f>VLOOKUP(L34,Tarifa1,2)</f>
        <v>5.55</v>
      </c>
      <c r="R34" s="128">
        <f t="shared" ref="R34:R35" si="52">P34+Q34</f>
        <v>135.21528000000001</v>
      </c>
      <c r="S34" s="128">
        <f>VLOOKUP(L34,Credito1,2)</f>
        <v>174.75</v>
      </c>
      <c r="T34" s="128">
        <f t="shared" ref="T34:T35" si="53">R34-S34</f>
        <v>-39.534719999999993</v>
      </c>
      <c r="U34" s="127">
        <f>-IF(T34&gt;0,0,T34)</f>
        <v>39.534719999999993</v>
      </c>
      <c r="V34" s="127">
        <f>IF(T34&lt;0,0,T34)</f>
        <v>0</v>
      </c>
      <c r="W34" s="127">
        <f>SUM(V34:V34)</f>
        <v>0</v>
      </c>
      <c r="X34" s="127">
        <f>J34+U34-W34</f>
        <v>2351.0147200000001</v>
      </c>
      <c r="Y34" s="292"/>
    </row>
    <row r="35" spans="1:25" s="69" customFormat="1" ht="54.95" customHeight="1" x14ac:dyDescent="0.2">
      <c r="A35" s="116" t="s">
        <v>109</v>
      </c>
      <c r="B35" s="116" t="s">
        <v>383</v>
      </c>
      <c r="C35" s="116" t="s">
        <v>145</v>
      </c>
      <c r="D35" s="121" t="s">
        <v>388</v>
      </c>
      <c r="E35" s="123" t="s">
        <v>387</v>
      </c>
      <c r="F35" s="133">
        <v>15</v>
      </c>
      <c r="G35" s="134">
        <v>73.040000000000006</v>
      </c>
      <c r="H35" s="119">
        <v>2567.6</v>
      </c>
      <c r="I35" s="126">
        <v>0</v>
      </c>
      <c r="J35" s="127">
        <f>SUM(H35:I35)</f>
        <v>2567.6</v>
      </c>
      <c r="K35" s="128">
        <f t="shared" si="48"/>
        <v>0</v>
      </c>
      <c r="L35" s="128">
        <f t="shared" si="49"/>
        <v>2567.6</v>
      </c>
      <c r="M35" s="128">
        <f>VLOOKUP(L35,Tarifa1,1)</f>
        <v>2422.81</v>
      </c>
      <c r="N35" s="128">
        <f t="shared" si="50"/>
        <v>144.78999999999996</v>
      </c>
      <c r="O35" s="129">
        <f>VLOOKUP(L35,Tarifa1,3)</f>
        <v>0.10879999999999999</v>
      </c>
      <c r="P35" s="128">
        <f t="shared" si="51"/>
        <v>15.753151999999995</v>
      </c>
      <c r="Q35" s="130">
        <f>VLOOKUP(L35,Tarifa1,2)</f>
        <v>142.19999999999999</v>
      </c>
      <c r="R35" s="128">
        <f t="shared" si="52"/>
        <v>157.95315199999999</v>
      </c>
      <c r="S35" s="128">
        <f>VLOOKUP(L35,Credito1,2)</f>
        <v>160.35</v>
      </c>
      <c r="T35" s="128">
        <f t="shared" si="53"/>
        <v>-2.3968480000000056</v>
      </c>
      <c r="U35" s="127">
        <f>-IF(T35&gt;0,0,T35)</f>
        <v>2.3968480000000056</v>
      </c>
      <c r="V35" s="127">
        <f>IF(T35&lt;0,0,T35)</f>
        <v>0</v>
      </c>
      <c r="W35" s="127">
        <f>SUM(V35:V35)</f>
        <v>0</v>
      </c>
      <c r="X35" s="127">
        <f>J35+U35-W35</f>
        <v>2569.9968479999998</v>
      </c>
      <c r="Y35" s="76"/>
    </row>
    <row r="36" spans="1:25" s="69" customFormat="1" ht="21.75" customHeight="1" x14ac:dyDescent="0.2">
      <c r="A36" s="154"/>
      <c r="B36" s="155"/>
      <c r="C36" s="155"/>
      <c r="D36" s="156"/>
      <c r="E36" s="156"/>
      <c r="F36" s="157"/>
      <c r="G36" s="158"/>
      <c r="H36" s="159"/>
      <c r="I36" s="160"/>
      <c r="J36" s="161"/>
      <c r="K36" s="162"/>
      <c r="L36" s="162"/>
      <c r="M36" s="162"/>
      <c r="N36" s="162"/>
      <c r="O36" s="163"/>
      <c r="P36" s="162"/>
      <c r="Q36" s="162"/>
      <c r="R36" s="162"/>
      <c r="S36" s="162"/>
      <c r="T36" s="162"/>
      <c r="U36" s="161"/>
      <c r="V36" s="161"/>
      <c r="W36" s="161"/>
      <c r="X36" s="161"/>
    </row>
    <row r="37" spans="1:25" s="69" customFormat="1" ht="54.75" customHeight="1" thickBot="1" x14ac:dyDescent="0.25">
      <c r="A37" s="303" t="s">
        <v>45</v>
      </c>
      <c r="B37" s="304"/>
      <c r="C37" s="304"/>
      <c r="D37" s="304"/>
      <c r="E37" s="304"/>
      <c r="F37" s="304"/>
      <c r="G37" s="305"/>
      <c r="H37" s="164">
        <f>SUM(H9+H13+H15+H17+H20+H29+H33)</f>
        <v>82279.310000000012</v>
      </c>
      <c r="I37" s="164">
        <f>SUM(I9+I13+I15+I17+I20+I29+I33)</f>
        <v>0</v>
      </c>
      <c r="J37" s="164">
        <f>SUM(J9+J13+J15+J17+J20+J29+J33)</f>
        <v>82279.310000000012</v>
      </c>
      <c r="K37" s="165">
        <f t="shared" ref="K37:T37" si="54">SUM(K10:K35)</f>
        <v>0</v>
      </c>
      <c r="L37" s="165">
        <f t="shared" si="54"/>
        <v>82279.31</v>
      </c>
      <c r="M37" s="165">
        <f t="shared" si="54"/>
        <v>65694.87999999999</v>
      </c>
      <c r="N37" s="165">
        <f t="shared" si="54"/>
        <v>16584.43</v>
      </c>
      <c r="O37" s="165">
        <f t="shared" si="54"/>
        <v>1.9840000000000002</v>
      </c>
      <c r="P37" s="165">
        <f t="shared" si="54"/>
        <v>3469.3105760000012</v>
      </c>
      <c r="Q37" s="165">
        <f t="shared" si="54"/>
        <v>8182.35</v>
      </c>
      <c r="R37" s="165">
        <f t="shared" si="54"/>
        <v>11651.660576000004</v>
      </c>
      <c r="S37" s="165">
        <f t="shared" si="54"/>
        <v>931.5</v>
      </c>
      <c r="T37" s="165">
        <f t="shared" si="54"/>
        <v>10720.160576000002</v>
      </c>
      <c r="U37" s="164">
        <f>SUM(U9+U13+U15+U17+U20+U29+U33)</f>
        <v>48.628192000000013</v>
      </c>
      <c r="V37" s="164">
        <f>SUM(V9+V13+V15+V17+V20+V29+V33)</f>
        <v>10768.781327999999</v>
      </c>
      <c r="W37" s="164">
        <f>SUM(W9+W13+W15+W17+W20+W29+W33)</f>
        <v>10768.781327999999</v>
      </c>
      <c r="X37" s="164">
        <f>SUM(X9+X13+X15+X17+X20+X29+X33)</f>
        <v>71559.156864000004</v>
      </c>
    </row>
    <row r="38" spans="1:25" s="69" customFormat="1" ht="12" customHeight="1" thickTop="1" x14ac:dyDescent="0.2"/>
    <row r="39" spans="1:25" s="69" customFormat="1" ht="12" customHeight="1" x14ac:dyDescent="0.2"/>
    <row r="40" spans="1:25" s="69" customFormat="1" ht="12" customHeight="1" x14ac:dyDescent="0.2"/>
    <row r="41" spans="1:25" s="69" customFormat="1" ht="12" customHeight="1" x14ac:dyDescent="0.2"/>
    <row r="42" spans="1:25" s="69" customFormat="1" ht="12" customHeight="1" x14ac:dyDescent="0.2"/>
    <row r="43" spans="1:25" s="69" customFormat="1" ht="12" customHeight="1" x14ac:dyDescent="0.2"/>
    <row r="44" spans="1:25" s="69" customFormat="1" ht="12" customHeight="1" x14ac:dyDescent="0.2"/>
    <row r="45" spans="1:25" s="69" customFormat="1" ht="12" customHeight="1" x14ac:dyDescent="0.2"/>
    <row r="46" spans="1:25" s="69" customFormat="1" ht="12" x14ac:dyDescent="0.2"/>
    <row r="47" spans="1:25" s="69" customFormat="1" ht="12" x14ac:dyDescent="0.2">
      <c r="D47" s="69" t="s">
        <v>235</v>
      </c>
      <c r="V47" s="69" t="s">
        <v>111</v>
      </c>
    </row>
    <row r="48" spans="1:25" s="69" customFormat="1" ht="12" x14ac:dyDescent="0.2">
      <c r="D48" s="78" t="s">
        <v>234</v>
      </c>
      <c r="V48" s="78" t="s">
        <v>236</v>
      </c>
    </row>
    <row r="49" spans="4:37" s="69" customFormat="1" ht="12" x14ac:dyDescent="0.2">
      <c r="D49" s="78" t="s">
        <v>97</v>
      </c>
      <c r="E49" s="78"/>
      <c r="F49" s="78"/>
      <c r="G49" s="78"/>
      <c r="H49" s="78"/>
      <c r="I49" s="78"/>
      <c r="V49" s="78" t="s">
        <v>98</v>
      </c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J49" s="78"/>
      <c r="AK49" s="78"/>
    </row>
    <row r="50" spans="4:37" s="69" customFormat="1" ht="12" x14ac:dyDescent="0.2"/>
  </sheetData>
  <mergeCells count="10">
    <mergeCell ref="A37:G37"/>
    <mergeCell ref="A1:Y1"/>
    <mergeCell ref="A2:Y2"/>
    <mergeCell ref="A3:Y3"/>
    <mergeCell ref="H6:J6"/>
    <mergeCell ref="M6:R6"/>
    <mergeCell ref="V6:W6"/>
    <mergeCell ref="B24:Z24"/>
    <mergeCell ref="B25:Z25"/>
    <mergeCell ref="B26:Z2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" xr:uid="{00000000-0002-0000-0100-000000000000}"/>
  </dataValidation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J16 J11 J10 J21" formulaRange="1"/>
    <ignoredError sqref="C10 B12 C31:C32" numberStoredAsText="1"/>
    <ignoredError sqref="J13 K13:T13 U13:V13 J15 K15:T15 U15:V15 W13:X13 W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06" t="s">
        <v>93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</row>
    <row r="2" spans="1:25" ht="18" x14ac:dyDescent="0.25">
      <c r="A2" s="306" t="s">
        <v>66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</row>
    <row r="3" spans="1:25" ht="15" x14ac:dyDescent="0.2">
      <c r="A3" s="307" t="s">
        <v>391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7" t="s">
        <v>1</v>
      </c>
      <c r="I6" s="318"/>
      <c r="J6" s="319"/>
      <c r="K6" s="24" t="s">
        <v>26</v>
      </c>
      <c r="L6" s="25"/>
      <c r="M6" s="320" t="s">
        <v>9</v>
      </c>
      <c r="N6" s="321"/>
      <c r="O6" s="321"/>
      <c r="P6" s="321"/>
      <c r="Q6" s="321"/>
      <c r="R6" s="322"/>
      <c r="S6" s="24" t="s">
        <v>30</v>
      </c>
      <c r="T6" s="24" t="s">
        <v>10</v>
      </c>
      <c r="U6" s="23" t="s">
        <v>54</v>
      </c>
      <c r="V6" s="323" t="s">
        <v>2</v>
      </c>
      <c r="W6" s="324"/>
      <c r="X6" s="23" t="s">
        <v>0</v>
      </c>
      <c r="Y6" s="42"/>
    </row>
    <row r="7" spans="1:25" ht="22.5" x14ac:dyDescent="0.2">
      <c r="A7" s="26" t="s">
        <v>21</v>
      </c>
      <c r="B7" s="61" t="s">
        <v>123</v>
      </c>
      <c r="C7" s="61" t="s">
        <v>146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31" t="s">
        <v>88</v>
      </c>
      <c r="E9" s="46" t="s">
        <v>62</v>
      </c>
      <c r="F9" s="47"/>
      <c r="G9" s="47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49"/>
    </row>
    <row r="10" spans="1:25" s="188" customFormat="1" ht="75" customHeight="1" x14ac:dyDescent="0.2">
      <c r="A10" s="179">
        <v>1</v>
      </c>
      <c r="B10" s="180">
        <v>160</v>
      </c>
      <c r="C10" s="138" t="s">
        <v>145</v>
      </c>
      <c r="D10" s="166" t="s">
        <v>231</v>
      </c>
      <c r="E10" s="166" t="s">
        <v>88</v>
      </c>
      <c r="F10" s="181">
        <v>15</v>
      </c>
      <c r="G10" s="182">
        <f>H10/F10</f>
        <v>732.09733333333327</v>
      </c>
      <c r="H10" s="183">
        <v>10981.46</v>
      </c>
      <c r="I10" s="184">
        <v>0</v>
      </c>
      <c r="J10" s="185">
        <f>SUM(H10:I10)</f>
        <v>10981.46</v>
      </c>
      <c r="K10" s="172">
        <f>IF(H10/15&lt;=123.22,I10,I10/2)</f>
        <v>0</v>
      </c>
      <c r="L10" s="172">
        <f>H10+K10</f>
        <v>10981.46</v>
      </c>
      <c r="M10" s="172">
        <f>VLOOKUP(L10,Tarifa1,1)</f>
        <v>5925.91</v>
      </c>
      <c r="N10" s="172">
        <f>L10-M10</f>
        <v>5055.5499999999993</v>
      </c>
      <c r="O10" s="173">
        <f>VLOOKUP(L10,Tarifa1,3)</f>
        <v>0.21360000000000001</v>
      </c>
      <c r="P10" s="172">
        <f>N10*O10</f>
        <v>1079.8654799999999</v>
      </c>
      <c r="Q10" s="174">
        <f>VLOOKUP(L10,Tarifa1,2)</f>
        <v>627.6</v>
      </c>
      <c r="R10" s="172">
        <f>P10+Q10</f>
        <v>1707.4654799999998</v>
      </c>
      <c r="S10" s="172">
        <f>VLOOKUP(L10,Credito1,2)</f>
        <v>0</v>
      </c>
      <c r="T10" s="172">
        <f>R10-S10</f>
        <v>1707.4654799999998</v>
      </c>
      <c r="U10" s="185">
        <f>-IF(T10&gt;0,0,T10)</f>
        <v>0</v>
      </c>
      <c r="V10" s="186">
        <f>IF(T10&lt;0,0,T10)</f>
        <v>1707.4654799999998</v>
      </c>
      <c r="W10" s="185">
        <f>SUM(V10:V10)</f>
        <v>1707.4654799999998</v>
      </c>
      <c r="X10" s="185">
        <f>J10+U10-W10</f>
        <v>9273.9945200000002</v>
      </c>
      <c r="Y10" s="187"/>
    </row>
    <row r="11" spans="1:25" ht="30" customHeight="1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0.5" customHeight="1" thickBot="1" x14ac:dyDescent="0.3">
      <c r="A12" s="303" t="s">
        <v>45</v>
      </c>
      <c r="B12" s="304"/>
      <c r="C12" s="304"/>
      <c r="D12" s="304"/>
      <c r="E12" s="304"/>
      <c r="F12" s="304"/>
      <c r="G12" s="305"/>
      <c r="H12" s="39">
        <f t="shared" ref="H12:X12" si="0">SUM(H10:H11)</f>
        <v>10981.46</v>
      </c>
      <c r="I12" s="39">
        <f t="shared" si="0"/>
        <v>0</v>
      </c>
      <c r="J12" s="39">
        <f t="shared" si="0"/>
        <v>10981.46</v>
      </c>
      <c r="K12" s="40">
        <f t="shared" si="0"/>
        <v>0</v>
      </c>
      <c r="L12" s="40">
        <f t="shared" si="0"/>
        <v>10981.46</v>
      </c>
      <c r="M12" s="40">
        <f t="shared" si="0"/>
        <v>5925.91</v>
      </c>
      <c r="N12" s="40">
        <f t="shared" si="0"/>
        <v>5055.5499999999993</v>
      </c>
      <c r="O12" s="40">
        <f t="shared" si="0"/>
        <v>0.21360000000000001</v>
      </c>
      <c r="P12" s="40">
        <f t="shared" si="0"/>
        <v>1079.8654799999999</v>
      </c>
      <c r="Q12" s="40">
        <f t="shared" si="0"/>
        <v>627.6</v>
      </c>
      <c r="R12" s="40">
        <f t="shared" si="0"/>
        <v>1707.4654799999998</v>
      </c>
      <c r="S12" s="40">
        <f t="shared" si="0"/>
        <v>0</v>
      </c>
      <c r="T12" s="40">
        <f t="shared" si="0"/>
        <v>1707.4654799999998</v>
      </c>
      <c r="U12" s="39">
        <f t="shared" si="0"/>
        <v>0</v>
      </c>
      <c r="V12" s="39">
        <f t="shared" si="0"/>
        <v>1707.4654799999998</v>
      </c>
      <c r="W12" s="39">
        <f t="shared" si="0"/>
        <v>1707.4654799999998</v>
      </c>
      <c r="X12" s="39">
        <f t="shared" si="0"/>
        <v>9273.9945200000002</v>
      </c>
    </row>
    <row r="13" spans="1:25" ht="13.5" thickTop="1" x14ac:dyDescent="0.2"/>
    <row r="22" spans="4:37" x14ac:dyDescent="0.2">
      <c r="D22" s="4" t="s">
        <v>237</v>
      </c>
      <c r="V22" t="s">
        <v>111</v>
      </c>
    </row>
    <row r="23" spans="4:37" x14ac:dyDescent="0.2">
      <c r="D23" s="78" t="s">
        <v>234</v>
      </c>
      <c r="H23" s="4"/>
      <c r="V23" s="78" t="s">
        <v>239</v>
      </c>
    </row>
    <row r="24" spans="4:37" x14ac:dyDescent="0.2">
      <c r="D24" s="51" t="s">
        <v>238</v>
      </c>
      <c r="E24" s="51"/>
      <c r="F24" s="51"/>
      <c r="G24" s="51"/>
      <c r="H24" s="51"/>
      <c r="I24" s="51"/>
      <c r="V24" s="51" t="s">
        <v>98</v>
      </c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J24" s="51"/>
      <c r="AK24" s="51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06" t="s">
        <v>93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</row>
    <row r="2" spans="1:25" ht="18" x14ac:dyDescent="0.25">
      <c r="A2" s="306" t="s">
        <v>66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</row>
    <row r="3" spans="1:25" ht="15" x14ac:dyDescent="0.2">
      <c r="A3" s="307" t="s">
        <v>391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7" t="s">
        <v>1</v>
      </c>
      <c r="I6" s="318"/>
      <c r="J6" s="319"/>
      <c r="K6" s="24" t="s">
        <v>26</v>
      </c>
      <c r="L6" s="25"/>
      <c r="M6" s="320" t="s">
        <v>9</v>
      </c>
      <c r="N6" s="321"/>
      <c r="O6" s="321"/>
      <c r="P6" s="321"/>
      <c r="Q6" s="321"/>
      <c r="R6" s="322"/>
      <c r="S6" s="24" t="s">
        <v>30</v>
      </c>
      <c r="T6" s="24" t="s">
        <v>10</v>
      </c>
      <c r="U6" s="23" t="s">
        <v>54</v>
      </c>
      <c r="V6" s="323" t="s">
        <v>2</v>
      </c>
      <c r="W6" s="324"/>
      <c r="X6" s="23" t="s">
        <v>0</v>
      </c>
      <c r="Y6" s="42"/>
    </row>
    <row r="7" spans="1:25" ht="22.5" x14ac:dyDescent="0.2">
      <c r="A7" s="26" t="s">
        <v>21</v>
      </c>
      <c r="B7" s="61" t="s">
        <v>123</v>
      </c>
      <c r="C7" s="61" t="s">
        <v>146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47.25" customHeight="1" x14ac:dyDescent="0.25">
      <c r="A9" s="47"/>
      <c r="B9" s="47"/>
      <c r="C9" s="47"/>
      <c r="D9" s="131" t="s">
        <v>325</v>
      </c>
      <c r="E9" s="46" t="s">
        <v>62</v>
      </c>
      <c r="F9" s="47"/>
      <c r="G9" s="47"/>
      <c r="H9" s="228">
        <f>H10</f>
        <v>11606.91</v>
      </c>
      <c r="I9" s="228">
        <f>I10</f>
        <v>0</v>
      </c>
      <c r="J9" s="228">
        <f>J10</f>
        <v>11606.91</v>
      </c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28">
        <f>U10</f>
        <v>0</v>
      </c>
      <c r="V9" s="228">
        <f>V10</f>
        <v>1841.0616</v>
      </c>
      <c r="W9" s="228">
        <f>W10</f>
        <v>1841.0616</v>
      </c>
      <c r="X9" s="228">
        <f>X10</f>
        <v>9765.8483999999989</v>
      </c>
      <c r="Y9" s="49"/>
    </row>
    <row r="10" spans="1:25" s="188" customFormat="1" ht="75" customHeight="1" x14ac:dyDescent="0.2">
      <c r="A10" s="179">
        <v>1</v>
      </c>
      <c r="B10" s="180">
        <v>161</v>
      </c>
      <c r="C10" s="138" t="s">
        <v>232</v>
      </c>
      <c r="D10" s="166" t="s">
        <v>209</v>
      </c>
      <c r="E10" s="177" t="s">
        <v>286</v>
      </c>
      <c r="F10" s="181">
        <v>15</v>
      </c>
      <c r="G10" s="182">
        <f>H10/F10</f>
        <v>773.79399999999998</v>
      </c>
      <c r="H10" s="183">
        <v>11606.91</v>
      </c>
      <c r="I10" s="184">
        <v>0</v>
      </c>
      <c r="J10" s="185">
        <f>SUM(H10:I10)</f>
        <v>11606.91</v>
      </c>
      <c r="K10" s="128">
        <f>IF(H10/15&lt;=123.22,I10,I10/2)</f>
        <v>0</v>
      </c>
      <c r="L10" s="128">
        <f>H10+K10</f>
        <v>11606.91</v>
      </c>
      <c r="M10" s="128">
        <f>VLOOKUP(L10,Tarifa1,1)</f>
        <v>5925.91</v>
      </c>
      <c r="N10" s="128">
        <f>L10-M10</f>
        <v>5681</v>
      </c>
      <c r="O10" s="129">
        <f>VLOOKUP(L10,Tarifa1,3)</f>
        <v>0.21360000000000001</v>
      </c>
      <c r="P10" s="128">
        <f>N10*O10</f>
        <v>1213.4616000000001</v>
      </c>
      <c r="Q10" s="130">
        <f>VLOOKUP(L10,Tarifa1,2)</f>
        <v>627.6</v>
      </c>
      <c r="R10" s="128">
        <f>P10+Q10</f>
        <v>1841.0616</v>
      </c>
      <c r="S10" s="128">
        <f>VLOOKUP(L10,Credito1,2)</f>
        <v>0</v>
      </c>
      <c r="T10" s="128">
        <f>R10-S10</f>
        <v>1841.0616</v>
      </c>
      <c r="U10" s="185">
        <f>-IF(T10&gt;0,0,T10)</f>
        <v>0</v>
      </c>
      <c r="V10" s="186">
        <f>IF(T10&lt;0,0,T10)</f>
        <v>1841.0616</v>
      </c>
      <c r="W10" s="185">
        <f>SUM(V10:V10)</f>
        <v>1841.0616</v>
      </c>
      <c r="X10" s="185">
        <f>J10+U10-W10</f>
        <v>9765.8483999999989</v>
      </c>
      <c r="Y10" s="187"/>
    </row>
    <row r="11" spans="1:25" s="188" customFormat="1" ht="75" customHeight="1" x14ac:dyDescent="0.25">
      <c r="A11" s="202"/>
      <c r="B11" s="203" t="s">
        <v>123</v>
      </c>
      <c r="C11" s="203" t="s">
        <v>162</v>
      </c>
      <c r="D11" s="45" t="s">
        <v>165</v>
      </c>
      <c r="E11" s="45" t="s">
        <v>62</v>
      </c>
      <c r="F11" s="45"/>
      <c r="G11" s="45"/>
      <c r="H11" s="199">
        <f>SUM(H12)</f>
        <v>6482.16</v>
      </c>
      <c r="I11" s="199">
        <f>SUM(I12)</f>
        <v>0</v>
      </c>
      <c r="J11" s="199">
        <f>SUM(J12)</f>
        <v>6482.16</v>
      </c>
      <c r="K11" s="45"/>
      <c r="L11" s="45"/>
      <c r="M11" s="45"/>
      <c r="N11" s="45"/>
      <c r="O11" s="45"/>
      <c r="P11" s="45"/>
      <c r="Q11" s="200"/>
      <c r="R11" s="45"/>
      <c r="S11" s="45"/>
      <c r="T11" s="45"/>
      <c r="U11" s="199">
        <f>SUM(U12)</f>
        <v>0</v>
      </c>
      <c r="V11" s="199">
        <f>SUM(V12)</f>
        <v>746.41500000000008</v>
      </c>
      <c r="W11" s="199">
        <f>SUM(W12)</f>
        <v>746.41500000000008</v>
      </c>
      <c r="X11" s="199">
        <f>SUM(X12)</f>
        <v>5735.7449999999999</v>
      </c>
      <c r="Y11" s="49"/>
    </row>
    <row r="12" spans="1:25" ht="75" customHeight="1" x14ac:dyDescent="0.2">
      <c r="A12" s="33"/>
      <c r="B12" s="138" t="s">
        <v>268</v>
      </c>
      <c r="C12" s="62" t="s">
        <v>145</v>
      </c>
      <c r="D12" s="166" t="s">
        <v>233</v>
      </c>
      <c r="E12" s="166" t="s">
        <v>119</v>
      </c>
      <c r="F12" s="167">
        <v>15</v>
      </c>
      <c r="G12" s="168">
        <f t="shared" ref="G12" si="0">H12/F12</f>
        <v>432.14400000000001</v>
      </c>
      <c r="H12" s="169">
        <v>6482.16</v>
      </c>
      <c r="I12" s="170">
        <v>0</v>
      </c>
      <c r="J12" s="171">
        <f>SUM(H12:I12)</f>
        <v>6482.16</v>
      </c>
      <c r="K12" s="128">
        <f>IF(H12/15&lt;=123.22,I12,I12/2)</f>
        <v>0</v>
      </c>
      <c r="L12" s="128">
        <f>H12+K12</f>
        <v>6482.16</v>
      </c>
      <c r="M12" s="128">
        <f>VLOOKUP(L12,Tarifa1,1)</f>
        <v>5925.91</v>
      </c>
      <c r="N12" s="128">
        <f>L12-M12</f>
        <v>556.25</v>
      </c>
      <c r="O12" s="129">
        <f>VLOOKUP(L12,Tarifa1,3)</f>
        <v>0.21360000000000001</v>
      </c>
      <c r="P12" s="128">
        <f>N12*O12</f>
        <v>118.81500000000001</v>
      </c>
      <c r="Q12" s="130">
        <f>VLOOKUP(L12,Tarifa1,2)</f>
        <v>627.6</v>
      </c>
      <c r="R12" s="128">
        <f>P12+Q12</f>
        <v>746.41500000000008</v>
      </c>
      <c r="S12" s="128">
        <f>VLOOKUP(L12,Credito1,2)</f>
        <v>0</v>
      </c>
      <c r="T12" s="128">
        <f>R12-S12</f>
        <v>746.41500000000008</v>
      </c>
      <c r="U12" s="171">
        <f>-IF(T12&gt;0,0,T12)</f>
        <v>0</v>
      </c>
      <c r="V12" s="171">
        <f>IF(T12&lt;0,0,T12)</f>
        <v>746.41500000000008</v>
      </c>
      <c r="W12" s="171">
        <f>SUM(V12:V12)</f>
        <v>746.41500000000008</v>
      </c>
      <c r="X12" s="127">
        <f>J12+U12-W12</f>
        <v>5735.7449999999999</v>
      </c>
      <c r="Y12" s="41"/>
    </row>
    <row r="13" spans="1:25" ht="30" customHeight="1" x14ac:dyDescent="0.2">
      <c r="A13" s="33"/>
      <c r="B13" s="217"/>
      <c r="C13" s="218"/>
      <c r="D13" s="219"/>
      <c r="E13" s="219"/>
      <c r="F13" s="220"/>
      <c r="G13" s="221"/>
      <c r="H13" s="222"/>
      <c r="I13" s="223"/>
      <c r="J13" s="224"/>
      <c r="K13" s="225"/>
      <c r="L13" s="225"/>
      <c r="M13" s="225"/>
      <c r="N13" s="225"/>
      <c r="O13" s="226"/>
      <c r="P13" s="225"/>
      <c r="Q13" s="227"/>
      <c r="R13" s="225"/>
      <c r="S13" s="225"/>
      <c r="T13" s="225"/>
      <c r="U13" s="224"/>
      <c r="V13" s="224"/>
      <c r="W13" s="224"/>
      <c r="X13" s="224"/>
    </row>
    <row r="14" spans="1:25" ht="40.5" customHeight="1" thickBot="1" x14ac:dyDescent="0.3">
      <c r="A14" s="303" t="s">
        <v>45</v>
      </c>
      <c r="B14" s="304"/>
      <c r="C14" s="304"/>
      <c r="D14" s="304"/>
      <c r="E14" s="304"/>
      <c r="F14" s="304"/>
      <c r="G14" s="305"/>
      <c r="H14" s="39">
        <f>H9+H11</f>
        <v>18089.07</v>
      </c>
      <c r="I14" s="39">
        <f>I9+I11</f>
        <v>0</v>
      </c>
      <c r="J14" s="39">
        <f>J9+J11</f>
        <v>18089.07</v>
      </c>
      <c r="K14" s="40">
        <f t="shared" ref="K14:T14" si="1">SUM(K10:K12)</f>
        <v>0</v>
      </c>
      <c r="L14" s="40">
        <f t="shared" si="1"/>
        <v>18089.07</v>
      </c>
      <c r="M14" s="40">
        <f t="shared" si="1"/>
        <v>11851.82</v>
      </c>
      <c r="N14" s="40">
        <f t="shared" si="1"/>
        <v>6237.25</v>
      </c>
      <c r="O14" s="40">
        <f t="shared" si="1"/>
        <v>0.42720000000000002</v>
      </c>
      <c r="P14" s="40">
        <f t="shared" si="1"/>
        <v>1332.2766000000001</v>
      </c>
      <c r="Q14" s="40">
        <f t="shared" si="1"/>
        <v>1255.2</v>
      </c>
      <c r="R14" s="40">
        <f t="shared" si="1"/>
        <v>2587.4766</v>
      </c>
      <c r="S14" s="40">
        <f t="shared" si="1"/>
        <v>0</v>
      </c>
      <c r="T14" s="40">
        <f t="shared" si="1"/>
        <v>2587.4766</v>
      </c>
      <c r="U14" s="39">
        <f>U9+U11</f>
        <v>0</v>
      </c>
      <c r="V14" s="39">
        <f>V9+V11</f>
        <v>2587.4766</v>
      </c>
      <c r="W14" s="39">
        <f>W9+W11</f>
        <v>2587.4766</v>
      </c>
      <c r="X14" s="39">
        <f>X9+X11</f>
        <v>15501.593399999998</v>
      </c>
    </row>
    <row r="15" spans="1:25" ht="13.5" thickTop="1" x14ac:dyDescent="0.2"/>
    <row r="24" spans="4:37" x14ac:dyDescent="0.2">
      <c r="D24" s="4" t="s">
        <v>237</v>
      </c>
      <c r="V24" t="s">
        <v>111</v>
      </c>
    </row>
    <row r="25" spans="4:37" x14ac:dyDescent="0.2">
      <c r="D25" s="78" t="s">
        <v>234</v>
      </c>
      <c r="H25" s="4"/>
      <c r="V25" s="78" t="s">
        <v>239</v>
      </c>
    </row>
    <row r="26" spans="4:37" x14ac:dyDescent="0.2">
      <c r="D26" s="51" t="s">
        <v>238</v>
      </c>
      <c r="E26" s="51"/>
      <c r="F26" s="51"/>
      <c r="G26" s="51"/>
      <c r="H26" s="51"/>
      <c r="I26" s="51"/>
      <c r="V26" s="51" t="s">
        <v>98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J26" s="51"/>
      <c r="AK26" s="51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6"/>
  <sheetViews>
    <sheetView topLeftCell="B2" zoomScale="80" zoomScaleNormal="8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5.7109375" customWidth="1"/>
    <col min="5" max="5" width="31.5703125" customWidth="1"/>
    <col min="6" max="6" width="6.5703125" hidden="1" customWidth="1"/>
    <col min="7" max="7" width="10" hidden="1" customWidth="1"/>
    <col min="8" max="8" width="14.85546875" customWidth="1"/>
    <col min="9" max="9" width="13.42578125" customWidth="1"/>
    <col min="10" max="10" width="15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4.140625" customWidth="1"/>
    <col min="25" max="25" width="108" customWidth="1"/>
  </cols>
  <sheetData>
    <row r="1" spans="1:31" ht="18" x14ac:dyDescent="0.25">
      <c r="A1" s="306" t="s">
        <v>93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</row>
    <row r="2" spans="1:31" ht="18" x14ac:dyDescent="0.25">
      <c r="A2" s="306" t="s">
        <v>66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</row>
    <row r="3" spans="1:31" ht="15" x14ac:dyDescent="0.2">
      <c r="A3" s="307" t="s">
        <v>391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9" customFormat="1" ht="12.75" customHeight="1" x14ac:dyDescent="0.2">
      <c r="A5" s="65"/>
      <c r="B5" s="65"/>
      <c r="C5" s="328" t="s">
        <v>146</v>
      </c>
      <c r="D5" s="65"/>
      <c r="E5" s="65"/>
      <c r="F5" s="66" t="s">
        <v>23</v>
      </c>
      <c r="G5" s="66" t="s">
        <v>6</v>
      </c>
      <c r="H5" s="309" t="s">
        <v>1</v>
      </c>
      <c r="I5" s="310"/>
      <c r="J5" s="311"/>
      <c r="K5" s="67" t="s">
        <v>26</v>
      </c>
      <c r="L5" s="68"/>
      <c r="M5" s="312" t="s">
        <v>9</v>
      </c>
      <c r="N5" s="313"/>
      <c r="O5" s="313"/>
      <c r="P5" s="313"/>
      <c r="Q5" s="313"/>
      <c r="R5" s="314"/>
      <c r="S5" s="67" t="s">
        <v>30</v>
      </c>
      <c r="T5" s="67" t="s">
        <v>10</v>
      </c>
      <c r="U5" s="66" t="s">
        <v>54</v>
      </c>
      <c r="V5" s="315" t="s">
        <v>2</v>
      </c>
      <c r="W5" s="316"/>
      <c r="X5" s="66" t="s">
        <v>0</v>
      </c>
      <c r="Y5" s="65"/>
    </row>
    <row r="6" spans="1:31" s="69" customFormat="1" ht="24" x14ac:dyDescent="0.2">
      <c r="A6" s="70" t="s">
        <v>21</v>
      </c>
      <c r="B6" s="64" t="s">
        <v>123</v>
      </c>
      <c r="C6" s="329"/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68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31" s="69" customFormat="1" ht="12" x14ac:dyDescent="0.2">
      <c r="A7" s="79"/>
      <c r="B7" s="79"/>
      <c r="C7" s="330"/>
      <c r="D7" s="79"/>
      <c r="E7" s="79"/>
      <c r="F7" s="79"/>
      <c r="G7" s="79"/>
      <c r="H7" s="79" t="s">
        <v>47</v>
      </c>
      <c r="I7" s="79" t="s">
        <v>60</v>
      </c>
      <c r="J7" s="79" t="s">
        <v>29</v>
      </c>
      <c r="K7" s="81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67" t="s">
        <v>15</v>
      </c>
      <c r="R7" s="67" t="s">
        <v>39</v>
      </c>
      <c r="S7" s="72" t="s">
        <v>19</v>
      </c>
      <c r="T7" s="73" t="s">
        <v>163</v>
      </c>
      <c r="U7" s="79" t="s">
        <v>53</v>
      </c>
      <c r="V7" s="79"/>
      <c r="W7" s="79" t="s">
        <v>44</v>
      </c>
      <c r="X7" s="79" t="s">
        <v>5</v>
      </c>
      <c r="Y7" s="75"/>
    </row>
    <row r="8" spans="1:31" s="69" customFormat="1" ht="12" x14ac:dyDescent="0.2">
      <c r="A8" s="82"/>
      <c r="B8" s="82"/>
      <c r="C8" s="82"/>
      <c r="D8" s="84" t="s">
        <v>77</v>
      </c>
      <c r="E8" s="82" t="s">
        <v>62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6"/>
      <c r="U8" s="82"/>
      <c r="V8" s="82"/>
      <c r="W8" s="82"/>
      <c r="X8" s="82"/>
      <c r="Y8" s="87"/>
    </row>
    <row r="9" spans="1:31" s="188" customFormat="1" ht="95.1" customHeight="1" x14ac:dyDescent="0.25">
      <c r="A9" s="249" t="s">
        <v>102</v>
      </c>
      <c r="B9" s="250" t="s">
        <v>317</v>
      </c>
      <c r="C9" s="251" t="s">
        <v>232</v>
      </c>
      <c r="D9" s="252" t="s">
        <v>314</v>
      </c>
      <c r="E9" s="253" t="s">
        <v>380</v>
      </c>
      <c r="F9" s="254">
        <v>15</v>
      </c>
      <c r="G9" s="255">
        <f t="shared" ref="G9:G12" si="0">H9/F9</f>
        <v>624.09533333333331</v>
      </c>
      <c r="H9" s="241">
        <v>9361.43</v>
      </c>
      <c r="I9" s="242">
        <v>0</v>
      </c>
      <c r="J9" s="243">
        <f t="shared" ref="J9" si="1">SUM(H9:I9)</f>
        <v>9361.43</v>
      </c>
      <c r="K9" s="244">
        <f>IF(H9/15&lt;=123.22,I9,I9/2)</f>
        <v>0</v>
      </c>
      <c r="L9" s="244">
        <f>H9+K9</f>
        <v>9361.43</v>
      </c>
      <c r="M9" s="244">
        <f t="shared" ref="M9" si="2">VLOOKUP(L9,Tarifa1,1)</f>
        <v>5925.91</v>
      </c>
      <c r="N9" s="244">
        <f>L9-M9</f>
        <v>3435.5200000000004</v>
      </c>
      <c r="O9" s="245">
        <f t="shared" ref="O9" si="3">VLOOKUP(L9,Tarifa1,3)</f>
        <v>0.21360000000000001</v>
      </c>
      <c r="P9" s="244">
        <f>N9*O9</f>
        <v>733.82707200000016</v>
      </c>
      <c r="Q9" s="246">
        <f t="shared" ref="Q9" si="4">VLOOKUP(L9,Tarifa1,2)</f>
        <v>627.6</v>
      </c>
      <c r="R9" s="244">
        <f>P9+Q9</f>
        <v>1361.4270720000002</v>
      </c>
      <c r="S9" s="244">
        <f t="shared" ref="S9" si="5">VLOOKUP(L9,Credito1,2)</f>
        <v>0</v>
      </c>
      <c r="T9" s="244">
        <f>R9-S9</f>
        <v>1361.4270720000002</v>
      </c>
      <c r="U9" s="243">
        <f t="shared" ref="U9" si="6">-IF(T9&gt;0,0,T9)</f>
        <v>0</v>
      </c>
      <c r="V9" s="243">
        <f t="shared" ref="V9" si="7">IF(T9&lt;0,0,T9)</f>
        <v>1361.4270720000002</v>
      </c>
      <c r="W9" s="243">
        <f>SUM(V9:V9)</f>
        <v>1361.4270720000002</v>
      </c>
      <c r="X9" s="243">
        <f>J9+U9-W9</f>
        <v>8000.0029279999999</v>
      </c>
      <c r="Y9" s="262"/>
      <c r="Z9" s="190"/>
      <c r="AE9" s="191"/>
    </row>
    <row r="10" spans="1:31" s="188" customFormat="1" ht="95.1" customHeight="1" x14ac:dyDescent="0.25">
      <c r="A10" s="249"/>
      <c r="B10" s="250" t="s">
        <v>263</v>
      </c>
      <c r="C10" s="251" t="s">
        <v>145</v>
      </c>
      <c r="D10" s="252" t="s">
        <v>198</v>
      </c>
      <c r="E10" s="253" t="s">
        <v>199</v>
      </c>
      <c r="F10" s="254">
        <v>15</v>
      </c>
      <c r="G10" s="255">
        <f t="shared" ref="G10" si="8">H10/F10</f>
        <v>259.10000000000002</v>
      </c>
      <c r="H10" s="256">
        <v>3886.5</v>
      </c>
      <c r="I10" s="257">
        <v>0</v>
      </c>
      <c r="J10" s="258">
        <f>SUM(H10:I10)</f>
        <v>3886.5</v>
      </c>
      <c r="K10" s="259">
        <f t="shared" ref="K10:K12" si="9">IF(H10/15&lt;=123.22,I10,I10/2)</f>
        <v>0</v>
      </c>
      <c r="L10" s="259">
        <f t="shared" ref="L10:L12" si="10">H10+K10</f>
        <v>3886.5</v>
      </c>
      <c r="M10" s="259">
        <f t="shared" ref="M10:M36" si="11">VLOOKUP(L10,Tarifa1,1)</f>
        <v>2422.81</v>
      </c>
      <c r="N10" s="259">
        <f t="shared" ref="N10:N12" si="12">L10-M10</f>
        <v>1463.69</v>
      </c>
      <c r="O10" s="260">
        <f t="shared" ref="O10:O36" si="13">VLOOKUP(L10,Tarifa1,3)</f>
        <v>0.10879999999999999</v>
      </c>
      <c r="P10" s="259">
        <f t="shared" ref="P10:P12" si="14">N10*O10</f>
        <v>159.249472</v>
      </c>
      <c r="Q10" s="261">
        <f t="shared" ref="Q10:Q36" si="15">VLOOKUP(L10,Tarifa1,2)</f>
        <v>142.19999999999999</v>
      </c>
      <c r="R10" s="259">
        <f t="shared" ref="R10:R12" si="16">P10+Q10</f>
        <v>301.44947200000001</v>
      </c>
      <c r="S10" s="259">
        <f t="shared" ref="S10:S36" si="17">VLOOKUP(L10,Credito1,2)</f>
        <v>0</v>
      </c>
      <c r="T10" s="259">
        <f t="shared" ref="T10:T12" si="18">R10-S10</f>
        <v>301.44947200000001</v>
      </c>
      <c r="U10" s="258">
        <f t="shared" ref="U10" si="19">-IF(T10&gt;0,0,T10)</f>
        <v>0</v>
      </c>
      <c r="V10" s="258">
        <f>IF(T10&lt;0,0,T10)</f>
        <v>301.44947200000001</v>
      </c>
      <c r="W10" s="258">
        <f>SUM(V10:V10)</f>
        <v>301.44947200000001</v>
      </c>
      <c r="X10" s="258">
        <f>J10+U10-W10</f>
        <v>3585.0505279999998</v>
      </c>
      <c r="Y10" s="262"/>
      <c r="Z10" s="190"/>
      <c r="AE10" s="191"/>
    </row>
    <row r="11" spans="1:31" s="188" customFormat="1" ht="95.1" customHeight="1" x14ac:dyDescent="0.25">
      <c r="A11" s="249" t="s">
        <v>103</v>
      </c>
      <c r="B11" s="250" t="s">
        <v>264</v>
      </c>
      <c r="C11" s="251" t="s">
        <v>145</v>
      </c>
      <c r="D11" s="252" t="s">
        <v>200</v>
      </c>
      <c r="E11" s="253" t="s">
        <v>203</v>
      </c>
      <c r="F11" s="254">
        <v>15</v>
      </c>
      <c r="G11" s="255">
        <f t="shared" si="0"/>
        <v>518.70799999999997</v>
      </c>
      <c r="H11" s="256">
        <v>7780.62</v>
      </c>
      <c r="I11" s="257">
        <v>0</v>
      </c>
      <c r="J11" s="258">
        <f>SUM(H11:I11)</f>
        <v>7780.62</v>
      </c>
      <c r="K11" s="259">
        <f t="shared" si="9"/>
        <v>0</v>
      </c>
      <c r="L11" s="259">
        <f t="shared" si="10"/>
        <v>7780.62</v>
      </c>
      <c r="M11" s="259">
        <f t="shared" si="11"/>
        <v>5925.91</v>
      </c>
      <c r="N11" s="259">
        <f t="shared" si="12"/>
        <v>1854.71</v>
      </c>
      <c r="O11" s="260">
        <f t="shared" si="13"/>
        <v>0.21360000000000001</v>
      </c>
      <c r="P11" s="259">
        <f t="shared" si="14"/>
        <v>396.16605600000003</v>
      </c>
      <c r="Q11" s="261">
        <f t="shared" si="15"/>
        <v>627.6</v>
      </c>
      <c r="R11" s="259">
        <f t="shared" si="16"/>
        <v>1023.766056</v>
      </c>
      <c r="S11" s="259">
        <f t="shared" si="17"/>
        <v>0</v>
      </c>
      <c r="T11" s="259">
        <f t="shared" si="18"/>
        <v>1023.766056</v>
      </c>
      <c r="U11" s="258">
        <f t="shared" ref="U11:U12" si="20">-IF(T11&gt;0,0,T11)</f>
        <v>0</v>
      </c>
      <c r="V11" s="258">
        <f>IF(T11&lt;0,0,T11)</f>
        <v>1023.766056</v>
      </c>
      <c r="W11" s="258">
        <f>SUM(V11:V11)</f>
        <v>1023.766056</v>
      </c>
      <c r="X11" s="258">
        <f>J11+U11-W11</f>
        <v>6756.8539439999995</v>
      </c>
      <c r="Y11" s="262"/>
      <c r="AE11" s="192"/>
    </row>
    <row r="12" spans="1:31" s="188" customFormat="1" ht="95.1" customHeight="1" x14ac:dyDescent="0.25">
      <c r="A12" s="249" t="s">
        <v>104</v>
      </c>
      <c r="B12" s="251" t="s">
        <v>140</v>
      </c>
      <c r="C12" s="251" t="s">
        <v>145</v>
      </c>
      <c r="D12" s="252" t="s">
        <v>74</v>
      </c>
      <c r="E12" s="253" t="s">
        <v>202</v>
      </c>
      <c r="F12" s="254">
        <v>15</v>
      </c>
      <c r="G12" s="255">
        <f t="shared" si="0"/>
        <v>429.97999999999996</v>
      </c>
      <c r="H12" s="256">
        <v>6449.7</v>
      </c>
      <c r="I12" s="257">
        <v>426.2</v>
      </c>
      <c r="J12" s="258">
        <f>SUM(H12:I12)</f>
        <v>6875.9</v>
      </c>
      <c r="K12" s="259">
        <f t="shared" si="9"/>
        <v>213.1</v>
      </c>
      <c r="L12" s="259">
        <f t="shared" si="10"/>
        <v>6662.8</v>
      </c>
      <c r="M12" s="259">
        <f t="shared" si="11"/>
        <v>5925.91</v>
      </c>
      <c r="N12" s="259">
        <f t="shared" si="12"/>
        <v>736.89000000000033</v>
      </c>
      <c r="O12" s="260">
        <f t="shared" si="13"/>
        <v>0.21360000000000001</v>
      </c>
      <c r="P12" s="259">
        <f t="shared" si="14"/>
        <v>157.39970400000007</v>
      </c>
      <c r="Q12" s="261">
        <f t="shared" si="15"/>
        <v>627.6</v>
      </c>
      <c r="R12" s="259">
        <f t="shared" si="16"/>
        <v>784.99970400000007</v>
      </c>
      <c r="S12" s="259">
        <f t="shared" si="17"/>
        <v>0</v>
      </c>
      <c r="T12" s="259">
        <f t="shared" si="18"/>
        <v>784.99970400000007</v>
      </c>
      <c r="U12" s="258">
        <f t="shared" si="20"/>
        <v>0</v>
      </c>
      <c r="V12" s="258">
        <f t="shared" ref="V12" si="21">IF(T12&lt;0,0,T12)</f>
        <v>784.99970400000007</v>
      </c>
      <c r="W12" s="258">
        <f>SUM(V12:V12)</f>
        <v>784.99970400000007</v>
      </c>
      <c r="X12" s="258">
        <f>J12+U12-W12</f>
        <v>6090.9002959999998</v>
      </c>
      <c r="Y12" s="262"/>
    </row>
    <row r="13" spans="1:31" s="188" customFormat="1" ht="95.1" customHeight="1" x14ac:dyDescent="0.25">
      <c r="A13" s="249"/>
      <c r="B13" s="251" t="s">
        <v>334</v>
      </c>
      <c r="C13" s="251" t="s">
        <v>145</v>
      </c>
      <c r="D13" s="263" t="s">
        <v>331</v>
      </c>
      <c r="E13" s="253" t="s">
        <v>75</v>
      </c>
      <c r="F13" s="254"/>
      <c r="G13" s="255"/>
      <c r="H13" s="256">
        <v>5678.26</v>
      </c>
      <c r="I13" s="257">
        <v>0</v>
      </c>
      <c r="J13" s="256">
        <f>H13</f>
        <v>5678.26</v>
      </c>
      <c r="K13" s="259">
        <f t="shared" ref="K13:K16" si="22">IF(H13/15&lt;=123.22,I13,I13/2)</f>
        <v>0</v>
      </c>
      <c r="L13" s="259">
        <f t="shared" ref="L13:L16" si="23">H13+K13</f>
        <v>5678.26</v>
      </c>
      <c r="M13" s="259">
        <f t="shared" si="11"/>
        <v>4949.5600000000004</v>
      </c>
      <c r="N13" s="259">
        <f t="shared" ref="N13:N16" si="24">L13-M13</f>
        <v>728.69999999999982</v>
      </c>
      <c r="O13" s="260">
        <f t="shared" si="13"/>
        <v>0.1792</v>
      </c>
      <c r="P13" s="259">
        <f t="shared" ref="P13:P16" si="25">N13*O13</f>
        <v>130.58303999999995</v>
      </c>
      <c r="Q13" s="261">
        <f t="shared" si="15"/>
        <v>452.55</v>
      </c>
      <c r="R13" s="259">
        <f t="shared" ref="R13:R16" si="26">P13+Q13</f>
        <v>583.13303999999994</v>
      </c>
      <c r="S13" s="259">
        <f t="shared" si="17"/>
        <v>0</v>
      </c>
      <c r="T13" s="259">
        <f t="shared" ref="T13:T16" si="27">R13-S13</f>
        <v>583.13303999999994</v>
      </c>
      <c r="U13" s="258">
        <f>-IF(T13&gt;0,0,T13)</f>
        <v>0</v>
      </c>
      <c r="V13" s="258">
        <f>IF(T13&lt;0,0,T13)</f>
        <v>583.13303999999994</v>
      </c>
      <c r="W13" s="258">
        <f>SUM(V13:V13)</f>
        <v>583.13303999999994</v>
      </c>
      <c r="X13" s="258">
        <f>J13+U13-W13+I13</f>
        <v>5095.1269600000005</v>
      </c>
      <c r="Y13" s="262"/>
      <c r="AE13" s="191"/>
    </row>
    <row r="14" spans="1:31" s="188" customFormat="1" ht="95.1" customHeight="1" x14ac:dyDescent="0.25">
      <c r="A14" s="249"/>
      <c r="B14" s="251" t="s">
        <v>359</v>
      </c>
      <c r="C14" s="251" t="s">
        <v>232</v>
      </c>
      <c r="D14" s="263" t="s">
        <v>358</v>
      </c>
      <c r="E14" s="253" t="s">
        <v>75</v>
      </c>
      <c r="F14" s="254"/>
      <c r="G14" s="255"/>
      <c r="H14" s="256">
        <v>5678.26</v>
      </c>
      <c r="I14" s="257">
        <v>0</v>
      </c>
      <c r="J14" s="256">
        <f>H14</f>
        <v>5678.26</v>
      </c>
      <c r="K14" s="259">
        <f t="shared" si="22"/>
        <v>0</v>
      </c>
      <c r="L14" s="259">
        <f t="shared" si="23"/>
        <v>5678.26</v>
      </c>
      <c r="M14" s="259">
        <f t="shared" si="11"/>
        <v>4949.5600000000004</v>
      </c>
      <c r="N14" s="259">
        <f t="shared" si="24"/>
        <v>728.69999999999982</v>
      </c>
      <c r="O14" s="260">
        <f t="shared" si="13"/>
        <v>0.1792</v>
      </c>
      <c r="P14" s="259">
        <f t="shared" si="25"/>
        <v>130.58303999999995</v>
      </c>
      <c r="Q14" s="261">
        <f t="shared" si="15"/>
        <v>452.55</v>
      </c>
      <c r="R14" s="259">
        <f t="shared" si="26"/>
        <v>583.13303999999994</v>
      </c>
      <c r="S14" s="259">
        <f t="shared" si="17"/>
        <v>0</v>
      </c>
      <c r="T14" s="259">
        <f t="shared" si="27"/>
        <v>583.13303999999994</v>
      </c>
      <c r="U14" s="258">
        <f t="shared" ref="U14" si="28">-IF(T14&gt;0,0,T14)</f>
        <v>0</v>
      </c>
      <c r="V14" s="258">
        <f t="shared" ref="V14" si="29">IF(T14&lt;0,0,T14)</f>
        <v>583.13303999999994</v>
      </c>
      <c r="W14" s="258">
        <f>SUM(V14:V14)</f>
        <v>583.13303999999994</v>
      </c>
      <c r="X14" s="258">
        <f>J14+U14-W14+I14</f>
        <v>5095.1269600000005</v>
      </c>
      <c r="Y14" s="262"/>
      <c r="AE14" s="191"/>
    </row>
    <row r="15" spans="1:31" s="188" customFormat="1" ht="95.1" customHeight="1" x14ac:dyDescent="0.25">
      <c r="A15" s="249"/>
      <c r="B15" s="250" t="s">
        <v>370</v>
      </c>
      <c r="C15" s="251" t="s">
        <v>145</v>
      </c>
      <c r="D15" s="253" t="s">
        <v>357</v>
      </c>
      <c r="E15" s="253" t="s">
        <v>75</v>
      </c>
      <c r="F15" s="254"/>
      <c r="G15" s="255"/>
      <c r="H15" s="256">
        <v>5678.26</v>
      </c>
      <c r="I15" s="257">
        <v>0</v>
      </c>
      <c r="J15" s="256">
        <f>H15</f>
        <v>5678.26</v>
      </c>
      <c r="K15" s="259">
        <f t="shared" si="22"/>
        <v>0</v>
      </c>
      <c r="L15" s="259">
        <f t="shared" si="23"/>
        <v>5678.26</v>
      </c>
      <c r="M15" s="259">
        <f t="shared" si="11"/>
        <v>4949.5600000000004</v>
      </c>
      <c r="N15" s="259">
        <f t="shared" si="24"/>
        <v>728.69999999999982</v>
      </c>
      <c r="O15" s="260">
        <f t="shared" si="13"/>
        <v>0.1792</v>
      </c>
      <c r="P15" s="259">
        <f t="shared" si="25"/>
        <v>130.58303999999995</v>
      </c>
      <c r="Q15" s="261">
        <f t="shared" si="15"/>
        <v>452.55</v>
      </c>
      <c r="R15" s="259">
        <f t="shared" si="26"/>
        <v>583.13303999999994</v>
      </c>
      <c r="S15" s="259">
        <f t="shared" si="17"/>
        <v>0</v>
      </c>
      <c r="T15" s="259">
        <f t="shared" si="27"/>
        <v>583.13303999999994</v>
      </c>
      <c r="U15" s="258">
        <f t="shared" ref="U15" si="30">-IF(T15&gt;0,0,T15)</f>
        <v>0</v>
      </c>
      <c r="V15" s="258">
        <f t="shared" ref="V15" si="31">IF(T15&lt;0,0,T15)</f>
        <v>583.13303999999994</v>
      </c>
      <c r="W15" s="258">
        <f>SUM(V15:V15)</f>
        <v>583.13303999999994</v>
      </c>
      <c r="X15" s="258">
        <f>J15+U15-W15+I15</f>
        <v>5095.1269600000005</v>
      </c>
      <c r="Y15" s="262"/>
      <c r="AE15" s="191"/>
    </row>
    <row r="16" spans="1:31" s="188" customFormat="1" ht="95.1" customHeight="1" x14ac:dyDescent="0.25">
      <c r="A16" s="249"/>
      <c r="B16" s="251" t="s">
        <v>141</v>
      </c>
      <c r="C16" s="251" t="s">
        <v>145</v>
      </c>
      <c r="D16" s="252" t="s">
        <v>76</v>
      </c>
      <c r="E16" s="253" t="s">
        <v>201</v>
      </c>
      <c r="F16" s="254">
        <v>15</v>
      </c>
      <c r="G16" s="255">
        <f>H16/F16</f>
        <v>517.72866666666664</v>
      </c>
      <c r="H16" s="256">
        <v>7765.93</v>
      </c>
      <c r="I16" s="257">
        <v>0</v>
      </c>
      <c r="J16" s="258">
        <f>SUM(H16:I16)</f>
        <v>7765.93</v>
      </c>
      <c r="K16" s="259">
        <f t="shared" si="22"/>
        <v>0</v>
      </c>
      <c r="L16" s="259">
        <f t="shared" si="23"/>
        <v>7765.93</v>
      </c>
      <c r="M16" s="259">
        <f t="shared" si="11"/>
        <v>5925.91</v>
      </c>
      <c r="N16" s="259">
        <f t="shared" si="24"/>
        <v>1840.0200000000004</v>
      </c>
      <c r="O16" s="260">
        <f t="shared" si="13"/>
        <v>0.21360000000000001</v>
      </c>
      <c r="P16" s="259">
        <f t="shared" si="25"/>
        <v>393.02827200000013</v>
      </c>
      <c r="Q16" s="261">
        <f t="shared" si="15"/>
        <v>627.6</v>
      </c>
      <c r="R16" s="259">
        <f t="shared" si="26"/>
        <v>1020.6282720000002</v>
      </c>
      <c r="S16" s="259">
        <f t="shared" si="17"/>
        <v>0</v>
      </c>
      <c r="T16" s="259">
        <f t="shared" si="27"/>
        <v>1020.6282720000002</v>
      </c>
      <c r="U16" s="258">
        <f>-IF(T16&gt;0,0,T16)</f>
        <v>0</v>
      </c>
      <c r="V16" s="258">
        <f>IF(T16&lt;0,0,T16)</f>
        <v>1020.6282720000002</v>
      </c>
      <c r="W16" s="258">
        <f>SUM(V16:V16)</f>
        <v>1020.6282720000002</v>
      </c>
      <c r="X16" s="258">
        <f>J16+U16-W16</f>
        <v>6745.3017280000004</v>
      </c>
      <c r="Y16" s="262"/>
      <c r="AE16" s="191"/>
    </row>
    <row r="17" spans="1:31" s="188" customFormat="1" ht="95.1" customHeight="1" x14ac:dyDescent="0.25">
      <c r="A17" s="249"/>
      <c r="B17" s="251" t="s">
        <v>341</v>
      </c>
      <c r="C17" s="251" t="s">
        <v>145</v>
      </c>
      <c r="D17" s="252" t="s">
        <v>342</v>
      </c>
      <c r="E17" s="253" t="s">
        <v>201</v>
      </c>
      <c r="F17" s="254">
        <v>15</v>
      </c>
      <c r="G17" s="255">
        <f t="shared" ref="G17" si="32">H17/F17</f>
        <v>517.72866666666664</v>
      </c>
      <c r="H17" s="256">
        <v>7765.93</v>
      </c>
      <c r="I17" s="257">
        <v>0</v>
      </c>
      <c r="J17" s="258">
        <f t="shared" ref="J17" si="33">SUM(H17:I17)</f>
        <v>7765.93</v>
      </c>
      <c r="K17" s="259">
        <f>IF(H17/15&lt;=123.22,I17,I17/2)</f>
        <v>0</v>
      </c>
      <c r="L17" s="259">
        <f>H17+K17</f>
        <v>7765.93</v>
      </c>
      <c r="M17" s="259">
        <f t="shared" si="11"/>
        <v>5925.91</v>
      </c>
      <c r="N17" s="259">
        <f>L17-M17</f>
        <v>1840.0200000000004</v>
      </c>
      <c r="O17" s="260">
        <f t="shared" si="13"/>
        <v>0.21360000000000001</v>
      </c>
      <c r="P17" s="259">
        <f>N17*O17</f>
        <v>393.02827200000013</v>
      </c>
      <c r="Q17" s="261">
        <f t="shared" si="15"/>
        <v>627.6</v>
      </c>
      <c r="R17" s="259">
        <f>P17+Q17</f>
        <v>1020.6282720000002</v>
      </c>
      <c r="S17" s="259">
        <f t="shared" si="17"/>
        <v>0</v>
      </c>
      <c r="T17" s="259">
        <f>R17-S17</f>
        <v>1020.6282720000002</v>
      </c>
      <c r="U17" s="258">
        <f>-IF(T17&gt;0,0,T17)</f>
        <v>0</v>
      </c>
      <c r="V17" s="258">
        <f>IF(T17&lt;0,0,T17)</f>
        <v>1020.6282720000002</v>
      </c>
      <c r="W17" s="258">
        <f>SUM(V17:V17)</f>
        <v>1020.6282720000002</v>
      </c>
      <c r="X17" s="258">
        <f>J17+U17-W17</f>
        <v>6745.3017280000004</v>
      </c>
      <c r="Y17" s="262"/>
      <c r="AE17" s="191"/>
    </row>
    <row r="18" spans="1:31" s="188" customFormat="1" ht="95.1" customHeight="1" x14ac:dyDescent="0.25">
      <c r="A18" s="249"/>
      <c r="B18" s="251" t="s">
        <v>383</v>
      </c>
      <c r="C18" s="251" t="s">
        <v>145</v>
      </c>
      <c r="D18" s="252" t="s">
        <v>384</v>
      </c>
      <c r="E18" s="253" t="s">
        <v>201</v>
      </c>
      <c r="F18" s="254">
        <v>15</v>
      </c>
      <c r="G18" s="255">
        <f t="shared" ref="G18" si="34">H18/F18</f>
        <v>517.72866666666664</v>
      </c>
      <c r="H18" s="256">
        <v>7765.93</v>
      </c>
      <c r="I18" s="257">
        <v>0</v>
      </c>
      <c r="J18" s="258">
        <f t="shared" ref="J18" si="35">SUM(H18:I18)</f>
        <v>7765.93</v>
      </c>
      <c r="K18" s="259">
        <f>IF(H18/15&lt;=123.22,I18,I18/2)</f>
        <v>0</v>
      </c>
      <c r="L18" s="259">
        <f>H18+K18</f>
        <v>7765.93</v>
      </c>
      <c r="M18" s="259">
        <f t="shared" ref="M18" si="36">VLOOKUP(L18,Tarifa1,1)</f>
        <v>5925.91</v>
      </c>
      <c r="N18" s="259">
        <f>L18-M18</f>
        <v>1840.0200000000004</v>
      </c>
      <c r="O18" s="260">
        <f t="shared" ref="O18" si="37">VLOOKUP(L18,Tarifa1,3)</f>
        <v>0.21360000000000001</v>
      </c>
      <c r="P18" s="259">
        <f>N18*O18</f>
        <v>393.02827200000013</v>
      </c>
      <c r="Q18" s="261">
        <f t="shared" ref="Q18" si="38">VLOOKUP(L18,Tarifa1,2)</f>
        <v>627.6</v>
      </c>
      <c r="R18" s="259">
        <f>P18+Q18</f>
        <v>1020.6282720000002</v>
      </c>
      <c r="S18" s="259">
        <f t="shared" ref="S18" si="39">VLOOKUP(L18,Credito1,2)</f>
        <v>0</v>
      </c>
      <c r="T18" s="259">
        <f>R18-S18</f>
        <v>1020.6282720000002</v>
      </c>
      <c r="U18" s="258">
        <f>-IF(T18&gt;0,0,T18)</f>
        <v>0</v>
      </c>
      <c r="V18" s="258">
        <f>IF(T18&lt;0,0,T18)</f>
        <v>1020.6282720000002</v>
      </c>
      <c r="W18" s="258">
        <f>SUM(V18:V18)</f>
        <v>1020.6282720000002</v>
      </c>
      <c r="X18" s="258">
        <f>J18+U18-W18</f>
        <v>6745.3017280000004</v>
      </c>
      <c r="Y18" s="262"/>
      <c r="AE18" s="191"/>
    </row>
    <row r="19" spans="1:31" s="188" customFormat="1" ht="95.1" customHeight="1" x14ac:dyDescent="0.25">
      <c r="A19" s="249"/>
      <c r="B19" s="251" t="s">
        <v>187</v>
      </c>
      <c r="C19" s="251" t="s">
        <v>145</v>
      </c>
      <c r="D19" s="263" t="s">
        <v>185</v>
      </c>
      <c r="E19" s="253" t="s">
        <v>298</v>
      </c>
      <c r="F19" s="254">
        <v>15</v>
      </c>
      <c r="G19" s="255">
        <f t="shared" ref="G19:G35" si="40">H19/F19</f>
        <v>414.26133333333331</v>
      </c>
      <c r="H19" s="256">
        <v>6213.92</v>
      </c>
      <c r="I19" s="257">
        <v>0</v>
      </c>
      <c r="J19" s="258">
        <f t="shared" ref="J19:J35" si="41">SUM(H19:I19)</f>
        <v>6213.92</v>
      </c>
      <c r="K19" s="259">
        <f t="shared" ref="K19:K20" si="42">IF(H19/15&lt;=123.22,I19,I19/2)</f>
        <v>0</v>
      </c>
      <c r="L19" s="259">
        <f t="shared" ref="L19:L20" si="43">H19+K19</f>
        <v>6213.92</v>
      </c>
      <c r="M19" s="259">
        <f t="shared" si="11"/>
        <v>5925.91</v>
      </c>
      <c r="N19" s="259">
        <f t="shared" ref="N19:N20" si="44">L19-M19</f>
        <v>288.01000000000022</v>
      </c>
      <c r="O19" s="260">
        <f t="shared" si="13"/>
        <v>0.21360000000000001</v>
      </c>
      <c r="P19" s="259">
        <f t="shared" ref="P19:P20" si="45">N19*O19</f>
        <v>61.518936000000053</v>
      </c>
      <c r="Q19" s="261">
        <f t="shared" si="15"/>
        <v>627.6</v>
      </c>
      <c r="R19" s="259">
        <f t="shared" ref="R19:R20" si="46">P19+Q19</f>
        <v>689.11893600000008</v>
      </c>
      <c r="S19" s="259">
        <f t="shared" si="17"/>
        <v>0</v>
      </c>
      <c r="T19" s="259">
        <f t="shared" ref="T19:T20" si="47">R19-S19</f>
        <v>689.11893600000008</v>
      </c>
      <c r="U19" s="258">
        <f t="shared" ref="U19" si="48">-IF(T19&gt;0,0,T19)</f>
        <v>0</v>
      </c>
      <c r="V19" s="258">
        <f t="shared" ref="V19:V35" si="49">IF(T19&lt;0,0,T19)</f>
        <v>689.11893600000008</v>
      </c>
      <c r="W19" s="258">
        <f>SUM(V19:V19)</f>
        <v>689.11893600000008</v>
      </c>
      <c r="X19" s="258">
        <f>J19+U19-W19</f>
        <v>5524.8010640000002</v>
      </c>
      <c r="Y19" s="262"/>
      <c r="AE19" s="191"/>
    </row>
    <row r="20" spans="1:31" s="188" customFormat="1" ht="95.1" customHeight="1" x14ac:dyDescent="0.25">
      <c r="A20" s="249"/>
      <c r="B20" s="251" t="s">
        <v>316</v>
      </c>
      <c r="C20" s="251" t="s">
        <v>145</v>
      </c>
      <c r="D20" s="263" t="s">
        <v>305</v>
      </c>
      <c r="E20" s="253" t="s">
        <v>298</v>
      </c>
      <c r="F20" s="254"/>
      <c r="G20" s="255"/>
      <c r="H20" s="256">
        <v>6213.92</v>
      </c>
      <c r="I20" s="257">
        <v>0</v>
      </c>
      <c r="J20" s="258">
        <f t="shared" si="41"/>
        <v>6213.92</v>
      </c>
      <c r="K20" s="259">
        <f t="shared" si="42"/>
        <v>0</v>
      </c>
      <c r="L20" s="259">
        <f t="shared" si="43"/>
        <v>6213.92</v>
      </c>
      <c r="M20" s="259">
        <f t="shared" si="11"/>
        <v>5925.91</v>
      </c>
      <c r="N20" s="259">
        <f t="shared" si="44"/>
        <v>288.01000000000022</v>
      </c>
      <c r="O20" s="260">
        <f t="shared" si="13"/>
        <v>0.21360000000000001</v>
      </c>
      <c r="P20" s="259">
        <f t="shared" si="45"/>
        <v>61.518936000000053</v>
      </c>
      <c r="Q20" s="261">
        <f t="shared" si="15"/>
        <v>627.6</v>
      </c>
      <c r="R20" s="259">
        <f t="shared" si="46"/>
        <v>689.11893600000008</v>
      </c>
      <c r="S20" s="259">
        <f t="shared" si="17"/>
        <v>0</v>
      </c>
      <c r="T20" s="259">
        <f t="shared" si="47"/>
        <v>689.11893600000008</v>
      </c>
      <c r="U20" s="258">
        <f t="shared" ref="U20" si="50">-IF(T20&gt;0,0,T20)</f>
        <v>0</v>
      </c>
      <c r="V20" s="258">
        <f t="shared" si="49"/>
        <v>689.11893600000008</v>
      </c>
      <c r="W20" s="258">
        <f>SUM(V20:V20)</f>
        <v>689.11893600000008</v>
      </c>
      <c r="X20" s="258">
        <f>J20+U20-W20</f>
        <v>5524.8010640000002</v>
      </c>
      <c r="Y20" s="262"/>
      <c r="AE20" s="191"/>
    </row>
    <row r="21" spans="1:31" s="188" customFormat="1" ht="95.1" customHeight="1" x14ac:dyDescent="0.25">
      <c r="A21" s="249"/>
      <c r="B21" s="251" t="s">
        <v>366</v>
      </c>
      <c r="C21" s="251" t="s">
        <v>145</v>
      </c>
      <c r="D21" s="263" t="s">
        <v>367</v>
      </c>
      <c r="E21" s="253" t="s">
        <v>298</v>
      </c>
      <c r="F21" s="254"/>
      <c r="G21" s="255"/>
      <c r="H21" s="256">
        <v>6213.92</v>
      </c>
      <c r="I21" s="257">
        <v>0</v>
      </c>
      <c r="J21" s="258">
        <f t="shared" ref="J21" si="51">SUM(H21:I21)</f>
        <v>6213.92</v>
      </c>
      <c r="K21" s="259">
        <f>IF(H21/15&lt;=123.22,I21,I21/2)</f>
        <v>0</v>
      </c>
      <c r="L21" s="259">
        <f>H21+K21</f>
        <v>6213.92</v>
      </c>
      <c r="M21" s="259">
        <f t="shared" si="11"/>
        <v>5925.91</v>
      </c>
      <c r="N21" s="259">
        <f>L21-M21</f>
        <v>288.01000000000022</v>
      </c>
      <c r="O21" s="260">
        <f t="shared" si="13"/>
        <v>0.21360000000000001</v>
      </c>
      <c r="P21" s="259">
        <f>N21*O21</f>
        <v>61.518936000000053</v>
      </c>
      <c r="Q21" s="261">
        <f t="shared" si="15"/>
        <v>627.6</v>
      </c>
      <c r="R21" s="259">
        <f>P21+Q21</f>
        <v>689.11893600000008</v>
      </c>
      <c r="S21" s="259">
        <f t="shared" si="17"/>
        <v>0</v>
      </c>
      <c r="T21" s="259">
        <f>R21-S21</f>
        <v>689.11893600000008</v>
      </c>
      <c r="U21" s="258">
        <f t="shared" ref="U21" si="52">-IF(T21&gt;0,0,T21)</f>
        <v>0</v>
      </c>
      <c r="V21" s="258">
        <f t="shared" ref="V21" si="53">IF(T21&lt;0,0,T21)</f>
        <v>689.11893600000008</v>
      </c>
      <c r="W21" s="258">
        <f>SUM(V21:V21)</f>
        <v>689.11893600000008</v>
      </c>
      <c r="X21" s="258">
        <f>J21+U21-W21</f>
        <v>5524.8010640000002</v>
      </c>
      <c r="Y21" s="262"/>
      <c r="AE21" s="191"/>
    </row>
    <row r="22" spans="1:31" s="188" customFormat="1" ht="95.1" customHeight="1" x14ac:dyDescent="0.25">
      <c r="A22" s="270"/>
      <c r="B22" s="271"/>
      <c r="C22" s="271"/>
      <c r="D22" s="272"/>
      <c r="E22" s="273"/>
      <c r="F22" s="274"/>
      <c r="G22" s="275"/>
      <c r="H22" s="276"/>
      <c r="I22" s="277"/>
      <c r="J22" s="278"/>
      <c r="K22" s="279"/>
      <c r="L22" s="279"/>
      <c r="M22" s="279"/>
      <c r="N22" s="279"/>
      <c r="O22" s="280"/>
      <c r="P22" s="279"/>
      <c r="Q22" s="281"/>
      <c r="R22" s="279"/>
      <c r="S22" s="279"/>
      <c r="T22" s="279"/>
      <c r="U22" s="278"/>
      <c r="V22" s="278"/>
      <c r="W22" s="278"/>
      <c r="X22" s="278"/>
      <c r="Y22" s="266"/>
      <c r="AE22" s="191"/>
    </row>
    <row r="23" spans="1:31" s="188" customFormat="1" ht="95.1" customHeight="1" x14ac:dyDescent="0.25">
      <c r="A23" s="270"/>
      <c r="B23" s="271"/>
      <c r="C23" s="271"/>
      <c r="D23" s="272"/>
      <c r="E23" s="273"/>
      <c r="F23" s="274"/>
      <c r="G23" s="275"/>
      <c r="H23" s="276"/>
      <c r="I23" s="277"/>
      <c r="J23" s="278"/>
      <c r="K23" s="279"/>
      <c r="L23" s="279"/>
      <c r="M23" s="279"/>
      <c r="N23" s="279"/>
      <c r="O23" s="280"/>
      <c r="P23" s="279"/>
      <c r="Q23" s="281"/>
      <c r="R23" s="279"/>
      <c r="S23" s="279"/>
      <c r="T23" s="279"/>
      <c r="U23" s="278"/>
      <c r="V23" s="278"/>
      <c r="W23" s="278"/>
      <c r="X23" s="278"/>
      <c r="Y23" s="266"/>
      <c r="AE23" s="191"/>
    </row>
    <row r="24" spans="1:31" s="188" customFormat="1" ht="24" customHeight="1" x14ac:dyDescent="0.25">
      <c r="A24" s="270"/>
      <c r="B24" s="306" t="s">
        <v>93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E24" s="191"/>
    </row>
    <row r="25" spans="1:31" s="188" customFormat="1" ht="23.25" customHeight="1" x14ac:dyDescent="0.25">
      <c r="A25" s="270"/>
      <c r="B25" s="306" t="s">
        <v>66</v>
      </c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E25" s="191"/>
    </row>
    <row r="26" spans="1:31" s="188" customFormat="1" ht="23.25" customHeight="1" x14ac:dyDescent="0.25">
      <c r="A26" s="270"/>
      <c r="B26" s="307" t="s">
        <v>391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E26" s="191"/>
    </row>
    <row r="27" spans="1:31" s="188" customFormat="1" ht="18.75" customHeight="1" x14ac:dyDescent="0.25">
      <c r="A27" s="270"/>
      <c r="B27" s="5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E27" s="191"/>
    </row>
    <row r="28" spans="1:31" s="188" customFormat="1" ht="17.25" customHeight="1" x14ac:dyDescent="0.25">
      <c r="A28" s="270"/>
      <c r="B28" s="5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E28" s="191"/>
    </row>
    <row r="29" spans="1:31" s="188" customFormat="1" ht="20.25" customHeight="1" x14ac:dyDescent="0.25">
      <c r="A29" s="270"/>
      <c r="B29" s="65"/>
      <c r="C29" s="65"/>
      <c r="D29" s="65"/>
      <c r="E29" s="65"/>
      <c r="F29" s="66" t="s">
        <v>23</v>
      </c>
      <c r="G29" s="66" t="s">
        <v>6</v>
      </c>
      <c r="H29" s="309" t="s">
        <v>1</v>
      </c>
      <c r="I29" s="310"/>
      <c r="J29" s="311"/>
      <c r="K29" s="67" t="s">
        <v>26</v>
      </c>
      <c r="L29" s="68"/>
      <c r="M29" s="312" t="s">
        <v>9</v>
      </c>
      <c r="N29" s="313"/>
      <c r="O29" s="313"/>
      <c r="P29" s="313"/>
      <c r="Q29" s="313"/>
      <c r="R29" s="314"/>
      <c r="S29" s="67" t="s">
        <v>30</v>
      </c>
      <c r="T29" s="67" t="s">
        <v>10</v>
      </c>
      <c r="U29" s="66" t="s">
        <v>54</v>
      </c>
      <c r="V29" s="315" t="s">
        <v>2</v>
      </c>
      <c r="W29" s="316"/>
      <c r="X29" s="66" t="s">
        <v>0</v>
      </c>
      <c r="Y29" s="65"/>
      <c r="Z29" s="120"/>
      <c r="AE29" s="191"/>
    </row>
    <row r="30" spans="1:31" s="188" customFormat="1" ht="37.5" customHeight="1" x14ac:dyDescent="0.25">
      <c r="A30" s="270"/>
      <c r="B30" s="64" t="s">
        <v>123</v>
      </c>
      <c r="C30" s="64" t="s">
        <v>146</v>
      </c>
      <c r="D30" s="70" t="s">
        <v>22</v>
      </c>
      <c r="E30" s="70"/>
      <c r="F30" s="71" t="s">
        <v>24</v>
      </c>
      <c r="G30" s="70" t="s">
        <v>25</v>
      </c>
      <c r="H30" s="66" t="s">
        <v>6</v>
      </c>
      <c r="I30" s="66" t="s">
        <v>59</v>
      </c>
      <c r="J30" s="66" t="s">
        <v>28</v>
      </c>
      <c r="K30" s="72" t="s">
        <v>27</v>
      </c>
      <c r="L30" s="68" t="s">
        <v>32</v>
      </c>
      <c r="M30" s="68" t="s">
        <v>12</v>
      </c>
      <c r="N30" s="68" t="s">
        <v>34</v>
      </c>
      <c r="O30" s="68" t="s">
        <v>36</v>
      </c>
      <c r="P30" s="68" t="s">
        <v>37</v>
      </c>
      <c r="Q30" s="68" t="s">
        <v>14</v>
      </c>
      <c r="R30" s="68" t="s">
        <v>10</v>
      </c>
      <c r="S30" s="72" t="s">
        <v>40</v>
      </c>
      <c r="T30" s="72" t="s">
        <v>41</v>
      </c>
      <c r="U30" s="70" t="s">
        <v>31</v>
      </c>
      <c r="V30" s="66" t="s">
        <v>3</v>
      </c>
      <c r="W30" s="66" t="s">
        <v>7</v>
      </c>
      <c r="X30" s="70" t="s">
        <v>4</v>
      </c>
      <c r="Y30" s="70" t="s">
        <v>58</v>
      </c>
      <c r="Z30" s="120"/>
      <c r="AE30" s="191"/>
    </row>
    <row r="31" spans="1:31" s="188" customFormat="1" ht="18.75" customHeight="1" x14ac:dyDescent="0.25">
      <c r="A31" s="270"/>
      <c r="B31" s="79"/>
      <c r="C31" s="79"/>
      <c r="D31" s="79"/>
      <c r="E31" s="79"/>
      <c r="F31" s="79"/>
      <c r="G31" s="79"/>
      <c r="H31" s="79" t="s">
        <v>47</v>
      </c>
      <c r="I31" s="79" t="s">
        <v>60</v>
      </c>
      <c r="J31" s="79" t="s">
        <v>29</v>
      </c>
      <c r="K31" s="81" t="s">
        <v>43</v>
      </c>
      <c r="L31" s="67" t="s">
        <v>33</v>
      </c>
      <c r="M31" s="67" t="s">
        <v>13</v>
      </c>
      <c r="N31" s="67" t="s">
        <v>35</v>
      </c>
      <c r="O31" s="67" t="s">
        <v>35</v>
      </c>
      <c r="P31" s="67" t="s">
        <v>38</v>
      </c>
      <c r="Q31" s="67" t="s">
        <v>15</v>
      </c>
      <c r="R31" s="67" t="s">
        <v>39</v>
      </c>
      <c r="S31" s="72" t="s">
        <v>19</v>
      </c>
      <c r="T31" s="73" t="s">
        <v>163</v>
      </c>
      <c r="U31" s="79" t="s">
        <v>53</v>
      </c>
      <c r="V31" s="79"/>
      <c r="W31" s="79" t="s">
        <v>44</v>
      </c>
      <c r="X31" s="79" t="s">
        <v>5</v>
      </c>
      <c r="Y31" s="75"/>
      <c r="Z31" s="120"/>
      <c r="AE31" s="191"/>
    </row>
    <row r="32" spans="1:31" s="188" customFormat="1" ht="18" customHeight="1" x14ac:dyDescent="0.25">
      <c r="A32" s="270"/>
      <c r="B32" s="82"/>
      <c r="C32" s="82"/>
      <c r="D32" s="84" t="s">
        <v>77</v>
      </c>
      <c r="E32" s="82" t="s">
        <v>62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6"/>
      <c r="U32" s="82"/>
      <c r="V32" s="82"/>
      <c r="W32" s="82"/>
      <c r="X32" s="82"/>
      <c r="Y32" s="87"/>
      <c r="AE32" s="191"/>
    </row>
    <row r="33" spans="1:31" s="188" customFormat="1" ht="95.1" customHeight="1" x14ac:dyDescent="0.25">
      <c r="A33" s="249"/>
      <c r="B33" s="251" t="s">
        <v>329</v>
      </c>
      <c r="C33" s="251" t="s">
        <v>145</v>
      </c>
      <c r="D33" s="263" t="s">
        <v>330</v>
      </c>
      <c r="E33" s="253" t="s">
        <v>298</v>
      </c>
      <c r="F33" s="254"/>
      <c r="G33" s="255"/>
      <c r="H33" s="256">
        <v>7765.93</v>
      </c>
      <c r="I33" s="257">
        <v>0</v>
      </c>
      <c r="J33" s="258">
        <f t="shared" ref="J33" si="54">SUM(H33:I33)</f>
        <v>7765.93</v>
      </c>
      <c r="K33" s="259">
        <f t="shared" ref="K33:K36" si="55">IF(H33/15&lt;=123.22,I33,I33/2)</f>
        <v>0</v>
      </c>
      <c r="L33" s="259">
        <f t="shared" ref="L33:L36" si="56">H33+K33</f>
        <v>7765.93</v>
      </c>
      <c r="M33" s="259">
        <f t="shared" si="11"/>
        <v>5925.91</v>
      </c>
      <c r="N33" s="259">
        <f t="shared" ref="N33:N36" si="57">L33-M33</f>
        <v>1840.0200000000004</v>
      </c>
      <c r="O33" s="260">
        <f t="shared" si="13"/>
        <v>0.21360000000000001</v>
      </c>
      <c r="P33" s="259">
        <f t="shared" ref="P33:P36" si="58">N33*O33</f>
        <v>393.02827200000013</v>
      </c>
      <c r="Q33" s="261">
        <f t="shared" si="15"/>
        <v>627.6</v>
      </c>
      <c r="R33" s="259">
        <f t="shared" ref="R33:R36" si="59">P33+Q33</f>
        <v>1020.6282720000002</v>
      </c>
      <c r="S33" s="259">
        <f t="shared" si="17"/>
        <v>0</v>
      </c>
      <c r="T33" s="259">
        <f t="shared" ref="T33:T36" si="60">R33-S33</f>
        <v>1020.6282720000002</v>
      </c>
      <c r="U33" s="258">
        <f t="shared" ref="U33" si="61">-IF(T33&gt;0,0,T33)</f>
        <v>0</v>
      </c>
      <c r="V33" s="258">
        <f t="shared" ref="V33" si="62">IF(T33&lt;0,0,T33)</f>
        <v>1020.6282720000002</v>
      </c>
      <c r="W33" s="258">
        <f>SUM(V33:V33)</f>
        <v>1020.6282720000002</v>
      </c>
      <c r="X33" s="258">
        <f>J33+U33-W33</f>
        <v>6745.3017280000004</v>
      </c>
      <c r="Y33" s="262"/>
      <c r="AE33" s="191"/>
    </row>
    <row r="34" spans="1:31" s="188" customFormat="1" ht="95.1" customHeight="1" x14ac:dyDescent="0.25">
      <c r="A34" s="249"/>
      <c r="B34" s="251" t="s">
        <v>335</v>
      </c>
      <c r="C34" s="251" t="s">
        <v>145</v>
      </c>
      <c r="D34" s="263" t="s">
        <v>332</v>
      </c>
      <c r="E34" s="253" t="s">
        <v>333</v>
      </c>
      <c r="F34" s="254"/>
      <c r="G34" s="255"/>
      <c r="H34" s="256">
        <v>7765.93</v>
      </c>
      <c r="I34" s="257">
        <v>0</v>
      </c>
      <c r="J34" s="258">
        <f t="shared" ref="J34" si="63">SUM(H34:I34)</f>
        <v>7765.93</v>
      </c>
      <c r="K34" s="259">
        <f t="shared" si="55"/>
        <v>0</v>
      </c>
      <c r="L34" s="259">
        <f t="shared" si="56"/>
        <v>7765.93</v>
      </c>
      <c r="M34" s="259">
        <f t="shared" si="11"/>
        <v>5925.91</v>
      </c>
      <c r="N34" s="259">
        <f t="shared" si="57"/>
        <v>1840.0200000000004</v>
      </c>
      <c r="O34" s="260">
        <f t="shared" si="13"/>
        <v>0.21360000000000001</v>
      </c>
      <c r="P34" s="259">
        <f t="shared" si="58"/>
        <v>393.02827200000013</v>
      </c>
      <c r="Q34" s="261">
        <f t="shared" si="15"/>
        <v>627.6</v>
      </c>
      <c r="R34" s="259">
        <f t="shared" si="59"/>
        <v>1020.6282720000002</v>
      </c>
      <c r="S34" s="259">
        <f t="shared" si="17"/>
        <v>0</v>
      </c>
      <c r="T34" s="259">
        <f t="shared" si="60"/>
        <v>1020.6282720000002</v>
      </c>
      <c r="U34" s="258">
        <f>-IF(T34&gt;0,0,T34)</f>
        <v>0</v>
      </c>
      <c r="V34" s="258">
        <f>IF(T34&lt;0,0,T34)</f>
        <v>1020.6282720000002</v>
      </c>
      <c r="W34" s="258">
        <f>SUM(V34:V34)</f>
        <v>1020.6282720000002</v>
      </c>
      <c r="X34" s="258">
        <f>J34+U34-W34</f>
        <v>6745.3017280000004</v>
      </c>
      <c r="Y34" s="262"/>
      <c r="AE34" s="191"/>
    </row>
    <row r="35" spans="1:31" s="188" customFormat="1" ht="95.1" customHeight="1" x14ac:dyDescent="0.25">
      <c r="A35" s="249"/>
      <c r="B35" s="251" t="s">
        <v>318</v>
      </c>
      <c r="C35" s="251" t="s">
        <v>145</v>
      </c>
      <c r="D35" s="263" t="s">
        <v>299</v>
      </c>
      <c r="E35" s="253" t="s">
        <v>300</v>
      </c>
      <c r="F35" s="254">
        <v>15</v>
      </c>
      <c r="G35" s="255">
        <f t="shared" si="40"/>
        <v>281.66266666666667</v>
      </c>
      <c r="H35" s="256">
        <v>4224.9399999999996</v>
      </c>
      <c r="I35" s="257">
        <v>0</v>
      </c>
      <c r="J35" s="258">
        <f t="shared" si="41"/>
        <v>4224.9399999999996</v>
      </c>
      <c r="K35" s="259">
        <f t="shared" si="55"/>
        <v>0</v>
      </c>
      <c r="L35" s="259">
        <f t="shared" si="56"/>
        <v>4224.9399999999996</v>
      </c>
      <c r="M35" s="259">
        <f t="shared" si="11"/>
        <v>2422.81</v>
      </c>
      <c r="N35" s="259">
        <f t="shared" si="57"/>
        <v>1802.1299999999997</v>
      </c>
      <c r="O35" s="260">
        <f t="shared" si="13"/>
        <v>0.10879999999999999</v>
      </c>
      <c r="P35" s="259">
        <f t="shared" si="58"/>
        <v>196.07174399999994</v>
      </c>
      <c r="Q35" s="261">
        <f t="shared" si="15"/>
        <v>142.19999999999999</v>
      </c>
      <c r="R35" s="259">
        <f t="shared" si="59"/>
        <v>338.2717439999999</v>
      </c>
      <c r="S35" s="259">
        <f t="shared" si="17"/>
        <v>0</v>
      </c>
      <c r="T35" s="259">
        <f t="shared" si="60"/>
        <v>338.2717439999999</v>
      </c>
      <c r="U35" s="258">
        <f>-IF(T35&gt;0,0,T35)</f>
        <v>0</v>
      </c>
      <c r="V35" s="258">
        <f t="shared" si="49"/>
        <v>338.2717439999999</v>
      </c>
      <c r="W35" s="258">
        <f>SUM(V35:V35)</f>
        <v>338.2717439999999</v>
      </c>
      <c r="X35" s="258">
        <f>J35+U35-W35</f>
        <v>3886.6682559999999</v>
      </c>
      <c r="Y35" s="262"/>
      <c r="AE35" s="191"/>
    </row>
    <row r="36" spans="1:31" s="188" customFormat="1" ht="95.1" customHeight="1" x14ac:dyDescent="0.25">
      <c r="A36" s="249"/>
      <c r="B36" s="251" t="s">
        <v>319</v>
      </c>
      <c r="C36" s="251" t="s">
        <v>145</v>
      </c>
      <c r="D36" s="263" t="s">
        <v>301</v>
      </c>
      <c r="E36" s="253" t="s">
        <v>302</v>
      </c>
      <c r="F36" s="254"/>
      <c r="G36" s="255"/>
      <c r="H36" s="256">
        <v>4488.57</v>
      </c>
      <c r="I36" s="257">
        <v>0</v>
      </c>
      <c r="J36" s="258">
        <f>SUM(H36:I36)</f>
        <v>4488.57</v>
      </c>
      <c r="K36" s="259">
        <f t="shared" si="55"/>
        <v>0</v>
      </c>
      <c r="L36" s="259">
        <f t="shared" si="56"/>
        <v>4488.57</v>
      </c>
      <c r="M36" s="259">
        <f t="shared" si="11"/>
        <v>4257.91</v>
      </c>
      <c r="N36" s="259">
        <f t="shared" si="57"/>
        <v>230.65999999999985</v>
      </c>
      <c r="O36" s="260">
        <f t="shared" si="13"/>
        <v>0.16</v>
      </c>
      <c r="P36" s="259">
        <f t="shared" si="58"/>
        <v>36.905599999999978</v>
      </c>
      <c r="Q36" s="261">
        <f t="shared" si="15"/>
        <v>341.85</v>
      </c>
      <c r="R36" s="259">
        <f t="shared" si="59"/>
        <v>378.75560000000002</v>
      </c>
      <c r="S36" s="259">
        <f t="shared" si="17"/>
        <v>0</v>
      </c>
      <c r="T36" s="259">
        <f t="shared" si="60"/>
        <v>378.75560000000002</v>
      </c>
      <c r="U36" s="258">
        <f>-IF(T36&gt;0,0,T36)</f>
        <v>0</v>
      </c>
      <c r="V36" s="258">
        <f>IF(T36&lt;0,0,T36)</f>
        <v>378.75560000000002</v>
      </c>
      <c r="W36" s="258">
        <f>SUM(V36:V36)</f>
        <v>378.75560000000002</v>
      </c>
      <c r="X36" s="258">
        <f>J36+U36-W36</f>
        <v>4109.8143999999993</v>
      </c>
      <c r="Y36" s="262"/>
      <c r="AE36" s="191"/>
    </row>
    <row r="37" spans="1:31" s="69" customFormat="1" ht="39" customHeight="1" thickBot="1" x14ac:dyDescent="0.3">
      <c r="A37" s="325" t="s">
        <v>45</v>
      </c>
      <c r="B37" s="326"/>
      <c r="C37" s="326"/>
      <c r="D37" s="326"/>
      <c r="E37" s="326"/>
      <c r="F37" s="326"/>
      <c r="G37" s="327"/>
      <c r="H37" s="264">
        <f t="shared" ref="H37:X37" si="64">SUM(H9:H36)</f>
        <v>110697.95000000001</v>
      </c>
      <c r="I37" s="264">
        <f t="shared" si="64"/>
        <v>426.2</v>
      </c>
      <c r="J37" s="264">
        <f t="shared" si="64"/>
        <v>111124.15</v>
      </c>
      <c r="K37" s="265">
        <f t="shared" si="64"/>
        <v>213.1</v>
      </c>
      <c r="L37" s="265">
        <f t="shared" si="64"/>
        <v>110911.05000000002</v>
      </c>
      <c r="M37" s="265">
        <f t="shared" si="64"/>
        <v>89137.22000000003</v>
      </c>
      <c r="N37" s="265">
        <f t="shared" si="64"/>
        <v>21773.830000000005</v>
      </c>
      <c r="O37" s="265">
        <f t="shared" si="64"/>
        <v>3.2648000000000006</v>
      </c>
      <c r="P37" s="265">
        <f t="shared" si="64"/>
        <v>4221.0669360000002</v>
      </c>
      <c r="Q37" s="265">
        <f t="shared" si="64"/>
        <v>8887.5000000000036</v>
      </c>
      <c r="R37" s="265">
        <f t="shared" si="64"/>
        <v>13108.566936000001</v>
      </c>
      <c r="S37" s="265">
        <f t="shared" si="64"/>
        <v>0</v>
      </c>
      <c r="T37" s="265">
        <f t="shared" si="64"/>
        <v>13108.566936000001</v>
      </c>
      <c r="U37" s="264">
        <f t="shared" si="64"/>
        <v>0</v>
      </c>
      <c r="V37" s="264">
        <f t="shared" si="64"/>
        <v>13108.566936000001</v>
      </c>
      <c r="W37" s="264">
        <f t="shared" si="64"/>
        <v>13108.566936000001</v>
      </c>
      <c r="X37" s="264">
        <f t="shared" si="64"/>
        <v>98015.58306400002</v>
      </c>
      <c r="Y37" s="266"/>
    </row>
    <row r="38" spans="1:31" s="69" customFormat="1" ht="39" customHeight="1" thickTop="1" x14ac:dyDescent="0.25">
      <c r="A38" s="233"/>
      <c r="B38" s="233"/>
      <c r="C38" s="233"/>
      <c r="D38" s="233"/>
      <c r="E38" s="233"/>
      <c r="F38" s="233"/>
      <c r="G38" s="233"/>
      <c r="H38" s="234"/>
      <c r="I38" s="234"/>
      <c r="J38" s="234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4"/>
      <c r="V38" s="234"/>
      <c r="W38" s="234"/>
      <c r="X38" s="234"/>
    </row>
    <row r="39" spans="1:31" s="69" customFormat="1" ht="39" customHeight="1" x14ac:dyDescent="0.25">
      <c r="A39" s="233"/>
      <c r="B39" s="233"/>
      <c r="C39" s="233"/>
      <c r="D39" s="233"/>
      <c r="E39" s="233"/>
      <c r="F39" s="233"/>
      <c r="G39" s="233"/>
      <c r="H39" s="234"/>
      <c r="I39" s="234"/>
      <c r="J39" s="234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4"/>
      <c r="V39" s="234"/>
      <c r="W39" s="234"/>
      <c r="X39" s="234"/>
    </row>
    <row r="40" spans="1:31" s="69" customFormat="1" ht="39" customHeight="1" x14ac:dyDescent="0.25">
      <c r="A40" s="233"/>
      <c r="B40" s="233"/>
      <c r="C40" s="233"/>
      <c r="D40" s="233"/>
      <c r="E40" s="233"/>
      <c r="F40" s="233"/>
      <c r="G40" s="233"/>
      <c r="H40" s="234"/>
      <c r="I40" s="234"/>
      <c r="J40" s="234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4"/>
      <c r="V40" s="234"/>
      <c r="W40" s="234"/>
      <c r="X40" s="234"/>
    </row>
    <row r="41" spans="1:31" s="69" customFormat="1" ht="12" x14ac:dyDescent="0.2"/>
    <row r="42" spans="1:31" s="69" customFormat="1" ht="12" x14ac:dyDescent="0.2"/>
    <row r="43" spans="1:31" s="69" customFormat="1" ht="14.25" x14ac:dyDescent="0.2">
      <c r="B43" s="188"/>
      <c r="C43" s="188"/>
      <c r="D43" s="188" t="s">
        <v>240</v>
      </c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 t="s">
        <v>111</v>
      </c>
      <c r="W43" s="188"/>
      <c r="X43" s="188"/>
    </row>
    <row r="44" spans="1:31" s="69" customFormat="1" ht="15" x14ac:dyDescent="0.25">
      <c r="B44" s="188"/>
      <c r="C44" s="188"/>
      <c r="D44" s="193" t="s">
        <v>234</v>
      </c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93" t="s">
        <v>236</v>
      </c>
      <c r="W44" s="188"/>
      <c r="X44" s="188"/>
    </row>
    <row r="45" spans="1:31" s="69" customFormat="1" ht="15" x14ac:dyDescent="0.25">
      <c r="B45" s="188"/>
      <c r="C45" s="188"/>
      <c r="D45" s="193" t="s">
        <v>97</v>
      </c>
      <c r="E45" s="193"/>
      <c r="F45" s="193"/>
      <c r="G45" s="193"/>
      <c r="H45" s="193"/>
      <c r="I45" s="193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93" t="s">
        <v>98</v>
      </c>
      <c r="W45" s="193"/>
      <c r="X45" s="193"/>
      <c r="Y45" s="78"/>
    </row>
    <row r="46" spans="1:31" s="69" customFormat="1" ht="14.25" x14ac:dyDescent="0.2"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</row>
  </sheetData>
  <mergeCells count="14">
    <mergeCell ref="H29:J29"/>
    <mergeCell ref="M29:R29"/>
    <mergeCell ref="V29:W29"/>
    <mergeCell ref="A37:G37"/>
    <mergeCell ref="A1:Y1"/>
    <mergeCell ref="A2:Y2"/>
    <mergeCell ref="A3:Y3"/>
    <mergeCell ref="H5:J5"/>
    <mergeCell ref="M5:R5"/>
    <mergeCell ref="V5:W5"/>
    <mergeCell ref="B24:Z24"/>
    <mergeCell ref="B25:Z25"/>
    <mergeCell ref="B26:Z26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D14 D19:D23 D33:D36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5"/>
  <sheetViews>
    <sheetView topLeftCell="B9" zoomScale="82" zoomScaleNormal="82" workbookViewId="0">
      <selection activeCell="W9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306" t="s">
        <v>93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</row>
    <row r="2" spans="1:25" ht="18" x14ac:dyDescent="0.25">
      <c r="A2" s="306" t="s">
        <v>66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</row>
    <row r="3" spans="1:25" ht="15" x14ac:dyDescent="0.2">
      <c r="A3" s="307" t="s">
        <v>391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s="69" customFormat="1" ht="12" x14ac:dyDescent="0.2">
      <c r="A5" s="65"/>
      <c r="B5" s="65"/>
      <c r="C5" s="65"/>
      <c r="D5" s="65"/>
      <c r="E5" s="65"/>
      <c r="F5" s="66" t="s">
        <v>23</v>
      </c>
      <c r="G5" s="66" t="s">
        <v>6</v>
      </c>
      <c r="H5" s="309" t="s">
        <v>1</v>
      </c>
      <c r="I5" s="310"/>
      <c r="J5" s="311"/>
      <c r="K5" s="67" t="s">
        <v>26</v>
      </c>
      <c r="L5" s="68"/>
      <c r="M5" s="312" t="s">
        <v>9</v>
      </c>
      <c r="N5" s="313"/>
      <c r="O5" s="313"/>
      <c r="P5" s="313"/>
      <c r="Q5" s="313"/>
      <c r="R5" s="314"/>
      <c r="S5" s="67" t="s">
        <v>30</v>
      </c>
      <c r="T5" s="67" t="s">
        <v>10</v>
      </c>
      <c r="U5" s="66" t="s">
        <v>54</v>
      </c>
      <c r="V5" s="315" t="s">
        <v>2</v>
      </c>
      <c r="W5" s="316"/>
      <c r="X5" s="66" t="s">
        <v>0</v>
      </c>
      <c r="Y5" s="65"/>
    </row>
    <row r="6" spans="1:25" s="69" customFormat="1" ht="24" x14ac:dyDescent="0.2">
      <c r="A6" s="70" t="s">
        <v>130</v>
      </c>
      <c r="B6" s="64" t="s">
        <v>123</v>
      </c>
      <c r="C6" s="64" t="s">
        <v>162</v>
      </c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117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25" s="69" customFormat="1" ht="12" x14ac:dyDescent="0.2">
      <c r="A7" s="70"/>
      <c r="B7" s="70"/>
      <c r="C7" s="70"/>
      <c r="D7" s="70"/>
      <c r="E7" s="70"/>
      <c r="F7" s="70"/>
      <c r="G7" s="70"/>
      <c r="H7" s="70" t="s">
        <v>47</v>
      </c>
      <c r="I7" s="70" t="s">
        <v>60</v>
      </c>
      <c r="J7" s="70" t="s">
        <v>29</v>
      </c>
      <c r="K7" s="72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118" t="s">
        <v>15</v>
      </c>
      <c r="R7" s="67" t="s">
        <v>39</v>
      </c>
      <c r="S7" s="72" t="s">
        <v>19</v>
      </c>
      <c r="T7" s="73" t="s">
        <v>163</v>
      </c>
      <c r="U7" s="70" t="s">
        <v>53</v>
      </c>
      <c r="V7" s="70"/>
      <c r="W7" s="70" t="s">
        <v>44</v>
      </c>
      <c r="X7" s="70" t="s">
        <v>5</v>
      </c>
      <c r="Y7" s="74"/>
    </row>
    <row r="8" spans="1:25" s="4" customFormat="1" ht="39.75" customHeight="1" x14ac:dyDescent="0.2">
      <c r="A8" s="194"/>
      <c r="B8" s="194"/>
      <c r="C8" s="194"/>
      <c r="D8" s="194" t="s">
        <v>78</v>
      </c>
      <c r="E8" s="194" t="s">
        <v>62</v>
      </c>
      <c r="F8" s="194"/>
      <c r="G8" s="194"/>
      <c r="H8" s="195">
        <f>SUM(H9:H27)</f>
        <v>44441.859999999993</v>
      </c>
      <c r="I8" s="195">
        <f>SUM(I9:I27)</f>
        <v>0</v>
      </c>
      <c r="J8" s="195">
        <f>SUM(J9:J27)</f>
        <v>44441.859999999993</v>
      </c>
      <c r="K8" s="194"/>
      <c r="L8" s="194"/>
      <c r="M8" s="194"/>
      <c r="N8" s="194"/>
      <c r="O8" s="194"/>
      <c r="P8" s="194"/>
      <c r="Q8" s="196"/>
      <c r="R8" s="194"/>
      <c r="S8" s="194"/>
      <c r="T8" s="194"/>
      <c r="U8" s="195">
        <f>SUM(U9:U27)</f>
        <v>221.63788800000003</v>
      </c>
      <c r="V8" s="195">
        <f>SUM(V9:V27)</f>
        <v>1364.6549759999998</v>
      </c>
      <c r="W8" s="195">
        <f>SUM(W9:W27)</f>
        <v>1364.6549759999998</v>
      </c>
      <c r="X8" s="195">
        <f>SUM(X9:X27)</f>
        <v>43298.842912</v>
      </c>
      <c r="Y8" s="197"/>
    </row>
    <row r="9" spans="1:25" s="4" customFormat="1" ht="67.5" customHeight="1" x14ac:dyDescent="0.2">
      <c r="A9" s="59"/>
      <c r="B9" s="116" t="s">
        <v>320</v>
      </c>
      <c r="C9" s="116" t="s">
        <v>145</v>
      </c>
      <c r="D9" s="121" t="s">
        <v>313</v>
      </c>
      <c r="E9" s="121" t="s">
        <v>312</v>
      </c>
      <c r="F9" s="133">
        <v>15</v>
      </c>
      <c r="G9" s="134">
        <f>H9/F9</f>
        <v>212.15533333333332</v>
      </c>
      <c r="H9" s="119">
        <v>3182.33</v>
      </c>
      <c r="I9" s="126">
        <v>0</v>
      </c>
      <c r="J9" s="127">
        <f t="shared" ref="J9" si="0">SUM(H9:I9)</f>
        <v>3182.33</v>
      </c>
      <c r="K9" s="172">
        <f>IF(H9/15&lt;=123.22,I9,I9/2)</f>
        <v>0</v>
      </c>
      <c r="L9" s="172">
        <f>H9+K9</f>
        <v>3182.33</v>
      </c>
      <c r="M9" s="172">
        <f t="shared" ref="M9:M19" si="1">VLOOKUP(L9,Tarifa1,1)</f>
        <v>2422.81</v>
      </c>
      <c r="N9" s="172">
        <f>L9-M9</f>
        <v>759.52</v>
      </c>
      <c r="O9" s="173">
        <f t="shared" ref="O9:O19" si="2">VLOOKUP(L9,Tarifa1,3)</f>
        <v>0.10879999999999999</v>
      </c>
      <c r="P9" s="172">
        <f>N9*O9</f>
        <v>82.635775999999993</v>
      </c>
      <c r="Q9" s="174">
        <f t="shared" ref="Q9:Q19" si="3">VLOOKUP(L9,Tarifa1,2)</f>
        <v>142.19999999999999</v>
      </c>
      <c r="R9" s="172">
        <f>P9+Q9</f>
        <v>224.83577599999998</v>
      </c>
      <c r="S9" s="172">
        <f t="shared" ref="S9:S19" si="4">VLOOKUP(L9,Credito1,2)</f>
        <v>125.1</v>
      </c>
      <c r="T9" s="172">
        <f>R9-S9</f>
        <v>99.735775999999987</v>
      </c>
      <c r="U9" s="127">
        <f t="shared" ref="U9" si="5">-IF(T9&gt;0,0,T9)</f>
        <v>0</v>
      </c>
      <c r="V9" s="127">
        <f t="shared" ref="V9" si="6">IF(T9&lt;0,0,T9)</f>
        <v>99.735775999999987</v>
      </c>
      <c r="W9" s="127">
        <f>SUM(V9:V9)</f>
        <v>99.735775999999987</v>
      </c>
      <c r="X9" s="127">
        <f>J9+U9-W9</f>
        <v>3082.5942239999999</v>
      </c>
      <c r="Y9" s="122"/>
    </row>
    <row r="10" spans="1:25" s="4" customFormat="1" ht="67.5" customHeight="1" x14ac:dyDescent="0.2">
      <c r="A10" s="59"/>
      <c r="B10" s="116" t="s">
        <v>125</v>
      </c>
      <c r="C10" s="116" t="s">
        <v>145</v>
      </c>
      <c r="D10" s="121" t="s">
        <v>79</v>
      </c>
      <c r="E10" s="121" t="s">
        <v>80</v>
      </c>
      <c r="F10" s="133">
        <v>15</v>
      </c>
      <c r="G10" s="134">
        <f>H10/F10</f>
        <v>215.60666666666665</v>
      </c>
      <c r="H10" s="119">
        <v>3234.1</v>
      </c>
      <c r="I10" s="126">
        <v>0</v>
      </c>
      <c r="J10" s="127">
        <f t="shared" ref="J10" si="7">SUM(H10:I10)</f>
        <v>3234.1</v>
      </c>
      <c r="K10" s="172">
        <f t="shared" ref="K10:K19" si="8">IF(H10/15&lt;=123.22,I10,I10/2)</f>
        <v>0</v>
      </c>
      <c r="L10" s="172">
        <f t="shared" ref="L10:L19" si="9">H10+K10</f>
        <v>3234.1</v>
      </c>
      <c r="M10" s="172">
        <f t="shared" si="1"/>
        <v>2422.81</v>
      </c>
      <c r="N10" s="172">
        <f t="shared" ref="N10:N19" si="10">L10-M10</f>
        <v>811.29</v>
      </c>
      <c r="O10" s="173">
        <f t="shared" si="2"/>
        <v>0.10879999999999999</v>
      </c>
      <c r="P10" s="172">
        <f t="shared" ref="P10:P19" si="11">N10*O10</f>
        <v>88.268351999999993</v>
      </c>
      <c r="Q10" s="174">
        <f t="shared" si="3"/>
        <v>142.19999999999999</v>
      </c>
      <c r="R10" s="172">
        <f t="shared" ref="R10:R19" si="12">P10+Q10</f>
        <v>230.46835199999998</v>
      </c>
      <c r="S10" s="172">
        <f t="shared" si="4"/>
        <v>125.1</v>
      </c>
      <c r="T10" s="172">
        <f t="shared" ref="T10:T19" si="13">R10-S10</f>
        <v>105.36835199999999</v>
      </c>
      <c r="U10" s="127">
        <f t="shared" ref="U10:U11" si="14">-IF(T10&gt;0,0,T10)</f>
        <v>0</v>
      </c>
      <c r="V10" s="127">
        <f t="shared" ref="V10:V11" si="15">IF(T10&lt;0,0,T10)</f>
        <v>105.36835199999999</v>
      </c>
      <c r="W10" s="127">
        <f>SUM(V10:V10)</f>
        <v>105.36835199999999</v>
      </c>
      <c r="X10" s="127">
        <f>J10+U10-W10</f>
        <v>3128.731648</v>
      </c>
      <c r="Y10" s="122"/>
    </row>
    <row r="11" spans="1:25" s="4" customFormat="1" ht="67.5" customHeight="1" x14ac:dyDescent="0.2">
      <c r="A11" s="59"/>
      <c r="B11" s="116" t="s">
        <v>376</v>
      </c>
      <c r="C11" s="116" t="s">
        <v>145</v>
      </c>
      <c r="D11" s="121" t="s">
        <v>378</v>
      </c>
      <c r="E11" s="121" t="s">
        <v>312</v>
      </c>
      <c r="F11" s="133"/>
      <c r="G11" s="134"/>
      <c r="H11" s="119">
        <v>3182.33</v>
      </c>
      <c r="I11" s="126">
        <v>0</v>
      </c>
      <c r="J11" s="127">
        <f t="shared" ref="J11" si="16">SUM(H11:I11)</f>
        <v>3182.33</v>
      </c>
      <c r="K11" s="172">
        <f>IF(H11/15&lt;=123.22,I11,I11/2)</f>
        <v>0</v>
      </c>
      <c r="L11" s="172">
        <f>H11+K11</f>
        <v>3182.33</v>
      </c>
      <c r="M11" s="172">
        <f t="shared" ref="M11" si="17">VLOOKUP(L11,Tarifa1,1)</f>
        <v>2422.81</v>
      </c>
      <c r="N11" s="172">
        <f>L11-M11</f>
        <v>759.52</v>
      </c>
      <c r="O11" s="173">
        <f t="shared" ref="O11" si="18">VLOOKUP(L11,Tarifa1,3)</f>
        <v>0.10879999999999999</v>
      </c>
      <c r="P11" s="172">
        <f>N11*O11</f>
        <v>82.635775999999993</v>
      </c>
      <c r="Q11" s="174">
        <f t="shared" ref="Q11" si="19">VLOOKUP(L11,Tarifa1,2)</f>
        <v>142.19999999999999</v>
      </c>
      <c r="R11" s="172">
        <f>P11+Q11</f>
        <v>224.83577599999998</v>
      </c>
      <c r="S11" s="172">
        <f t="shared" ref="S11" si="20">VLOOKUP(L11,Credito1,2)</f>
        <v>125.1</v>
      </c>
      <c r="T11" s="172">
        <f>R11-S11</f>
        <v>99.735775999999987</v>
      </c>
      <c r="U11" s="127">
        <f t="shared" si="14"/>
        <v>0</v>
      </c>
      <c r="V11" s="127">
        <f t="shared" si="15"/>
        <v>99.735775999999987</v>
      </c>
      <c r="W11" s="127">
        <f>SUM(V11:V11)</f>
        <v>99.735775999999987</v>
      </c>
      <c r="X11" s="127">
        <f>J11+U11-W11</f>
        <v>3082.5942239999999</v>
      </c>
      <c r="Y11" s="122"/>
    </row>
    <row r="12" spans="1:25" s="4" customFormat="1" ht="67.5" customHeight="1" x14ac:dyDescent="0.2">
      <c r="A12" s="59"/>
      <c r="B12" s="116" t="s">
        <v>377</v>
      </c>
      <c r="C12" s="116" t="s">
        <v>232</v>
      </c>
      <c r="D12" s="121" t="s">
        <v>379</v>
      </c>
      <c r="E12" s="121" t="s">
        <v>80</v>
      </c>
      <c r="F12" s="133"/>
      <c r="G12" s="134"/>
      <c r="H12" s="119">
        <v>2689.18</v>
      </c>
      <c r="I12" s="126">
        <v>0</v>
      </c>
      <c r="J12" s="127">
        <f>SUM(H12:I12)</f>
        <v>2689.18</v>
      </c>
      <c r="K12" s="128">
        <v>0</v>
      </c>
      <c r="L12" s="128">
        <f>H12+K12</f>
        <v>2689.18</v>
      </c>
      <c r="M12" s="128">
        <v>2422.81</v>
      </c>
      <c r="N12" s="128">
        <f t="shared" ref="N12" si="21">L12-M12</f>
        <v>266.36999999999989</v>
      </c>
      <c r="O12" s="129">
        <v>0.10879999999999999</v>
      </c>
      <c r="P12" s="128">
        <f t="shared" ref="P12" si="22">N12*O12</f>
        <v>28.981055999999988</v>
      </c>
      <c r="Q12" s="130">
        <v>5.55</v>
      </c>
      <c r="R12" s="128">
        <f t="shared" ref="R12" si="23">P12+Q12</f>
        <v>34.531055999999985</v>
      </c>
      <c r="S12" s="128">
        <v>145.35</v>
      </c>
      <c r="T12" s="128">
        <f t="shared" ref="T12" si="24">R12-S12</f>
        <v>-110.81894400000002</v>
      </c>
      <c r="U12" s="127">
        <f>-IF(T12&gt;0,0,T12)</f>
        <v>110.81894400000002</v>
      </c>
      <c r="V12" s="127">
        <f>IF(T12&lt;0,0,T12)</f>
        <v>0</v>
      </c>
      <c r="W12" s="127">
        <f>SUM(V12:V12)</f>
        <v>0</v>
      </c>
      <c r="X12" s="127">
        <f>J12+U12-W12</f>
        <v>2799.9989439999999</v>
      </c>
      <c r="Y12" s="122"/>
    </row>
    <row r="13" spans="1:25" s="4" customFormat="1" ht="67.5" customHeight="1" x14ac:dyDescent="0.2">
      <c r="A13" s="59"/>
      <c r="B13" s="116" t="s">
        <v>381</v>
      </c>
      <c r="C13" s="116" t="s">
        <v>145</v>
      </c>
      <c r="D13" s="121" t="s">
        <v>382</v>
      </c>
      <c r="E13" s="121" t="s">
        <v>80</v>
      </c>
      <c r="F13" s="133"/>
      <c r="G13" s="134"/>
      <c r="H13" s="119">
        <v>2689.18</v>
      </c>
      <c r="I13" s="126">
        <v>0</v>
      </c>
      <c r="J13" s="127">
        <f>SUM(H13:I13)</f>
        <v>2689.18</v>
      </c>
      <c r="K13" s="128">
        <v>0</v>
      </c>
      <c r="L13" s="128">
        <f>H13+K13</f>
        <v>2689.18</v>
      </c>
      <c r="M13" s="128">
        <v>2422.81</v>
      </c>
      <c r="N13" s="128">
        <f t="shared" ref="N13" si="25">L13-M13</f>
        <v>266.36999999999989</v>
      </c>
      <c r="O13" s="129">
        <v>0.10879999999999999</v>
      </c>
      <c r="P13" s="128">
        <f t="shared" ref="P13" si="26">N13*O13</f>
        <v>28.981055999999988</v>
      </c>
      <c r="Q13" s="130">
        <v>5.55</v>
      </c>
      <c r="R13" s="128">
        <f t="shared" ref="R13" si="27">P13+Q13</f>
        <v>34.531055999999985</v>
      </c>
      <c r="S13" s="128">
        <v>145.35</v>
      </c>
      <c r="T13" s="128">
        <f t="shared" ref="T13" si="28">R13-S13</f>
        <v>-110.81894400000002</v>
      </c>
      <c r="U13" s="127">
        <f>-IF(T13&gt;0,0,T13)</f>
        <v>110.81894400000002</v>
      </c>
      <c r="V13" s="127">
        <f>IF(T13&lt;0,0,T13)</f>
        <v>0</v>
      </c>
      <c r="W13" s="127">
        <f>SUM(V13:V13)</f>
        <v>0</v>
      </c>
      <c r="X13" s="127">
        <f>J13+U13-W13</f>
        <v>2799.9989439999999</v>
      </c>
      <c r="Y13" s="122"/>
    </row>
    <row r="14" spans="1:25" s="4" customFormat="1" ht="67.5" customHeight="1" x14ac:dyDescent="0.2">
      <c r="A14" s="59"/>
      <c r="B14" s="116" t="s">
        <v>171</v>
      </c>
      <c r="C14" s="116" t="s">
        <v>145</v>
      </c>
      <c r="D14" s="124" t="s">
        <v>170</v>
      </c>
      <c r="E14" s="121" t="s">
        <v>124</v>
      </c>
      <c r="F14" s="133">
        <v>15</v>
      </c>
      <c r="G14" s="134">
        <f>H14/F14</f>
        <v>231.56800000000001</v>
      </c>
      <c r="H14" s="119">
        <v>3473.52</v>
      </c>
      <c r="I14" s="126">
        <v>0</v>
      </c>
      <c r="J14" s="127">
        <f t="shared" ref="J14" si="29">SUM(H14:I14)</f>
        <v>3473.52</v>
      </c>
      <c r="K14" s="128">
        <v>0</v>
      </c>
      <c r="L14" s="128">
        <f>H14+K14</f>
        <v>3473.52</v>
      </c>
      <c r="M14" s="128">
        <v>2422.81</v>
      </c>
      <c r="N14" s="128">
        <f>L14-M14</f>
        <v>1050.71</v>
      </c>
      <c r="O14" s="129">
        <f>VLOOKUP(L14,Tarifa1,3)</f>
        <v>0.10879999999999999</v>
      </c>
      <c r="P14" s="128">
        <f>N14*O14</f>
        <v>114.31724799999999</v>
      </c>
      <c r="Q14" s="130">
        <v>142.19999999999999</v>
      </c>
      <c r="R14" s="128">
        <f>P14+Q14</f>
        <v>256.517248</v>
      </c>
      <c r="S14" s="128">
        <v>125.1</v>
      </c>
      <c r="T14" s="128">
        <f>R14-S14</f>
        <v>131.417248</v>
      </c>
      <c r="U14" s="127">
        <f>-IF(T14&gt;0,0,T14)</f>
        <v>0</v>
      </c>
      <c r="V14" s="127">
        <f>IF(T14&lt;0,0,T14)</f>
        <v>131.417248</v>
      </c>
      <c r="W14" s="127">
        <f>SUM(V14:V14)</f>
        <v>131.417248</v>
      </c>
      <c r="X14" s="127">
        <f>J14+U14-W14</f>
        <v>3342.1027519999998</v>
      </c>
      <c r="Y14" s="122"/>
    </row>
    <row r="15" spans="1:25" s="4" customFormat="1" ht="67.5" customHeight="1" x14ac:dyDescent="0.2">
      <c r="A15" s="59"/>
      <c r="B15" s="116" t="s">
        <v>321</v>
      </c>
      <c r="C15" s="116" t="s">
        <v>145</v>
      </c>
      <c r="D15" s="124" t="s">
        <v>310</v>
      </c>
      <c r="E15" s="121" t="s">
        <v>311</v>
      </c>
      <c r="F15" s="133"/>
      <c r="G15" s="134"/>
      <c r="H15" s="53">
        <v>2876.93</v>
      </c>
      <c r="I15" s="54">
        <v>0</v>
      </c>
      <c r="J15" s="55">
        <f t="shared" ref="J15:J16" si="30">SUM(H15:I15)</f>
        <v>2876.93</v>
      </c>
      <c r="K15" s="172">
        <f t="shared" si="8"/>
        <v>0</v>
      </c>
      <c r="L15" s="172">
        <f t="shared" si="9"/>
        <v>2876.93</v>
      </c>
      <c r="M15" s="172">
        <f t="shared" si="1"/>
        <v>2422.81</v>
      </c>
      <c r="N15" s="172">
        <f t="shared" si="10"/>
        <v>454.11999999999989</v>
      </c>
      <c r="O15" s="173">
        <f t="shared" si="2"/>
        <v>0.10879999999999999</v>
      </c>
      <c r="P15" s="172">
        <f t="shared" si="11"/>
        <v>49.408255999999987</v>
      </c>
      <c r="Q15" s="174">
        <f t="shared" si="3"/>
        <v>142.19999999999999</v>
      </c>
      <c r="R15" s="172">
        <f t="shared" si="12"/>
        <v>191.60825599999998</v>
      </c>
      <c r="S15" s="172">
        <f t="shared" si="4"/>
        <v>145.35</v>
      </c>
      <c r="T15" s="172">
        <f t="shared" si="13"/>
        <v>46.258255999999989</v>
      </c>
      <c r="U15" s="52">
        <f t="shared" ref="U15:U16" si="31">-IF(T15&gt;0,0,T15)</f>
        <v>0</v>
      </c>
      <c r="V15" s="52">
        <f t="shared" ref="V15:V16" si="32">IF(T15&lt;0,0,T15)</f>
        <v>46.258255999999989</v>
      </c>
      <c r="W15" s="55">
        <f>SUM(V15:V15)</f>
        <v>46.258255999999989</v>
      </c>
      <c r="X15" s="55">
        <f>J15+U15-W15</f>
        <v>2830.6717439999998</v>
      </c>
      <c r="Y15" s="122"/>
    </row>
    <row r="16" spans="1:25" s="4" customFormat="1" ht="67.5" customHeight="1" x14ac:dyDescent="0.2">
      <c r="A16" s="59"/>
      <c r="B16" s="116" t="s">
        <v>346</v>
      </c>
      <c r="C16" s="116" t="s">
        <v>145</v>
      </c>
      <c r="D16" s="124" t="s">
        <v>347</v>
      </c>
      <c r="E16" s="123" t="s">
        <v>348</v>
      </c>
      <c r="F16" s="133"/>
      <c r="G16" s="134"/>
      <c r="H16" s="119">
        <v>3089.65</v>
      </c>
      <c r="I16" s="126">
        <v>0</v>
      </c>
      <c r="J16" s="127">
        <f t="shared" si="30"/>
        <v>3089.65</v>
      </c>
      <c r="K16" s="172">
        <f t="shared" ref="K16" si="33">IF(H16/15&lt;=123.22,I16,I16/2)</f>
        <v>0</v>
      </c>
      <c r="L16" s="172">
        <f t="shared" ref="L16" si="34">H16+K16</f>
        <v>3089.65</v>
      </c>
      <c r="M16" s="172">
        <f t="shared" ref="M16" si="35">VLOOKUP(L16,Tarifa1,1)</f>
        <v>2422.81</v>
      </c>
      <c r="N16" s="172">
        <f t="shared" ref="N16" si="36">L16-M16</f>
        <v>666.84000000000015</v>
      </c>
      <c r="O16" s="173">
        <f t="shared" ref="O16" si="37">VLOOKUP(L16,Tarifa1,3)</f>
        <v>0.10879999999999999</v>
      </c>
      <c r="P16" s="172">
        <f t="shared" ref="P16" si="38">N16*O16</f>
        <v>72.552192000000005</v>
      </c>
      <c r="Q16" s="174">
        <f t="shared" ref="Q16" si="39">VLOOKUP(L16,Tarifa1,2)</f>
        <v>142.19999999999999</v>
      </c>
      <c r="R16" s="172">
        <f t="shared" ref="R16" si="40">P16+Q16</f>
        <v>214.75219199999998</v>
      </c>
      <c r="S16" s="172">
        <f t="shared" ref="S16" si="41">VLOOKUP(L16,Credito1,2)</f>
        <v>125.1</v>
      </c>
      <c r="T16" s="172">
        <f t="shared" ref="T16" si="42">R16-S16</f>
        <v>89.652191999999985</v>
      </c>
      <c r="U16" s="127">
        <f t="shared" si="31"/>
        <v>0</v>
      </c>
      <c r="V16" s="127">
        <f t="shared" si="32"/>
        <v>89.652191999999985</v>
      </c>
      <c r="W16" s="127">
        <f>SUM(V16:V16)</f>
        <v>89.652191999999985</v>
      </c>
      <c r="X16" s="127">
        <f>J16+U16-W16</f>
        <v>2999.9978080000001</v>
      </c>
      <c r="Y16" s="122"/>
    </row>
    <row r="17" spans="1:31" s="4" customFormat="1" ht="67.5" customHeight="1" x14ac:dyDescent="0.2">
      <c r="A17" s="59"/>
      <c r="B17" s="116" t="s">
        <v>177</v>
      </c>
      <c r="C17" s="116" t="s">
        <v>232</v>
      </c>
      <c r="D17" s="121" t="s">
        <v>175</v>
      </c>
      <c r="E17" s="121" t="s">
        <v>176</v>
      </c>
      <c r="F17" s="133">
        <v>6</v>
      </c>
      <c r="G17" s="134"/>
      <c r="H17" s="53">
        <v>3163.94</v>
      </c>
      <c r="I17" s="54">
        <v>0</v>
      </c>
      <c r="J17" s="55">
        <f t="shared" ref="J17:J18" si="43">SUM(H17:I17)</f>
        <v>3163.94</v>
      </c>
      <c r="K17" s="172">
        <f t="shared" si="8"/>
        <v>0</v>
      </c>
      <c r="L17" s="172">
        <f t="shared" si="9"/>
        <v>3163.94</v>
      </c>
      <c r="M17" s="172">
        <f t="shared" si="1"/>
        <v>2422.81</v>
      </c>
      <c r="N17" s="172">
        <f t="shared" si="10"/>
        <v>741.13000000000011</v>
      </c>
      <c r="O17" s="173">
        <f t="shared" si="2"/>
        <v>0.10879999999999999</v>
      </c>
      <c r="P17" s="172">
        <f t="shared" si="11"/>
        <v>80.634944000000004</v>
      </c>
      <c r="Q17" s="174">
        <f t="shared" si="3"/>
        <v>142.19999999999999</v>
      </c>
      <c r="R17" s="172">
        <f t="shared" si="12"/>
        <v>222.83494400000001</v>
      </c>
      <c r="S17" s="172">
        <f t="shared" si="4"/>
        <v>125.1</v>
      </c>
      <c r="T17" s="172">
        <f t="shared" si="13"/>
        <v>97.734944000000013</v>
      </c>
      <c r="U17" s="52">
        <f t="shared" ref="U17:U19" si="44">-IF(T17&gt;0,0,T17)</f>
        <v>0</v>
      </c>
      <c r="V17" s="52">
        <f t="shared" ref="V17:V19" si="45">IF(T17&lt;0,0,T17)</f>
        <v>97.734944000000013</v>
      </c>
      <c r="W17" s="55">
        <f>SUM(V17:V17)</f>
        <v>97.734944000000013</v>
      </c>
      <c r="X17" s="55">
        <f>J17+U17-W17</f>
        <v>3066.2050560000002</v>
      </c>
      <c r="Y17" s="122"/>
    </row>
    <row r="18" spans="1:31" s="4" customFormat="1" ht="67.5" customHeight="1" x14ac:dyDescent="0.2">
      <c r="A18" s="59"/>
      <c r="B18" s="139" t="s">
        <v>265</v>
      </c>
      <c r="C18" s="116" t="s">
        <v>145</v>
      </c>
      <c r="D18" s="121" t="s">
        <v>204</v>
      </c>
      <c r="E18" s="121" t="s">
        <v>83</v>
      </c>
      <c r="F18" s="133">
        <v>15</v>
      </c>
      <c r="G18" s="134">
        <f>H18/F18</f>
        <v>294.57133333333331</v>
      </c>
      <c r="H18" s="119">
        <v>4418.57</v>
      </c>
      <c r="I18" s="126">
        <v>0</v>
      </c>
      <c r="J18" s="127">
        <f t="shared" si="43"/>
        <v>4418.57</v>
      </c>
      <c r="K18" s="172">
        <f t="shared" si="8"/>
        <v>0</v>
      </c>
      <c r="L18" s="172">
        <f t="shared" si="9"/>
        <v>4418.57</v>
      </c>
      <c r="M18" s="172">
        <f t="shared" si="1"/>
        <v>4257.91</v>
      </c>
      <c r="N18" s="172">
        <f t="shared" si="10"/>
        <v>160.65999999999985</v>
      </c>
      <c r="O18" s="173">
        <f t="shared" si="2"/>
        <v>0.16</v>
      </c>
      <c r="P18" s="172">
        <f t="shared" si="11"/>
        <v>25.705599999999976</v>
      </c>
      <c r="Q18" s="174">
        <f t="shared" si="3"/>
        <v>341.85</v>
      </c>
      <c r="R18" s="172">
        <f t="shared" si="12"/>
        <v>367.55560000000003</v>
      </c>
      <c r="S18" s="172">
        <f t="shared" si="4"/>
        <v>0</v>
      </c>
      <c r="T18" s="172">
        <f t="shared" si="13"/>
        <v>367.55560000000003</v>
      </c>
      <c r="U18" s="127">
        <f t="shared" si="44"/>
        <v>0</v>
      </c>
      <c r="V18" s="127">
        <f t="shared" si="45"/>
        <v>367.55560000000003</v>
      </c>
      <c r="W18" s="127">
        <f>SUM(V18:V18)</f>
        <v>367.55560000000003</v>
      </c>
      <c r="X18" s="127">
        <f>J18+U18-W18</f>
        <v>4051.0143999999996</v>
      </c>
      <c r="Y18" s="122"/>
    </row>
    <row r="19" spans="1:31" s="4" customFormat="1" ht="67.5" customHeight="1" x14ac:dyDescent="0.2">
      <c r="A19" s="59"/>
      <c r="B19" s="139" t="s">
        <v>322</v>
      </c>
      <c r="C19" s="116" t="s">
        <v>145</v>
      </c>
      <c r="D19" s="121" t="s">
        <v>308</v>
      </c>
      <c r="E19" s="121" t="s">
        <v>309</v>
      </c>
      <c r="F19" s="133"/>
      <c r="G19" s="134"/>
      <c r="H19" s="119">
        <v>3182.33</v>
      </c>
      <c r="I19" s="126">
        <v>0</v>
      </c>
      <c r="J19" s="127">
        <f t="shared" ref="J19" si="46">SUM(H19:I19)</f>
        <v>3182.33</v>
      </c>
      <c r="K19" s="172">
        <f t="shared" si="8"/>
        <v>0</v>
      </c>
      <c r="L19" s="172">
        <f t="shared" si="9"/>
        <v>3182.33</v>
      </c>
      <c r="M19" s="172">
        <f t="shared" si="1"/>
        <v>2422.81</v>
      </c>
      <c r="N19" s="172">
        <f t="shared" si="10"/>
        <v>759.52</v>
      </c>
      <c r="O19" s="173">
        <f t="shared" si="2"/>
        <v>0.10879999999999999</v>
      </c>
      <c r="P19" s="172">
        <f t="shared" si="11"/>
        <v>82.635775999999993</v>
      </c>
      <c r="Q19" s="174">
        <f t="shared" si="3"/>
        <v>142.19999999999999</v>
      </c>
      <c r="R19" s="172">
        <f t="shared" si="12"/>
        <v>224.83577599999998</v>
      </c>
      <c r="S19" s="172">
        <f t="shared" si="4"/>
        <v>125.1</v>
      </c>
      <c r="T19" s="172">
        <f t="shared" si="13"/>
        <v>99.735775999999987</v>
      </c>
      <c r="U19" s="127">
        <f t="shared" si="44"/>
        <v>0</v>
      </c>
      <c r="V19" s="127">
        <f t="shared" si="45"/>
        <v>99.735775999999987</v>
      </c>
      <c r="W19" s="127">
        <f>SUM(V19:V19)</f>
        <v>99.735775999999987</v>
      </c>
      <c r="X19" s="127">
        <f>J19+U19-W19</f>
        <v>3082.5942239999999</v>
      </c>
      <c r="Y19" s="122"/>
    </row>
    <row r="20" spans="1:31" s="4" customFormat="1" ht="20.25" customHeight="1" x14ac:dyDescent="0.2">
      <c r="A20" s="231"/>
      <c r="B20" s="282"/>
      <c r="C20" s="231"/>
      <c r="D20" s="283"/>
      <c r="E20" s="283"/>
      <c r="F20" s="284"/>
      <c r="G20" s="285"/>
      <c r="H20" s="286"/>
      <c r="I20" s="287"/>
      <c r="J20" s="288"/>
      <c r="K20" s="289"/>
      <c r="L20" s="289"/>
      <c r="M20" s="289"/>
      <c r="N20" s="289"/>
      <c r="O20" s="290"/>
      <c r="P20" s="289"/>
      <c r="Q20" s="291"/>
      <c r="R20" s="289"/>
      <c r="S20" s="289"/>
      <c r="T20" s="289"/>
      <c r="U20" s="288"/>
      <c r="V20" s="288"/>
      <c r="W20" s="288"/>
      <c r="X20" s="288"/>
    </row>
    <row r="21" spans="1:31" s="4" customFormat="1" ht="28.5" customHeight="1" x14ac:dyDescent="0.25">
      <c r="A21" s="231"/>
      <c r="B21" s="306" t="s">
        <v>93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</row>
    <row r="22" spans="1:31" s="4" customFormat="1" ht="23.25" customHeight="1" x14ac:dyDescent="0.25">
      <c r="A22" s="231"/>
      <c r="B22" s="306" t="s">
        <v>66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</row>
    <row r="23" spans="1:31" s="4" customFormat="1" ht="23.25" customHeight="1" x14ac:dyDescent="0.2">
      <c r="A23" s="231"/>
      <c r="B23" s="307" t="s">
        <v>391</v>
      </c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</row>
    <row r="24" spans="1:31" s="4" customFormat="1" ht="19.5" customHeight="1" x14ac:dyDescent="0.2">
      <c r="A24" s="231"/>
      <c r="B24" s="5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</row>
    <row r="25" spans="1:31" s="4" customFormat="1" ht="75" customHeight="1" x14ac:dyDescent="0.2">
      <c r="A25" s="231"/>
      <c r="B25" s="139" t="s">
        <v>371</v>
      </c>
      <c r="C25" s="116" t="s">
        <v>145</v>
      </c>
      <c r="D25" s="123" t="s">
        <v>96</v>
      </c>
      <c r="E25" s="123" t="s">
        <v>337</v>
      </c>
      <c r="F25" s="133">
        <v>15</v>
      </c>
      <c r="G25" s="134">
        <f>H25/F25</f>
        <v>194.98</v>
      </c>
      <c r="H25" s="119">
        <v>2924.7</v>
      </c>
      <c r="I25" s="126">
        <v>0</v>
      </c>
      <c r="J25" s="127">
        <f>SUM(H25:I25)</f>
        <v>2924.7</v>
      </c>
      <c r="K25" s="172">
        <f>IF(H25/15&lt;=123.22,I25,I25/2)</f>
        <v>0</v>
      </c>
      <c r="L25" s="172">
        <f>H25+K25</f>
        <v>2924.7</v>
      </c>
      <c r="M25" s="172">
        <f>VLOOKUP(L25,Tarifa1,1)</f>
        <v>2422.81</v>
      </c>
      <c r="N25" s="172">
        <f>L25-M25</f>
        <v>501.88999999999987</v>
      </c>
      <c r="O25" s="173">
        <f>VLOOKUP(L25,Tarifa1,3)</f>
        <v>0.10879999999999999</v>
      </c>
      <c r="P25" s="172">
        <f>N25*O25</f>
        <v>54.605631999999986</v>
      </c>
      <c r="Q25" s="174">
        <f>VLOOKUP(L25,Tarifa1,2)</f>
        <v>142.19999999999999</v>
      </c>
      <c r="R25" s="172">
        <f>P25+Q25</f>
        <v>196.80563199999997</v>
      </c>
      <c r="S25" s="172">
        <f>VLOOKUP(L25,Credito1,2)</f>
        <v>145.35</v>
      </c>
      <c r="T25" s="172">
        <f>R25-S25</f>
        <v>51.45563199999998</v>
      </c>
      <c r="U25" s="127">
        <f>-IF(T25&gt;0,0,T25)</f>
        <v>0</v>
      </c>
      <c r="V25" s="127">
        <f>IF(T25&lt;0,0,T25)</f>
        <v>51.45563199999998</v>
      </c>
      <c r="W25" s="127">
        <f>SUM(V25:V25)</f>
        <v>51.45563199999998</v>
      </c>
      <c r="X25" s="127">
        <f>J25+U25-W25</f>
        <v>2873.2443679999997</v>
      </c>
      <c r="Y25" s="122"/>
      <c r="Z25" s="120"/>
    </row>
    <row r="26" spans="1:31" s="4" customFormat="1" ht="75" customHeight="1" x14ac:dyDescent="0.2">
      <c r="A26" s="231"/>
      <c r="B26" s="139" t="s">
        <v>374</v>
      </c>
      <c r="C26" s="116" t="s">
        <v>145</v>
      </c>
      <c r="D26" s="123" t="s">
        <v>375</v>
      </c>
      <c r="E26" s="121" t="s">
        <v>205</v>
      </c>
      <c r="F26" s="133"/>
      <c r="G26" s="134"/>
      <c r="H26" s="119">
        <v>3410.4</v>
      </c>
      <c r="I26" s="126">
        <v>0</v>
      </c>
      <c r="J26" s="127">
        <f t="shared" ref="J26" si="47">SUM(H26:I26)</f>
        <v>3410.4</v>
      </c>
      <c r="K26" s="128">
        <v>0</v>
      </c>
      <c r="L26" s="128">
        <f>H26+K26</f>
        <v>3410.4</v>
      </c>
      <c r="M26" s="128">
        <v>2422.81</v>
      </c>
      <c r="N26" s="128">
        <f>L26-M26</f>
        <v>987.59000000000015</v>
      </c>
      <c r="O26" s="129">
        <f>VLOOKUP(L26,Tarifa1,3)</f>
        <v>0.10879999999999999</v>
      </c>
      <c r="P26" s="128">
        <f>N26*O26</f>
        <v>107.44979200000002</v>
      </c>
      <c r="Q26" s="130">
        <v>142.19999999999999</v>
      </c>
      <c r="R26" s="128">
        <f>P26+Q26</f>
        <v>249.64979199999999</v>
      </c>
      <c r="S26" s="128">
        <v>125.1</v>
      </c>
      <c r="T26" s="128">
        <f>R26-S26</f>
        <v>124.549792</v>
      </c>
      <c r="U26" s="127">
        <f>-IF(T26&gt;0,0,T26)</f>
        <v>0</v>
      </c>
      <c r="V26" s="127">
        <f>IF(T26&lt;0,0,T26)</f>
        <v>124.549792</v>
      </c>
      <c r="W26" s="127">
        <f>SUM(V26:V26)</f>
        <v>124.549792</v>
      </c>
      <c r="X26" s="127">
        <f>J26+U26-W26</f>
        <v>3285.8502080000003</v>
      </c>
      <c r="Y26" s="122"/>
      <c r="Z26" s="120"/>
    </row>
    <row r="27" spans="1:31" s="4" customFormat="1" ht="75" customHeight="1" x14ac:dyDescent="0.2">
      <c r="A27" s="231"/>
      <c r="B27" s="139" t="s">
        <v>335</v>
      </c>
      <c r="C27" s="116" t="s">
        <v>145</v>
      </c>
      <c r="D27" s="121" t="s">
        <v>336</v>
      </c>
      <c r="E27" s="121" t="s">
        <v>205</v>
      </c>
      <c r="F27" s="133"/>
      <c r="G27" s="134"/>
      <c r="H27" s="119">
        <v>2924.7</v>
      </c>
      <c r="I27" s="126">
        <v>0</v>
      </c>
      <c r="J27" s="127">
        <f t="shared" ref="J27" si="48">SUM(H27:I27)</f>
        <v>2924.7</v>
      </c>
      <c r="K27" s="172">
        <f t="shared" ref="K27" si="49">IF(H27/15&lt;=123.22,I27,I27/2)</f>
        <v>0</v>
      </c>
      <c r="L27" s="172">
        <f t="shared" ref="L27" si="50">H27+K27</f>
        <v>2924.7</v>
      </c>
      <c r="M27" s="172">
        <f>VLOOKUP(L27,Tarifa1,1)</f>
        <v>2422.81</v>
      </c>
      <c r="N27" s="172">
        <f t="shared" ref="N27" si="51">L27-M27</f>
        <v>501.88999999999987</v>
      </c>
      <c r="O27" s="173">
        <f>VLOOKUP(L27,Tarifa1,3)</f>
        <v>0.10879999999999999</v>
      </c>
      <c r="P27" s="172">
        <f t="shared" ref="P27" si="52">N27*O27</f>
        <v>54.605631999999986</v>
      </c>
      <c r="Q27" s="174">
        <f>VLOOKUP(L27,Tarifa1,2)</f>
        <v>142.19999999999999</v>
      </c>
      <c r="R27" s="172">
        <f t="shared" ref="R27" si="53">P27+Q27</f>
        <v>196.80563199999997</v>
      </c>
      <c r="S27" s="172">
        <f>VLOOKUP(L27,Credito1,2)</f>
        <v>145.35</v>
      </c>
      <c r="T27" s="172">
        <f t="shared" ref="T27" si="54">R27-S27</f>
        <v>51.45563199999998</v>
      </c>
      <c r="U27" s="127">
        <f t="shared" ref="U27" si="55">-IF(T27&gt;0,0,T27)</f>
        <v>0</v>
      </c>
      <c r="V27" s="127">
        <f t="shared" ref="V27" si="56">IF(T27&lt;0,0,T27)</f>
        <v>51.45563199999998</v>
      </c>
      <c r="W27" s="127">
        <f>SUM(V27:V27)</f>
        <v>51.45563199999998</v>
      </c>
      <c r="X27" s="127">
        <f>J27+U27-W27</f>
        <v>2873.2443679999997</v>
      </c>
      <c r="Y27" s="122"/>
      <c r="Z27" s="120"/>
    </row>
    <row r="28" spans="1:31" s="4" customFormat="1" ht="39" customHeight="1" x14ac:dyDescent="0.2">
      <c r="A28" s="59"/>
      <c r="B28" s="198" t="s">
        <v>123</v>
      </c>
      <c r="C28" s="198" t="s">
        <v>162</v>
      </c>
      <c r="D28" s="194" t="s">
        <v>159</v>
      </c>
      <c r="E28" s="194" t="s">
        <v>62</v>
      </c>
      <c r="F28" s="194"/>
      <c r="G28" s="194"/>
      <c r="H28" s="195">
        <f>SUM(H29:H30)</f>
        <v>8893.06</v>
      </c>
      <c r="I28" s="195">
        <f>SUM(I29:I30)</f>
        <v>0</v>
      </c>
      <c r="J28" s="195">
        <f>SUM(J29:J30)</f>
        <v>8893.06</v>
      </c>
      <c r="K28" s="194"/>
      <c r="L28" s="194"/>
      <c r="M28" s="194"/>
      <c r="N28" s="194"/>
      <c r="O28" s="194"/>
      <c r="P28" s="194"/>
      <c r="Q28" s="196"/>
      <c r="R28" s="194"/>
      <c r="S28" s="194"/>
      <c r="T28" s="194"/>
      <c r="U28" s="195">
        <f>SUM(U29:U30)</f>
        <v>0</v>
      </c>
      <c r="V28" s="195">
        <f>SUM(V29:V30)</f>
        <v>745.75534399999992</v>
      </c>
      <c r="W28" s="195">
        <f>SUM(W29:W30)</f>
        <v>745.75534399999992</v>
      </c>
      <c r="X28" s="195">
        <f>SUM(X29:X30)</f>
        <v>8147.3046559999993</v>
      </c>
      <c r="Y28" s="197"/>
    </row>
    <row r="29" spans="1:31" s="4" customFormat="1" ht="75" customHeight="1" x14ac:dyDescent="0.2">
      <c r="A29" s="59" t="s">
        <v>101</v>
      </c>
      <c r="B29" s="139" t="s">
        <v>266</v>
      </c>
      <c r="C29" s="116" t="s">
        <v>145</v>
      </c>
      <c r="D29" s="121" t="s">
        <v>208</v>
      </c>
      <c r="E29" s="123" t="s">
        <v>206</v>
      </c>
      <c r="F29" s="133">
        <v>15</v>
      </c>
      <c r="G29" s="134">
        <f>H29/F29</f>
        <v>311.20799999999997</v>
      </c>
      <c r="H29" s="169">
        <v>4668.12</v>
      </c>
      <c r="I29" s="170">
        <v>0</v>
      </c>
      <c r="J29" s="171">
        <f>SUM(H29:I29)</f>
        <v>4668.12</v>
      </c>
      <c r="K29" s="172">
        <f t="shared" ref="K29:K30" si="57">IF(H29/15&lt;=123.22,I29,I29/2)</f>
        <v>0</v>
      </c>
      <c r="L29" s="172">
        <f t="shared" ref="L29:L30" si="58">H29+K29</f>
        <v>4668.12</v>
      </c>
      <c r="M29" s="172">
        <f>VLOOKUP(L29,Tarifa1,1)</f>
        <v>4257.91</v>
      </c>
      <c r="N29" s="172">
        <f t="shared" ref="N29:N30" si="59">L29-M29</f>
        <v>410.21000000000004</v>
      </c>
      <c r="O29" s="173">
        <f>VLOOKUP(L29,Tarifa1,3)</f>
        <v>0.16</v>
      </c>
      <c r="P29" s="172">
        <f t="shared" ref="P29:P30" si="60">N29*O29</f>
        <v>65.633600000000001</v>
      </c>
      <c r="Q29" s="174">
        <f>VLOOKUP(L29,Tarifa1,2)</f>
        <v>341.85</v>
      </c>
      <c r="R29" s="172">
        <f t="shared" ref="R29:R30" si="61">P29+Q29</f>
        <v>407.48360000000002</v>
      </c>
      <c r="S29" s="172">
        <f>VLOOKUP(L29,Credito1,2)</f>
        <v>0</v>
      </c>
      <c r="T29" s="172">
        <f t="shared" ref="T29:T30" si="62">R29-S29</f>
        <v>407.48360000000002</v>
      </c>
      <c r="U29" s="171">
        <f>-IF(T29&gt;0,0,T29)</f>
        <v>0</v>
      </c>
      <c r="V29" s="171">
        <f>IF(T29&lt;0,0,T29)</f>
        <v>407.48360000000002</v>
      </c>
      <c r="W29" s="171">
        <f>SUM(V29:V29)</f>
        <v>407.48360000000002</v>
      </c>
      <c r="X29" s="171">
        <f>J29+U29-W29</f>
        <v>4260.6363999999994</v>
      </c>
      <c r="Y29" s="122"/>
      <c r="AE29" s="189"/>
    </row>
    <row r="30" spans="1:31" s="4" customFormat="1" ht="75" customHeight="1" x14ac:dyDescent="0.2">
      <c r="A30" s="59"/>
      <c r="B30" s="139" t="s">
        <v>323</v>
      </c>
      <c r="C30" s="116" t="s">
        <v>145</v>
      </c>
      <c r="D30" s="121" t="s">
        <v>306</v>
      </c>
      <c r="E30" s="123" t="s">
        <v>307</v>
      </c>
      <c r="F30" s="133"/>
      <c r="G30" s="134"/>
      <c r="H30" s="169">
        <v>4224.9399999999996</v>
      </c>
      <c r="I30" s="170">
        <v>0</v>
      </c>
      <c r="J30" s="171">
        <f>SUM(H30:I30)</f>
        <v>4224.9399999999996</v>
      </c>
      <c r="K30" s="172">
        <f t="shared" si="57"/>
        <v>0</v>
      </c>
      <c r="L30" s="172">
        <f t="shared" si="58"/>
        <v>4224.9399999999996</v>
      </c>
      <c r="M30" s="172">
        <f>VLOOKUP(L30,Tarifa1,1)</f>
        <v>2422.81</v>
      </c>
      <c r="N30" s="172">
        <f t="shared" si="59"/>
        <v>1802.1299999999997</v>
      </c>
      <c r="O30" s="173">
        <f>VLOOKUP(L30,Tarifa1,3)</f>
        <v>0.10879999999999999</v>
      </c>
      <c r="P30" s="172">
        <f t="shared" si="60"/>
        <v>196.07174399999994</v>
      </c>
      <c r="Q30" s="174">
        <f>VLOOKUP(L30,Tarifa1,2)</f>
        <v>142.19999999999999</v>
      </c>
      <c r="R30" s="172">
        <f t="shared" si="61"/>
        <v>338.2717439999999</v>
      </c>
      <c r="S30" s="172">
        <f>VLOOKUP(L30,Credito1,2)</f>
        <v>0</v>
      </c>
      <c r="T30" s="172">
        <f t="shared" si="62"/>
        <v>338.2717439999999</v>
      </c>
      <c r="U30" s="171">
        <f>-IF(T30&gt;0,0,T30)</f>
        <v>0</v>
      </c>
      <c r="V30" s="171">
        <f>IF(T30&lt;0,0,T30)</f>
        <v>338.2717439999999</v>
      </c>
      <c r="W30" s="171">
        <f>SUM(V30:V30)</f>
        <v>338.2717439999999</v>
      </c>
      <c r="X30" s="171">
        <f>J30+U30-W30</f>
        <v>3886.6682559999999</v>
      </c>
      <c r="Y30" s="122"/>
      <c r="AE30" s="189"/>
    </row>
    <row r="31" spans="1:31" s="4" customFormat="1" ht="39" customHeight="1" x14ac:dyDescent="0.2">
      <c r="A31" s="59"/>
      <c r="B31" s="198" t="s">
        <v>123</v>
      </c>
      <c r="C31" s="198" t="s">
        <v>162</v>
      </c>
      <c r="D31" s="194" t="s">
        <v>161</v>
      </c>
      <c r="E31" s="194" t="s">
        <v>62</v>
      </c>
      <c r="F31" s="194"/>
      <c r="G31" s="194"/>
      <c r="H31" s="195">
        <f>SUM(H32:H33)</f>
        <v>5185.3</v>
      </c>
      <c r="I31" s="195">
        <f t="shared" ref="I31:X31" si="63">SUM(I32:I33)</f>
        <v>0</v>
      </c>
      <c r="J31" s="195">
        <f t="shared" si="63"/>
        <v>5185.3</v>
      </c>
      <c r="K31" s="195">
        <f t="shared" si="63"/>
        <v>0</v>
      </c>
      <c r="L31" s="195">
        <f t="shared" si="63"/>
        <v>5185.3</v>
      </c>
      <c r="M31" s="195">
        <f t="shared" si="63"/>
        <v>2708.27</v>
      </c>
      <c r="N31" s="195">
        <f t="shared" si="63"/>
        <v>2477.0300000000002</v>
      </c>
      <c r="O31" s="195">
        <f t="shared" si="63"/>
        <v>0.17280000000000001</v>
      </c>
      <c r="P31" s="195">
        <f t="shared" si="63"/>
        <v>178.73516800000002</v>
      </c>
      <c r="Q31" s="195">
        <f t="shared" si="63"/>
        <v>147.75</v>
      </c>
      <c r="R31" s="195">
        <f t="shared" si="63"/>
        <v>326.48516800000004</v>
      </c>
      <c r="S31" s="195">
        <f t="shared" si="63"/>
        <v>320.10000000000002</v>
      </c>
      <c r="T31" s="195">
        <f t="shared" si="63"/>
        <v>6.3851680000000215</v>
      </c>
      <c r="U31" s="195">
        <f t="shared" si="63"/>
        <v>39.534719999999993</v>
      </c>
      <c r="V31" s="195">
        <f t="shared" si="63"/>
        <v>45.919888000000014</v>
      </c>
      <c r="W31" s="195">
        <f t="shared" si="63"/>
        <v>45.919888000000014</v>
      </c>
      <c r="X31" s="195" t="e">
        <f t="shared" si="63"/>
        <v>#REF!</v>
      </c>
      <c r="Y31" s="197"/>
      <c r="AE31" s="189"/>
    </row>
    <row r="32" spans="1:31" s="4" customFormat="1" ht="75" customHeight="1" x14ac:dyDescent="0.2">
      <c r="A32" s="59"/>
      <c r="B32" s="116" t="s">
        <v>128</v>
      </c>
      <c r="C32" s="116" t="s">
        <v>145</v>
      </c>
      <c r="D32" s="121" t="s">
        <v>82</v>
      </c>
      <c r="E32" s="123" t="s">
        <v>164</v>
      </c>
      <c r="F32" s="133">
        <v>15</v>
      </c>
      <c r="G32" s="134">
        <f>H32/F32</f>
        <v>191.58800000000002</v>
      </c>
      <c r="H32" s="119">
        <v>2873.82</v>
      </c>
      <c r="I32" s="126">
        <v>0</v>
      </c>
      <c r="J32" s="127">
        <f>SUM(H32:I32)</f>
        <v>2873.82</v>
      </c>
      <c r="K32" s="172">
        <f t="shared" ref="K32:K33" si="64">IF(H32/15&lt;=123.22,I32,I32/2)</f>
        <v>0</v>
      </c>
      <c r="L32" s="172">
        <f t="shared" ref="L32:L33" si="65">H32+K32</f>
        <v>2873.82</v>
      </c>
      <c r="M32" s="172">
        <f>VLOOKUP(L32,Tarifa1,1)</f>
        <v>2422.81</v>
      </c>
      <c r="N32" s="172">
        <f t="shared" ref="N32:N33" si="66">L32-M32</f>
        <v>451.01000000000022</v>
      </c>
      <c r="O32" s="173">
        <f>VLOOKUP(L32,Tarifa1,3)</f>
        <v>0.10879999999999999</v>
      </c>
      <c r="P32" s="172">
        <f t="shared" ref="P32:P33" si="67">N32*O32</f>
        <v>49.06988800000002</v>
      </c>
      <c r="Q32" s="174">
        <f>VLOOKUP(L32,Tarifa1,2)</f>
        <v>142.19999999999999</v>
      </c>
      <c r="R32" s="172">
        <f t="shared" ref="R32:R33" si="68">P32+Q32</f>
        <v>191.26988800000001</v>
      </c>
      <c r="S32" s="172">
        <f>VLOOKUP(L32,Credito1,2)</f>
        <v>145.35</v>
      </c>
      <c r="T32" s="172">
        <f t="shared" ref="T32:T33" si="69">R32-S32</f>
        <v>45.919888000000014</v>
      </c>
      <c r="U32" s="127">
        <f>-IF(T32&gt;0,0,T32)</f>
        <v>0</v>
      </c>
      <c r="V32" s="127">
        <f>IF(T32&lt;0,0,T32)</f>
        <v>45.919888000000014</v>
      </c>
      <c r="W32" s="127">
        <f>SUM(V32:V32)</f>
        <v>45.919888000000014</v>
      </c>
      <c r="X32" s="127" t="e">
        <f>J32+U32-W32-#REF!</f>
        <v>#REF!</v>
      </c>
      <c r="Y32" s="122"/>
      <c r="AE32" s="189"/>
    </row>
    <row r="33" spans="1:37" s="4" customFormat="1" ht="75" customHeight="1" x14ac:dyDescent="0.2">
      <c r="A33" s="59"/>
      <c r="B33" s="116" t="s">
        <v>363</v>
      </c>
      <c r="C33" s="116" t="s">
        <v>145</v>
      </c>
      <c r="D33" s="121" t="s">
        <v>362</v>
      </c>
      <c r="E33" s="123" t="s">
        <v>364</v>
      </c>
      <c r="F33" s="133"/>
      <c r="G33" s="134"/>
      <c r="H33" s="119">
        <v>2311.48</v>
      </c>
      <c r="I33" s="126">
        <v>0</v>
      </c>
      <c r="J33" s="127">
        <f>SUM(H33:I33)</f>
        <v>2311.48</v>
      </c>
      <c r="K33" s="172">
        <f t="shared" si="64"/>
        <v>0</v>
      </c>
      <c r="L33" s="172">
        <f t="shared" si="65"/>
        <v>2311.48</v>
      </c>
      <c r="M33" s="172">
        <f>VLOOKUP(L33,Tarifa1,1)</f>
        <v>285.45999999999998</v>
      </c>
      <c r="N33" s="172">
        <f t="shared" si="66"/>
        <v>2026.02</v>
      </c>
      <c r="O33" s="173">
        <f>VLOOKUP(L33,Tarifa1,3)</f>
        <v>6.4000000000000001E-2</v>
      </c>
      <c r="P33" s="172">
        <f t="shared" si="67"/>
        <v>129.66528</v>
      </c>
      <c r="Q33" s="174">
        <f>VLOOKUP(L33,Tarifa1,2)</f>
        <v>5.55</v>
      </c>
      <c r="R33" s="172">
        <f t="shared" si="68"/>
        <v>135.21528000000001</v>
      </c>
      <c r="S33" s="172">
        <f>VLOOKUP(L33,Credito1,2)</f>
        <v>174.75</v>
      </c>
      <c r="T33" s="172">
        <f t="shared" si="69"/>
        <v>-39.534719999999993</v>
      </c>
      <c r="U33" s="127">
        <f>-IF(T33&gt;0,0,T33)</f>
        <v>39.534719999999993</v>
      </c>
      <c r="V33" s="127">
        <f>IF(T33&lt;0,0,T33)</f>
        <v>0</v>
      </c>
      <c r="W33" s="127">
        <f>SUM(V33:V33)</f>
        <v>0</v>
      </c>
      <c r="X33" s="127">
        <f>J33+U33-W33</f>
        <v>2351.0147200000001</v>
      </c>
      <c r="Y33" s="122"/>
      <c r="AE33" s="189"/>
    </row>
    <row r="34" spans="1:37" s="4" customFormat="1" ht="39" customHeight="1" x14ac:dyDescent="0.2">
      <c r="A34" s="59" t="s">
        <v>102</v>
      </c>
      <c r="B34" s="198" t="s">
        <v>123</v>
      </c>
      <c r="C34" s="198" t="s">
        <v>162</v>
      </c>
      <c r="D34" s="194" t="s">
        <v>160</v>
      </c>
      <c r="E34" s="194" t="s">
        <v>62</v>
      </c>
      <c r="F34" s="194"/>
      <c r="G34" s="194"/>
      <c r="H34" s="195">
        <f>SUM(H35)</f>
        <v>2873.82</v>
      </c>
      <c r="I34" s="195">
        <f>SUM(I35)</f>
        <v>0</v>
      </c>
      <c r="J34" s="195">
        <f>SUM(J35)</f>
        <v>2873.82</v>
      </c>
      <c r="K34" s="194"/>
      <c r="L34" s="194"/>
      <c r="M34" s="194"/>
      <c r="N34" s="194"/>
      <c r="O34" s="194"/>
      <c r="P34" s="194"/>
      <c r="Q34" s="196"/>
      <c r="R34" s="194"/>
      <c r="S34" s="194"/>
      <c r="T34" s="194"/>
      <c r="U34" s="195">
        <f>SUM(U35)</f>
        <v>0</v>
      </c>
      <c r="V34" s="195">
        <f>SUM(V35)</f>
        <v>45.919888000000014</v>
      </c>
      <c r="W34" s="195">
        <f>SUM(W35)</f>
        <v>45.919888000000014</v>
      </c>
      <c r="X34" s="195" t="e">
        <f>SUM(X35)</f>
        <v>#REF!</v>
      </c>
      <c r="Y34" s="197"/>
    </row>
    <row r="35" spans="1:37" s="4" customFormat="1" ht="75" customHeight="1" x14ac:dyDescent="0.2">
      <c r="A35" s="59" t="s">
        <v>103</v>
      </c>
      <c r="B35" s="116" t="s">
        <v>127</v>
      </c>
      <c r="C35" s="116" t="s">
        <v>145</v>
      </c>
      <c r="D35" s="121" t="s">
        <v>81</v>
      </c>
      <c r="E35" s="123" t="s">
        <v>207</v>
      </c>
      <c r="F35" s="133">
        <v>15</v>
      </c>
      <c r="G35" s="134">
        <f>H35/F35</f>
        <v>191.58800000000002</v>
      </c>
      <c r="H35" s="119">
        <v>2873.82</v>
      </c>
      <c r="I35" s="126">
        <v>0</v>
      </c>
      <c r="J35" s="127">
        <f>SUM(H35:I35)</f>
        <v>2873.82</v>
      </c>
      <c r="K35" s="172">
        <f t="shared" ref="K35" si="70">IF(H35/15&lt;=123.22,I35,I35/2)</f>
        <v>0</v>
      </c>
      <c r="L35" s="172">
        <f t="shared" ref="L35" si="71">H35+K35</f>
        <v>2873.82</v>
      </c>
      <c r="M35" s="172">
        <f>VLOOKUP(L35,Tarifa1,1)</f>
        <v>2422.81</v>
      </c>
      <c r="N35" s="172">
        <f t="shared" ref="N35" si="72">L35-M35</f>
        <v>451.01000000000022</v>
      </c>
      <c r="O35" s="173">
        <f>VLOOKUP(L35,Tarifa1,3)</f>
        <v>0.10879999999999999</v>
      </c>
      <c r="P35" s="172">
        <f t="shared" ref="P35" si="73">N35*O35</f>
        <v>49.06988800000002</v>
      </c>
      <c r="Q35" s="174">
        <f>VLOOKUP(L35,Tarifa1,2)</f>
        <v>142.19999999999999</v>
      </c>
      <c r="R35" s="172">
        <f t="shared" ref="R35" si="74">P35+Q35</f>
        <v>191.26988800000001</v>
      </c>
      <c r="S35" s="172">
        <f>VLOOKUP(L35,Credito1,2)</f>
        <v>145.35</v>
      </c>
      <c r="T35" s="172">
        <f t="shared" ref="T35" si="75">R35-S35</f>
        <v>45.919888000000014</v>
      </c>
      <c r="U35" s="127">
        <f>-IF(T35&gt;0,0,T35)</f>
        <v>0</v>
      </c>
      <c r="V35" s="127">
        <f>IF(T35&lt;0,0,T35)</f>
        <v>45.919888000000014</v>
      </c>
      <c r="W35" s="127">
        <f>SUM(V35:V35)</f>
        <v>45.919888000000014</v>
      </c>
      <c r="X35" s="127" t="e">
        <f>J35+U35-W35-#REF!</f>
        <v>#REF!</v>
      </c>
      <c r="Y35" s="122"/>
      <c r="AE35" s="189"/>
    </row>
    <row r="36" spans="1:37" s="4" customFormat="1" ht="18" customHeight="1" x14ac:dyDescent="0.2">
      <c r="A36" s="56"/>
      <c r="B36" s="56"/>
      <c r="C36" s="56"/>
      <c r="D36" s="56"/>
      <c r="E36" s="56"/>
      <c r="F36" s="56"/>
      <c r="G36" s="56"/>
      <c r="H36" s="35"/>
      <c r="I36" s="35"/>
      <c r="J36" s="35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37" s="4" customFormat="1" ht="36.75" customHeight="1" thickBot="1" x14ac:dyDescent="0.25">
      <c r="A37" s="303" t="s">
        <v>45</v>
      </c>
      <c r="B37" s="304"/>
      <c r="C37" s="304"/>
      <c r="D37" s="304"/>
      <c r="E37" s="304"/>
      <c r="F37" s="304"/>
      <c r="G37" s="305"/>
      <c r="H37" s="164">
        <f>SUM(H8+H28+H31+H34)</f>
        <v>61394.039999999994</v>
      </c>
      <c r="I37" s="164">
        <f>SUM(I8+I28+I31+I34)</f>
        <v>0</v>
      </c>
      <c r="J37" s="164">
        <f>SUM(J8+J28+J31+J34)</f>
        <v>61394.039999999994</v>
      </c>
      <c r="K37" s="165">
        <f t="shared" ref="K37:T37" si="76">SUM(K9:K36)</f>
        <v>0</v>
      </c>
      <c r="L37" s="165">
        <f t="shared" si="76"/>
        <v>66579.340000000011</v>
      </c>
      <c r="M37" s="165">
        <f t="shared" si="76"/>
        <v>50274.509999999995</v>
      </c>
      <c r="N37" s="165">
        <f t="shared" si="76"/>
        <v>16304.829999999998</v>
      </c>
      <c r="O37" s="165">
        <f t="shared" si="76"/>
        <v>2.2976000000000001</v>
      </c>
      <c r="P37" s="165">
        <f t="shared" si="76"/>
        <v>1621.6626559999997</v>
      </c>
      <c r="Q37" s="165">
        <f t="shared" si="76"/>
        <v>2838.8999999999996</v>
      </c>
      <c r="R37" s="165">
        <f t="shared" si="76"/>
        <v>4460.5626560000001</v>
      </c>
      <c r="S37" s="165">
        <f t="shared" si="76"/>
        <v>2513.0999999999995</v>
      </c>
      <c r="T37" s="165">
        <f t="shared" si="76"/>
        <v>1947.4626559999997</v>
      </c>
      <c r="U37" s="164">
        <f>SUM(U8+U28+U31+U34)</f>
        <v>261.17260800000003</v>
      </c>
      <c r="V37" s="164">
        <f>SUM(V8+V28+V31+V34)</f>
        <v>2202.2500959999998</v>
      </c>
      <c r="W37" s="164">
        <f>SUM(W8+W28+W31+W34)</f>
        <v>2202.2500959999998</v>
      </c>
      <c r="X37" s="164" t="e">
        <f>SUM(X8+X28+X31+X34)</f>
        <v>#REF!</v>
      </c>
    </row>
    <row r="38" spans="1:37" s="4" customFormat="1" ht="13.5" thickTop="1" x14ac:dyDescent="0.2"/>
    <row r="39" spans="1:37" s="4" customFormat="1" x14ac:dyDescent="0.2"/>
    <row r="40" spans="1:37" s="4" customFormat="1" x14ac:dyDescent="0.2">
      <c r="D40" s="4" t="s">
        <v>241</v>
      </c>
      <c r="V40" s="4" t="s">
        <v>242</v>
      </c>
    </row>
    <row r="41" spans="1:37" s="4" customFormat="1" x14ac:dyDescent="0.2">
      <c r="D41" s="51" t="s">
        <v>234</v>
      </c>
      <c r="V41" s="51" t="s">
        <v>236</v>
      </c>
    </row>
    <row r="42" spans="1:37" s="4" customFormat="1" x14ac:dyDescent="0.2">
      <c r="D42" s="51" t="s">
        <v>97</v>
      </c>
      <c r="E42" s="51"/>
      <c r="F42" s="51"/>
      <c r="G42" s="51"/>
      <c r="H42" s="51"/>
      <c r="I42" s="51"/>
      <c r="V42" s="51" t="s">
        <v>98</v>
      </c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J42" s="51"/>
      <c r="AK42" s="51"/>
    </row>
    <row r="43" spans="1:37" s="4" customFormat="1" x14ac:dyDescent="0.2"/>
    <row r="44" spans="1:37" s="4" customFormat="1" x14ac:dyDescent="0.2"/>
    <row r="45" spans="1:37" s="4" customFormat="1" x14ac:dyDescent="0.2"/>
  </sheetData>
  <mergeCells count="10">
    <mergeCell ref="A37:G37"/>
    <mergeCell ref="A1:Y1"/>
    <mergeCell ref="A2:Y2"/>
    <mergeCell ref="A3:Y3"/>
    <mergeCell ref="H5:J5"/>
    <mergeCell ref="M5:R5"/>
    <mergeCell ref="V5:W5"/>
    <mergeCell ref="B21:Z21"/>
    <mergeCell ref="B22:Z22"/>
    <mergeCell ref="B23:Z23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0"/>
  <sheetViews>
    <sheetView topLeftCell="B1" zoomScale="86" zoomScaleNormal="86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42578125" customWidth="1"/>
    <col min="23" max="23" width="10.7109375" customWidth="1"/>
    <col min="24" max="24" width="12.7109375" customWidth="1"/>
    <col min="25" max="25" width="69.85546875" customWidth="1"/>
  </cols>
  <sheetData>
    <row r="1" spans="1:31" ht="18" x14ac:dyDescent="0.25">
      <c r="A1" s="306" t="s">
        <v>93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</row>
    <row r="2" spans="1:31" ht="18" x14ac:dyDescent="0.25">
      <c r="A2" s="306" t="s">
        <v>66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</row>
    <row r="3" spans="1:31" ht="15" x14ac:dyDescent="0.2">
      <c r="A3" s="307" t="s">
        <v>391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</row>
    <row r="4" spans="1:31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.75" customHeight="1" x14ac:dyDescent="0.2">
      <c r="A6" s="65"/>
      <c r="B6" s="65"/>
      <c r="C6" s="328" t="s">
        <v>162</v>
      </c>
      <c r="D6" s="65"/>
      <c r="E6" s="65"/>
      <c r="F6" s="66" t="s">
        <v>23</v>
      </c>
      <c r="G6" s="66" t="s">
        <v>6</v>
      </c>
      <c r="H6" s="309" t="s">
        <v>1</v>
      </c>
      <c r="I6" s="310"/>
      <c r="J6" s="311"/>
      <c r="K6" s="67" t="s">
        <v>26</v>
      </c>
      <c r="L6" s="68"/>
      <c r="M6" s="312" t="s">
        <v>9</v>
      </c>
      <c r="N6" s="313"/>
      <c r="O6" s="313"/>
      <c r="P6" s="313"/>
      <c r="Q6" s="313"/>
      <c r="R6" s="314"/>
      <c r="S6" s="67" t="s">
        <v>30</v>
      </c>
      <c r="T6" s="67" t="s">
        <v>10</v>
      </c>
      <c r="U6" s="66" t="s">
        <v>54</v>
      </c>
      <c r="V6" s="315" t="s">
        <v>2</v>
      </c>
      <c r="W6" s="316"/>
      <c r="X6" s="66" t="s">
        <v>0</v>
      </c>
      <c r="Y6" s="65"/>
    </row>
    <row r="7" spans="1:31" s="69" customFormat="1" ht="24" x14ac:dyDescent="0.2">
      <c r="A7" s="70" t="s">
        <v>21</v>
      </c>
      <c r="B7" s="64" t="s">
        <v>123</v>
      </c>
      <c r="C7" s="329"/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7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0"/>
      <c r="B8" s="70"/>
      <c r="C8" s="330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8" t="s">
        <v>15</v>
      </c>
      <c r="R8" s="67" t="s">
        <v>39</v>
      </c>
      <c r="S8" s="72" t="s">
        <v>19</v>
      </c>
      <c r="T8" s="73" t="s">
        <v>163</v>
      </c>
      <c r="U8" s="70" t="s">
        <v>53</v>
      </c>
      <c r="V8" s="70"/>
      <c r="W8" s="70" t="s">
        <v>44</v>
      </c>
      <c r="X8" s="70" t="s">
        <v>5</v>
      </c>
      <c r="Y8" s="74"/>
    </row>
    <row r="9" spans="1:31" s="69" customFormat="1" ht="50.25" customHeight="1" x14ac:dyDescent="0.25">
      <c r="A9" s="45"/>
      <c r="B9" s="203" t="s">
        <v>123</v>
      </c>
      <c r="C9" s="203" t="s">
        <v>162</v>
      </c>
      <c r="D9" s="45" t="s">
        <v>215</v>
      </c>
      <c r="E9" s="45" t="s">
        <v>62</v>
      </c>
      <c r="F9" s="45"/>
      <c r="G9" s="45"/>
      <c r="H9" s="199">
        <f>SUM(H10:H11)</f>
        <v>11907.34</v>
      </c>
      <c r="I9" s="199">
        <f>SUM(I10:I11)</f>
        <v>0</v>
      </c>
      <c r="J9" s="199">
        <f>SUM(J10:J11)</f>
        <v>11907.34</v>
      </c>
      <c r="K9" s="45"/>
      <c r="L9" s="45"/>
      <c r="M9" s="45"/>
      <c r="N9" s="45"/>
      <c r="O9" s="45"/>
      <c r="P9" s="45"/>
      <c r="Q9" s="200"/>
      <c r="R9" s="45"/>
      <c r="S9" s="45"/>
      <c r="T9" s="45"/>
      <c r="U9" s="199">
        <f>SUM(U10:U11)</f>
        <v>0</v>
      </c>
      <c r="V9" s="199">
        <f>SUM(V10:V11)</f>
        <v>1304.0027520000001</v>
      </c>
      <c r="W9" s="199">
        <f>SUM(W10:W11)</f>
        <v>1304.0027520000001</v>
      </c>
      <c r="X9" s="199">
        <f>SUM(X10:X11)</f>
        <v>10603.337248</v>
      </c>
      <c r="Y9" s="201"/>
    </row>
    <row r="10" spans="1:31" s="69" customFormat="1" ht="69.95" customHeight="1" x14ac:dyDescent="0.2">
      <c r="A10" s="62" t="s">
        <v>101</v>
      </c>
      <c r="B10" s="138" t="s">
        <v>267</v>
      </c>
      <c r="C10" s="62" t="s">
        <v>145</v>
      </c>
      <c r="D10" s="177" t="s">
        <v>258</v>
      </c>
      <c r="E10" s="177" t="s">
        <v>297</v>
      </c>
      <c r="F10" s="167">
        <v>15</v>
      </c>
      <c r="G10" s="168">
        <f t="shared" ref="G10:G29" si="0">H10/F10</f>
        <v>468.18199999999996</v>
      </c>
      <c r="H10" s="169">
        <v>7022.73</v>
      </c>
      <c r="I10" s="170">
        <v>0</v>
      </c>
      <c r="J10" s="171">
        <f t="shared" ref="J10" si="1">SUM(H10:I10)</f>
        <v>7022.73</v>
      </c>
      <c r="K10" s="172">
        <f>IF(H10/15&lt;=123.22,I10,I10/2)</f>
        <v>0</v>
      </c>
      <c r="L10" s="172">
        <f>H10+K10</f>
        <v>7022.73</v>
      </c>
      <c r="M10" s="172">
        <f>VLOOKUP(L10,Tarifa1,1)</f>
        <v>5925.91</v>
      </c>
      <c r="N10" s="172">
        <f>L10-M10</f>
        <v>1096.8199999999997</v>
      </c>
      <c r="O10" s="173">
        <f>VLOOKUP(L10,Tarifa1,3)</f>
        <v>0.21360000000000001</v>
      </c>
      <c r="P10" s="172">
        <f>N10*O10</f>
        <v>234.28075199999995</v>
      </c>
      <c r="Q10" s="174">
        <f>VLOOKUP(L10,Tarifa1,2)</f>
        <v>627.6</v>
      </c>
      <c r="R10" s="172">
        <f>P10+Q10</f>
        <v>861.88075200000003</v>
      </c>
      <c r="S10" s="172">
        <f>VLOOKUP(L10,Credito1,2)</f>
        <v>0</v>
      </c>
      <c r="T10" s="172">
        <f>R10-S10</f>
        <v>861.88075200000003</v>
      </c>
      <c r="U10" s="171">
        <f t="shared" ref="U10" si="2">-IF(T10&gt;0,0,T10)</f>
        <v>0</v>
      </c>
      <c r="V10" s="171">
        <f t="shared" ref="V10" si="3">IF(T10&lt;0,0,T10)</f>
        <v>861.88075200000003</v>
      </c>
      <c r="W10" s="171">
        <f>SUM(V10:V10)</f>
        <v>861.88075200000003</v>
      </c>
      <c r="X10" s="171">
        <f>J10+U10-W10</f>
        <v>6160.8492479999995</v>
      </c>
      <c r="Y10" s="187"/>
      <c r="AE10" s="77"/>
    </row>
    <row r="11" spans="1:31" s="69" customFormat="1" ht="69.95" customHeight="1" x14ac:dyDescent="0.2">
      <c r="A11" s="62" t="s">
        <v>102</v>
      </c>
      <c r="B11" s="62" t="s">
        <v>142</v>
      </c>
      <c r="C11" s="62" t="s">
        <v>145</v>
      </c>
      <c r="D11" s="166" t="s">
        <v>112</v>
      </c>
      <c r="E11" s="177" t="s">
        <v>210</v>
      </c>
      <c r="F11" s="167">
        <v>15</v>
      </c>
      <c r="G11" s="168">
        <f t="shared" si="0"/>
        <v>325.64066666666662</v>
      </c>
      <c r="H11" s="169">
        <v>4884.6099999999997</v>
      </c>
      <c r="I11" s="170">
        <v>0</v>
      </c>
      <c r="J11" s="171">
        <f>SUM(H11:I11)</f>
        <v>4884.6099999999997</v>
      </c>
      <c r="K11" s="172">
        <f>IF(H11/15&lt;=123.22,I11,I11/2)</f>
        <v>0</v>
      </c>
      <c r="L11" s="172">
        <f>H11+K11</f>
        <v>4884.6099999999997</v>
      </c>
      <c r="M11" s="172">
        <f>VLOOKUP(L11,Tarifa1,1)</f>
        <v>4257.91</v>
      </c>
      <c r="N11" s="172">
        <f>L11-M11</f>
        <v>626.69999999999982</v>
      </c>
      <c r="O11" s="173">
        <f>VLOOKUP(L11,Tarifa1,3)</f>
        <v>0.16</v>
      </c>
      <c r="P11" s="172">
        <f>N11*O11</f>
        <v>100.27199999999998</v>
      </c>
      <c r="Q11" s="174">
        <f>VLOOKUP(L11,Tarifa1,2)</f>
        <v>341.85</v>
      </c>
      <c r="R11" s="172">
        <f>P11+Q11</f>
        <v>442.12200000000001</v>
      </c>
      <c r="S11" s="172">
        <f>VLOOKUP(L11,Credito1,2)</f>
        <v>0</v>
      </c>
      <c r="T11" s="172">
        <f>R11-S11</f>
        <v>442.12200000000001</v>
      </c>
      <c r="U11" s="171">
        <f>-IF(T11&gt;0,0,T11)</f>
        <v>0</v>
      </c>
      <c r="V11" s="171">
        <f>IF(T11&lt;0,0,T11)</f>
        <v>442.12200000000001</v>
      </c>
      <c r="W11" s="171">
        <f>SUM(V11:V11)</f>
        <v>442.12200000000001</v>
      </c>
      <c r="X11" s="171">
        <f>J11+U11-W11</f>
        <v>4442.4879999999994</v>
      </c>
      <c r="Y11" s="187"/>
      <c r="AE11" s="77"/>
    </row>
    <row r="12" spans="1:31" s="69" customFormat="1" ht="42" customHeight="1" x14ac:dyDescent="0.25">
      <c r="A12" s="62"/>
      <c r="B12" s="203" t="s">
        <v>123</v>
      </c>
      <c r="C12" s="203" t="s">
        <v>162</v>
      </c>
      <c r="D12" s="45" t="s">
        <v>289</v>
      </c>
      <c r="E12" s="45" t="s">
        <v>62</v>
      </c>
      <c r="F12" s="45"/>
      <c r="G12" s="45"/>
      <c r="H12" s="199">
        <f>SUM(H13)</f>
        <v>6367.85</v>
      </c>
      <c r="I12" s="199">
        <f>SUM(I13)</f>
        <v>0</v>
      </c>
      <c r="J12" s="199">
        <f>SUM(J13)</f>
        <v>6367.85</v>
      </c>
      <c r="K12" s="45"/>
      <c r="L12" s="45"/>
      <c r="M12" s="45"/>
      <c r="N12" s="45"/>
      <c r="O12" s="45"/>
      <c r="P12" s="45"/>
      <c r="Q12" s="200"/>
      <c r="R12" s="45"/>
      <c r="S12" s="45"/>
      <c r="T12" s="45"/>
      <c r="U12" s="199">
        <f>SUM(U13)</f>
        <v>0</v>
      </c>
      <c r="V12" s="199">
        <f>SUM(V13)</f>
        <v>721.9983840000001</v>
      </c>
      <c r="W12" s="199">
        <f>SUM(W13)</f>
        <v>721.9983840000001</v>
      </c>
      <c r="X12" s="199">
        <f>SUM(X13)</f>
        <v>5645.8516159999999</v>
      </c>
      <c r="Y12" s="201"/>
      <c r="AE12" s="77"/>
    </row>
    <row r="13" spans="1:31" s="69" customFormat="1" ht="69.95" customHeight="1" x14ac:dyDescent="0.2">
      <c r="A13" s="62"/>
      <c r="B13" s="138" t="s">
        <v>287</v>
      </c>
      <c r="C13" s="62" t="s">
        <v>145</v>
      </c>
      <c r="D13" s="176" t="s">
        <v>288</v>
      </c>
      <c r="E13" s="177" t="s">
        <v>290</v>
      </c>
      <c r="F13" s="167">
        <v>15</v>
      </c>
      <c r="G13" s="168">
        <f>H13/F13</f>
        <v>424.52333333333337</v>
      </c>
      <c r="H13" s="169">
        <v>6367.85</v>
      </c>
      <c r="I13" s="170">
        <v>0</v>
      </c>
      <c r="J13" s="171">
        <f>SUM(H13:I13)</f>
        <v>6367.85</v>
      </c>
      <c r="K13" s="172">
        <f>IF(H13/15&lt;=123.22,I13,I13/2)</f>
        <v>0</v>
      </c>
      <c r="L13" s="172">
        <f>H13+K13</f>
        <v>6367.85</v>
      </c>
      <c r="M13" s="172">
        <f>VLOOKUP(L13,Tarifa1,1)</f>
        <v>5925.91</v>
      </c>
      <c r="N13" s="172">
        <f>L13-M13</f>
        <v>441.94000000000051</v>
      </c>
      <c r="O13" s="173">
        <f>VLOOKUP(L13,Tarifa1,3)</f>
        <v>0.21360000000000001</v>
      </c>
      <c r="P13" s="172">
        <f>N13*O13</f>
        <v>94.398384000000121</v>
      </c>
      <c r="Q13" s="174">
        <f>VLOOKUP(L13,Tarifa1,2)</f>
        <v>627.6</v>
      </c>
      <c r="R13" s="172">
        <f>P13+Q13</f>
        <v>721.9983840000001</v>
      </c>
      <c r="S13" s="172">
        <f>VLOOKUP(L13,Credito1,2)</f>
        <v>0</v>
      </c>
      <c r="T13" s="172">
        <f>R13-S13</f>
        <v>721.9983840000001</v>
      </c>
      <c r="U13" s="171">
        <f>-IF(T13&gt;0,0,T13)</f>
        <v>0</v>
      </c>
      <c r="V13" s="171">
        <f>IF(T13&lt;0,0,T13)</f>
        <v>721.9983840000001</v>
      </c>
      <c r="W13" s="171">
        <f>SUM(V13:V13)</f>
        <v>721.9983840000001</v>
      </c>
      <c r="X13" s="171">
        <f>J13+U13-W13</f>
        <v>5645.8516159999999</v>
      </c>
      <c r="Y13" s="187"/>
      <c r="AE13" s="77"/>
    </row>
    <row r="14" spans="1:31" s="69" customFormat="1" ht="69.95" customHeight="1" x14ac:dyDescent="0.25">
      <c r="A14" s="62"/>
      <c r="B14" s="203" t="s">
        <v>123</v>
      </c>
      <c r="C14" s="203" t="s">
        <v>162</v>
      </c>
      <c r="D14" s="45" t="s">
        <v>354</v>
      </c>
      <c r="E14" s="45" t="s">
        <v>62</v>
      </c>
      <c r="F14" s="45"/>
      <c r="G14" s="45"/>
      <c r="H14" s="199">
        <f>SUM(H15)</f>
        <v>6367.85</v>
      </c>
      <c r="I14" s="199">
        <f>SUM(I15)</f>
        <v>0</v>
      </c>
      <c r="J14" s="199">
        <f>SUM(J15)</f>
        <v>6367.85</v>
      </c>
      <c r="K14" s="45"/>
      <c r="L14" s="45"/>
      <c r="M14" s="45"/>
      <c r="N14" s="45"/>
      <c r="O14" s="45"/>
      <c r="P14" s="45"/>
      <c r="Q14" s="200"/>
      <c r="R14" s="45"/>
      <c r="S14" s="45"/>
      <c r="T14" s="45"/>
      <c r="U14" s="199">
        <f>SUM(U15)</f>
        <v>0</v>
      </c>
      <c r="V14" s="199">
        <f>SUM(V15)</f>
        <v>721.9983840000001</v>
      </c>
      <c r="W14" s="199">
        <f>SUM(W15)</f>
        <v>721.9983840000001</v>
      </c>
      <c r="X14" s="199">
        <f>SUM(X15)</f>
        <v>5645.8516159999999</v>
      </c>
      <c r="Y14" s="201"/>
      <c r="AE14" s="77"/>
    </row>
    <row r="15" spans="1:31" s="69" customFormat="1" ht="69.95" customHeight="1" x14ac:dyDescent="0.2">
      <c r="A15" s="62"/>
      <c r="B15" s="138" t="s">
        <v>355</v>
      </c>
      <c r="C15" s="62" t="s">
        <v>145</v>
      </c>
      <c r="D15" s="176" t="s">
        <v>352</v>
      </c>
      <c r="E15" s="177" t="s">
        <v>353</v>
      </c>
      <c r="F15" s="167">
        <v>15</v>
      </c>
      <c r="G15" s="168">
        <f>H15/F15</f>
        <v>424.52333333333337</v>
      </c>
      <c r="H15" s="169">
        <v>6367.85</v>
      </c>
      <c r="I15" s="170">
        <v>0</v>
      </c>
      <c r="J15" s="171">
        <f>SUM(H15:I15)</f>
        <v>6367.85</v>
      </c>
      <c r="K15" s="172">
        <f>IF(H15/15&lt;=123.22,I15,I15/2)</f>
        <v>0</v>
      </c>
      <c r="L15" s="172">
        <f>H15+K15</f>
        <v>6367.85</v>
      </c>
      <c r="M15" s="172">
        <f>VLOOKUP(L15,Tarifa1,1)</f>
        <v>5925.91</v>
      </c>
      <c r="N15" s="172">
        <f>L15-M15</f>
        <v>441.94000000000051</v>
      </c>
      <c r="O15" s="173">
        <f>VLOOKUP(L15,Tarifa1,3)</f>
        <v>0.21360000000000001</v>
      </c>
      <c r="P15" s="172">
        <f>N15*O15</f>
        <v>94.398384000000121</v>
      </c>
      <c r="Q15" s="174">
        <f>VLOOKUP(L15,Tarifa1,2)</f>
        <v>627.6</v>
      </c>
      <c r="R15" s="172">
        <f>P15+Q15</f>
        <v>721.9983840000001</v>
      </c>
      <c r="S15" s="172">
        <f>VLOOKUP(L15,Credito1,2)</f>
        <v>0</v>
      </c>
      <c r="T15" s="172">
        <f>R15-S15</f>
        <v>721.9983840000001</v>
      </c>
      <c r="U15" s="171">
        <f>-IF(T15&gt;0,0,T15)</f>
        <v>0</v>
      </c>
      <c r="V15" s="171">
        <f>IF(T15&lt;0,0,T15)</f>
        <v>721.9983840000001</v>
      </c>
      <c r="W15" s="171">
        <f>SUM(V15:V15)</f>
        <v>721.9983840000001</v>
      </c>
      <c r="X15" s="171">
        <f>J15+U15-W15</f>
        <v>5645.8516159999999</v>
      </c>
      <c r="Y15" s="187"/>
      <c r="AE15" s="77"/>
    </row>
    <row r="16" spans="1:31" s="69" customFormat="1" ht="41.25" customHeight="1" x14ac:dyDescent="0.25">
      <c r="A16" s="62"/>
      <c r="B16" s="203" t="s">
        <v>123</v>
      </c>
      <c r="C16" s="203" t="s">
        <v>162</v>
      </c>
      <c r="D16" s="45" t="s">
        <v>166</v>
      </c>
      <c r="E16" s="45" t="s">
        <v>62</v>
      </c>
      <c r="F16" s="45"/>
      <c r="G16" s="45"/>
      <c r="H16" s="199">
        <f>SUM(H17:H19)</f>
        <v>12759.21</v>
      </c>
      <c r="I16" s="199">
        <f>SUM(I17:I19)</f>
        <v>0</v>
      </c>
      <c r="J16" s="199">
        <f>SUM(J17:J19)</f>
        <v>12759.21</v>
      </c>
      <c r="K16" s="45"/>
      <c r="L16" s="45"/>
      <c r="M16" s="45"/>
      <c r="N16" s="45"/>
      <c r="O16" s="45"/>
      <c r="P16" s="45"/>
      <c r="Q16" s="200"/>
      <c r="R16" s="45"/>
      <c r="S16" s="45"/>
      <c r="T16" s="45"/>
      <c r="U16" s="199">
        <f>SUM(U17:U19)</f>
        <v>0</v>
      </c>
      <c r="V16" s="199">
        <f>SUM(V17:V19)</f>
        <v>899.164536</v>
      </c>
      <c r="W16" s="199">
        <f>SUM(W17:W19)</f>
        <v>899.164536</v>
      </c>
      <c r="X16" s="199">
        <f>SUM(X17:X19)</f>
        <v>11860.045463999999</v>
      </c>
      <c r="Y16" s="201"/>
      <c r="AE16" s="77"/>
    </row>
    <row r="17" spans="1:31" s="69" customFormat="1" ht="69.95" customHeight="1" x14ac:dyDescent="0.2">
      <c r="A17" s="62" t="s">
        <v>104</v>
      </c>
      <c r="B17" s="138" t="s">
        <v>269</v>
      </c>
      <c r="C17" s="62" t="s">
        <v>145</v>
      </c>
      <c r="D17" s="176" t="s">
        <v>211</v>
      </c>
      <c r="E17" s="177" t="s">
        <v>114</v>
      </c>
      <c r="F17" s="167">
        <v>15</v>
      </c>
      <c r="G17" s="168">
        <f t="shared" si="0"/>
        <v>397.22666666666663</v>
      </c>
      <c r="H17" s="169">
        <v>5958.4</v>
      </c>
      <c r="I17" s="170">
        <v>0</v>
      </c>
      <c r="J17" s="171">
        <f>H17</f>
        <v>5958.4</v>
      </c>
      <c r="K17" s="172">
        <f>IF(H17/15&lt;=123.22,I17,I17/2)</f>
        <v>0</v>
      </c>
      <c r="L17" s="172">
        <f>H17+K17</f>
        <v>5958.4</v>
      </c>
      <c r="M17" s="172">
        <f>VLOOKUP(L17,Tarifa1,1)</f>
        <v>5925.91</v>
      </c>
      <c r="N17" s="172">
        <f>L17-M17</f>
        <v>32.489999999999782</v>
      </c>
      <c r="O17" s="173">
        <f>VLOOKUP(L17,Tarifa1,3)</f>
        <v>0.21360000000000001</v>
      </c>
      <c r="P17" s="172">
        <f>N17*O17</f>
        <v>6.9398639999999538</v>
      </c>
      <c r="Q17" s="174">
        <f>VLOOKUP(L17,Tarifa1,2)</f>
        <v>627.6</v>
      </c>
      <c r="R17" s="172">
        <f>P17+Q17</f>
        <v>634.53986399999997</v>
      </c>
      <c r="S17" s="172">
        <f>VLOOKUP(L17,Credito1,2)</f>
        <v>0</v>
      </c>
      <c r="T17" s="172">
        <f>R17-S17</f>
        <v>634.53986399999997</v>
      </c>
      <c r="U17" s="171">
        <f>-IF(T17&gt;0,0,T17)</f>
        <v>0</v>
      </c>
      <c r="V17" s="171">
        <f>IF(T17&lt;0,0,T17)</f>
        <v>634.53986399999997</v>
      </c>
      <c r="W17" s="171">
        <f>SUM(V17:V17)</f>
        <v>634.53986399999997</v>
      </c>
      <c r="X17" s="171">
        <f>J17+U17-W17</f>
        <v>5323.8601359999993</v>
      </c>
      <c r="Y17" s="187"/>
      <c r="AE17" s="88"/>
    </row>
    <row r="18" spans="1:31" s="69" customFormat="1" ht="69.95" customHeight="1" x14ac:dyDescent="0.2">
      <c r="A18" s="62"/>
      <c r="B18" s="138" t="s">
        <v>324</v>
      </c>
      <c r="C18" s="62" t="s">
        <v>145</v>
      </c>
      <c r="D18" s="176" t="s">
        <v>303</v>
      </c>
      <c r="E18" s="177" t="s">
        <v>304</v>
      </c>
      <c r="F18" s="167"/>
      <c r="G18" s="168"/>
      <c r="H18" s="119">
        <v>3182.33</v>
      </c>
      <c r="I18" s="126">
        <v>0</v>
      </c>
      <c r="J18" s="127">
        <f t="shared" ref="J18" si="4">SUM(H18:I18)</f>
        <v>3182.33</v>
      </c>
      <c r="K18" s="172">
        <f>IF(H18/15&lt;=123.22,I18,I18/2)</f>
        <v>0</v>
      </c>
      <c r="L18" s="172">
        <f>H18+K18</f>
        <v>3182.33</v>
      </c>
      <c r="M18" s="172">
        <f>VLOOKUP(L18,Tarifa1,1)</f>
        <v>2422.81</v>
      </c>
      <c r="N18" s="172">
        <f>L18-M18</f>
        <v>759.52</v>
      </c>
      <c r="O18" s="173">
        <f>VLOOKUP(L18,Tarifa1,3)</f>
        <v>0.10879999999999999</v>
      </c>
      <c r="P18" s="172">
        <f>N18*O18</f>
        <v>82.635775999999993</v>
      </c>
      <c r="Q18" s="174">
        <f>VLOOKUP(L18,Tarifa1,2)</f>
        <v>142.19999999999999</v>
      </c>
      <c r="R18" s="172">
        <f>P18+Q18</f>
        <v>224.83577599999998</v>
      </c>
      <c r="S18" s="172">
        <f>VLOOKUP(L18,Credito1,2)</f>
        <v>125.1</v>
      </c>
      <c r="T18" s="172">
        <f>R18-S18</f>
        <v>99.735775999999987</v>
      </c>
      <c r="U18" s="127">
        <f t="shared" ref="U18" si="5">-IF(T18&gt;0,0,T18)</f>
        <v>0</v>
      </c>
      <c r="V18" s="127">
        <f t="shared" ref="V18" si="6">IF(T18&lt;0,0,T18)</f>
        <v>99.735775999999987</v>
      </c>
      <c r="W18" s="127">
        <f>SUM(V18:V18)</f>
        <v>99.735775999999987</v>
      </c>
      <c r="X18" s="127">
        <f>J18+U18-W18</f>
        <v>3082.5942239999999</v>
      </c>
      <c r="Y18" s="187"/>
      <c r="AE18" s="88"/>
    </row>
    <row r="19" spans="1:31" s="69" customFormat="1" ht="69.95" customHeight="1" x14ac:dyDescent="0.2">
      <c r="A19" s="62"/>
      <c r="B19" s="138" t="s">
        <v>360</v>
      </c>
      <c r="C19" s="62" t="s">
        <v>232</v>
      </c>
      <c r="D19" s="176" t="s">
        <v>356</v>
      </c>
      <c r="E19" s="177" t="s">
        <v>304</v>
      </c>
      <c r="F19" s="167"/>
      <c r="G19" s="168"/>
      <c r="H19" s="119">
        <v>3618.48</v>
      </c>
      <c r="I19" s="126">
        <v>0</v>
      </c>
      <c r="J19" s="127">
        <f>SUM(H19:I19)</f>
        <v>3618.48</v>
      </c>
      <c r="K19" s="128">
        <f t="shared" ref="K19" si="7">IF(H19/15&lt;=123.22,I19,I19/2)</f>
        <v>0</v>
      </c>
      <c r="L19" s="128">
        <f t="shared" ref="L19" si="8">H19+K19</f>
        <v>3618.48</v>
      </c>
      <c r="M19" s="128">
        <f>VLOOKUP(L19,Tarifa1,1)</f>
        <v>2422.81</v>
      </c>
      <c r="N19" s="128">
        <f t="shared" ref="N19" si="9">L19-M19</f>
        <v>1195.67</v>
      </c>
      <c r="O19" s="129">
        <f>VLOOKUP(L19,Tarifa1,3)</f>
        <v>0.10879999999999999</v>
      </c>
      <c r="P19" s="128">
        <f t="shared" ref="P19" si="10">N19*O19</f>
        <v>130.08889600000001</v>
      </c>
      <c r="Q19" s="130">
        <f>VLOOKUP(L19,Tarifa1,2)</f>
        <v>142.19999999999999</v>
      </c>
      <c r="R19" s="128">
        <f t="shared" ref="R19" si="11">P19+Q19</f>
        <v>272.28889600000002</v>
      </c>
      <c r="S19" s="128">
        <f>VLOOKUP(L19,Credito1,2)</f>
        <v>107.4</v>
      </c>
      <c r="T19" s="128">
        <f t="shared" ref="T19" si="12">R19-S19</f>
        <v>164.88889600000002</v>
      </c>
      <c r="U19" s="127">
        <f>-IF(T19&gt;0,0,T19)</f>
        <v>0</v>
      </c>
      <c r="V19" s="135">
        <f>IF(T19&lt;0,0,T19)</f>
        <v>164.88889600000002</v>
      </c>
      <c r="W19" s="127">
        <f>SUM(V19:V19)</f>
        <v>164.88889600000002</v>
      </c>
      <c r="X19" s="127">
        <f>J19+U19-W19</f>
        <v>3453.5911040000001</v>
      </c>
      <c r="Y19" s="187"/>
      <c r="AE19" s="88"/>
    </row>
    <row r="20" spans="1:31" s="69" customFormat="1" ht="50.25" customHeight="1" x14ac:dyDescent="0.25">
      <c r="A20" s="62"/>
      <c r="B20" s="203" t="s">
        <v>123</v>
      </c>
      <c r="C20" s="203" t="s">
        <v>162</v>
      </c>
      <c r="D20" s="45" t="s">
        <v>167</v>
      </c>
      <c r="E20" s="45" t="s">
        <v>62</v>
      </c>
      <c r="F20" s="45"/>
      <c r="G20" s="45"/>
      <c r="H20" s="199">
        <f>SUM(H21:H27)</f>
        <v>14896.52</v>
      </c>
      <c r="I20" s="199">
        <f>SUM(I21:I27)</f>
        <v>0</v>
      </c>
      <c r="J20" s="199">
        <f>SUM(J21:J27)</f>
        <v>14896.52</v>
      </c>
      <c r="K20" s="45"/>
      <c r="L20" s="45"/>
      <c r="M20" s="45"/>
      <c r="N20" s="45"/>
      <c r="O20" s="45"/>
      <c r="P20" s="45"/>
      <c r="Q20" s="200"/>
      <c r="R20" s="45"/>
      <c r="S20" s="45"/>
      <c r="T20" s="45"/>
      <c r="U20" s="199">
        <f>SUM(U21:U27)</f>
        <v>0</v>
      </c>
      <c r="V20" s="199">
        <f>SUM(V21:V27)</f>
        <v>1357.0561920000002</v>
      </c>
      <c r="W20" s="199">
        <f>SUM(W21:W27)</f>
        <v>1357.0561920000002</v>
      </c>
      <c r="X20" s="199">
        <f>SUM(X21:X27)</f>
        <v>13539.463808</v>
      </c>
      <c r="Y20" s="201"/>
      <c r="AE20" s="88"/>
    </row>
    <row r="21" spans="1:31" s="69" customFormat="1" ht="69.95" customHeight="1" x14ac:dyDescent="0.2">
      <c r="A21" s="62" t="s">
        <v>105</v>
      </c>
      <c r="B21" s="62" t="s">
        <v>143</v>
      </c>
      <c r="C21" s="62" t="s">
        <v>145</v>
      </c>
      <c r="D21" s="176" t="s">
        <v>113</v>
      </c>
      <c r="E21" s="177" t="s">
        <v>115</v>
      </c>
      <c r="F21" s="167">
        <v>15</v>
      </c>
      <c r="G21" s="168">
        <f t="shared" si="0"/>
        <v>451.85400000000004</v>
      </c>
      <c r="H21" s="109">
        <v>6777.81</v>
      </c>
      <c r="I21" s="110">
        <v>0</v>
      </c>
      <c r="J21" s="111">
        <f t="shared" ref="J21" si="13">SUM(H21:I21)</f>
        <v>6777.81</v>
      </c>
      <c r="K21" s="172">
        <f>IF(H21/15&lt;=123.22,I21,I21/2)</f>
        <v>0</v>
      </c>
      <c r="L21" s="172">
        <f>H21+K21</f>
        <v>6777.81</v>
      </c>
      <c r="M21" s="172">
        <f>VLOOKUP(L21,Tarifa1,1)</f>
        <v>5925.91</v>
      </c>
      <c r="N21" s="172">
        <f>L21-M21</f>
        <v>851.90000000000055</v>
      </c>
      <c r="O21" s="173">
        <f>VLOOKUP(L21,Tarifa1,3)</f>
        <v>0.21360000000000001</v>
      </c>
      <c r="P21" s="172">
        <f>N21*O21</f>
        <v>181.96584000000013</v>
      </c>
      <c r="Q21" s="174">
        <f>VLOOKUP(L21,Tarifa1,2)</f>
        <v>627.6</v>
      </c>
      <c r="R21" s="172">
        <f>P21+Q21</f>
        <v>809.56584000000021</v>
      </c>
      <c r="S21" s="172">
        <f>VLOOKUP(L21,Credito1,2)</f>
        <v>0</v>
      </c>
      <c r="T21" s="172">
        <f>R21-S21</f>
        <v>809.56584000000021</v>
      </c>
      <c r="U21" s="111">
        <f t="shared" ref="U21" si="14">-IF(T21&gt;0,0,T21)</f>
        <v>0</v>
      </c>
      <c r="V21" s="111">
        <f t="shared" ref="V21" si="15">IF(T21&lt;0,0,T21)</f>
        <v>809.56584000000021</v>
      </c>
      <c r="W21" s="111">
        <f>SUM(V21:V21)</f>
        <v>809.56584000000021</v>
      </c>
      <c r="X21" s="111">
        <f>J21+U21-W21</f>
        <v>5968.2441600000002</v>
      </c>
      <c r="Y21" s="187"/>
      <c r="AE21" s="88"/>
    </row>
    <row r="22" spans="1:31" s="69" customFormat="1" ht="69.95" customHeight="1" x14ac:dyDescent="0.2">
      <c r="A22" s="62"/>
      <c r="B22" s="138" t="s">
        <v>270</v>
      </c>
      <c r="C22" s="62" t="s">
        <v>145</v>
      </c>
      <c r="D22" s="178" t="s">
        <v>213</v>
      </c>
      <c r="E22" s="177" t="s">
        <v>212</v>
      </c>
      <c r="F22" s="167">
        <v>15</v>
      </c>
      <c r="G22" s="168">
        <f>H22/F22</f>
        <v>325.64066666666662</v>
      </c>
      <c r="H22" s="169">
        <v>4884.6099999999997</v>
      </c>
      <c r="I22" s="170">
        <v>0</v>
      </c>
      <c r="J22" s="171">
        <f>SUM(H22:I22)</f>
        <v>4884.6099999999997</v>
      </c>
      <c r="K22" s="172">
        <f>IF(H22/15&lt;=123.22,I22,I22/2)</f>
        <v>0</v>
      </c>
      <c r="L22" s="172">
        <f>H22+K22</f>
        <v>4884.6099999999997</v>
      </c>
      <c r="M22" s="172">
        <f>VLOOKUP(L22,Tarifa1,1)</f>
        <v>4257.91</v>
      </c>
      <c r="N22" s="172">
        <f>L22-M22</f>
        <v>626.69999999999982</v>
      </c>
      <c r="O22" s="173">
        <f>VLOOKUP(L22,Tarifa1,3)</f>
        <v>0.16</v>
      </c>
      <c r="P22" s="172">
        <f>N22*O22</f>
        <v>100.27199999999998</v>
      </c>
      <c r="Q22" s="174">
        <f>VLOOKUP(L22,Tarifa1,2)</f>
        <v>341.85</v>
      </c>
      <c r="R22" s="172">
        <f>P22+Q22</f>
        <v>442.12200000000001</v>
      </c>
      <c r="S22" s="172">
        <f>VLOOKUP(L22,Credito1,2)</f>
        <v>0</v>
      </c>
      <c r="T22" s="172">
        <f>R22-S22</f>
        <v>442.12200000000001</v>
      </c>
      <c r="U22" s="171">
        <f>-IF(T22&gt;0,0,T22)</f>
        <v>0</v>
      </c>
      <c r="V22" s="171">
        <f>IF(T22&lt;0,0,T22)</f>
        <v>442.12200000000001</v>
      </c>
      <c r="W22" s="171">
        <f>SUM(V22:V22)</f>
        <v>442.12200000000001</v>
      </c>
      <c r="X22" s="171">
        <f>J22+U22-W22</f>
        <v>4442.4879999999994</v>
      </c>
      <c r="Y22" s="187"/>
      <c r="AE22" s="88"/>
    </row>
    <row r="23" spans="1:31" s="69" customFormat="1" ht="28.5" customHeight="1" x14ac:dyDescent="0.25">
      <c r="A23" s="232"/>
      <c r="B23" s="306" t="s">
        <v>93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E23" s="88"/>
    </row>
    <row r="24" spans="1:31" s="69" customFormat="1" ht="25.5" customHeight="1" x14ac:dyDescent="0.25">
      <c r="A24" s="232"/>
      <c r="B24" s="306" t="s">
        <v>66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E24" s="88"/>
    </row>
    <row r="25" spans="1:31" s="69" customFormat="1" ht="23.25" customHeight="1" x14ac:dyDescent="0.2">
      <c r="A25" s="232"/>
      <c r="B25" s="307" t="s">
        <v>391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E25" s="88"/>
    </row>
    <row r="26" spans="1:31" s="69" customFormat="1" ht="27" customHeight="1" x14ac:dyDescent="0.2">
      <c r="A26" s="62"/>
      <c r="B26" s="5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E26" s="88"/>
    </row>
    <row r="27" spans="1:31" s="69" customFormat="1" ht="69.95" customHeight="1" x14ac:dyDescent="0.2">
      <c r="A27" s="62"/>
      <c r="B27" s="138" t="s">
        <v>345</v>
      </c>
      <c r="C27" s="62" t="s">
        <v>145</v>
      </c>
      <c r="D27" s="178" t="s">
        <v>338</v>
      </c>
      <c r="E27" s="177" t="s">
        <v>339</v>
      </c>
      <c r="F27" s="167"/>
      <c r="G27" s="168"/>
      <c r="H27" s="169">
        <v>3234.1</v>
      </c>
      <c r="I27" s="170">
        <v>0</v>
      </c>
      <c r="J27" s="171">
        <f t="shared" ref="J27" si="16">SUM(H27:I27)</f>
        <v>3234.1</v>
      </c>
      <c r="K27" s="172">
        <f t="shared" ref="K27" si="17">IF(H27/15&lt;=123.22,I27,I27/2)</f>
        <v>0</v>
      </c>
      <c r="L27" s="172">
        <f t="shared" ref="L27" si="18">H27+K27</f>
        <v>3234.1</v>
      </c>
      <c r="M27" s="172">
        <f t="shared" ref="M27" si="19">VLOOKUP(L27,Tarifa1,1)</f>
        <v>2422.81</v>
      </c>
      <c r="N27" s="172">
        <f t="shared" ref="N27" si="20">L27-M27</f>
        <v>811.29</v>
      </c>
      <c r="O27" s="173">
        <f t="shared" ref="O27" si="21">VLOOKUP(L27,Tarifa1,3)</f>
        <v>0.10879999999999999</v>
      </c>
      <c r="P27" s="172">
        <f t="shared" ref="P27" si="22">N27*O27</f>
        <v>88.268351999999993</v>
      </c>
      <c r="Q27" s="174">
        <f t="shared" ref="Q27" si="23">VLOOKUP(L27,Tarifa1,2)</f>
        <v>142.19999999999999</v>
      </c>
      <c r="R27" s="172">
        <f t="shared" ref="R27" si="24">P27+Q27</f>
        <v>230.46835199999998</v>
      </c>
      <c r="S27" s="172">
        <f t="shared" ref="S27" si="25">VLOOKUP(L27,Credito1,2)</f>
        <v>125.1</v>
      </c>
      <c r="T27" s="172">
        <f t="shared" ref="T27" si="26">R27-S27</f>
        <v>105.36835199999999</v>
      </c>
      <c r="U27" s="171">
        <f t="shared" ref="U27" si="27">-IF(T27&gt;0,0,T27)</f>
        <v>0</v>
      </c>
      <c r="V27" s="171">
        <f t="shared" ref="V27" si="28">IF(T27&lt;0,0,T27)</f>
        <v>105.36835199999999</v>
      </c>
      <c r="W27" s="171">
        <f>SUM(V27:V27)</f>
        <v>105.36835199999999</v>
      </c>
      <c r="X27" s="171">
        <f>J27+U27-W27</f>
        <v>3128.731648</v>
      </c>
      <c r="Y27" s="187"/>
      <c r="AE27" s="88"/>
    </row>
    <row r="28" spans="1:31" s="69" customFormat="1" ht="52.5" customHeight="1" x14ac:dyDescent="0.25">
      <c r="A28" s="62"/>
      <c r="B28" s="203" t="s">
        <v>123</v>
      </c>
      <c r="C28" s="203" t="s">
        <v>162</v>
      </c>
      <c r="D28" s="45" t="s">
        <v>168</v>
      </c>
      <c r="E28" s="45" t="s">
        <v>62</v>
      </c>
      <c r="F28" s="45"/>
      <c r="G28" s="45"/>
      <c r="H28" s="199">
        <f>SUM(H29)</f>
        <v>4488.57</v>
      </c>
      <c r="I28" s="199">
        <f>SUM(I29)</f>
        <v>0</v>
      </c>
      <c r="J28" s="199">
        <f>SUM(J29)</f>
        <v>4488.57</v>
      </c>
      <c r="K28" s="45"/>
      <c r="L28" s="45"/>
      <c r="M28" s="45"/>
      <c r="N28" s="45"/>
      <c r="O28" s="45"/>
      <c r="P28" s="45"/>
      <c r="Q28" s="200"/>
      <c r="R28" s="45"/>
      <c r="S28" s="45"/>
      <c r="T28" s="45"/>
      <c r="U28" s="199">
        <f>SUM(U29)</f>
        <v>0</v>
      </c>
      <c r="V28" s="199">
        <f>SUM(V29)</f>
        <v>378.75560000000002</v>
      </c>
      <c r="W28" s="199">
        <f>SUM(W29)</f>
        <v>378.75560000000002</v>
      </c>
      <c r="X28" s="199">
        <f>SUM(X29)</f>
        <v>4109.8143999999993</v>
      </c>
      <c r="Y28" s="201"/>
      <c r="AE28" s="88"/>
    </row>
    <row r="29" spans="1:31" s="69" customFormat="1" ht="69.95" customHeight="1" x14ac:dyDescent="0.2">
      <c r="A29" s="62" t="s">
        <v>106</v>
      </c>
      <c r="B29" s="62" t="s">
        <v>144</v>
      </c>
      <c r="C29" s="62" t="s">
        <v>145</v>
      </c>
      <c r="D29" s="178" t="s">
        <v>118</v>
      </c>
      <c r="E29" s="177" t="s">
        <v>122</v>
      </c>
      <c r="F29" s="167">
        <v>15</v>
      </c>
      <c r="G29" s="168">
        <f t="shared" si="0"/>
        <v>299.238</v>
      </c>
      <c r="H29" s="169">
        <v>4488.57</v>
      </c>
      <c r="I29" s="170">
        <v>0</v>
      </c>
      <c r="J29" s="171">
        <f>SUM(H29:I29)</f>
        <v>4488.57</v>
      </c>
      <c r="K29" s="172">
        <f>IF(H29/15&lt;=123.22,I29,I29/2)</f>
        <v>0</v>
      </c>
      <c r="L29" s="172">
        <f>H29+K29</f>
        <v>4488.57</v>
      </c>
      <c r="M29" s="172">
        <f>VLOOKUP(L29,Tarifa1,1)</f>
        <v>4257.91</v>
      </c>
      <c r="N29" s="172">
        <f>L29-M29</f>
        <v>230.65999999999985</v>
      </c>
      <c r="O29" s="173">
        <f>VLOOKUP(L29,Tarifa1,3)</f>
        <v>0.16</v>
      </c>
      <c r="P29" s="172">
        <f>N29*O29</f>
        <v>36.905599999999978</v>
      </c>
      <c r="Q29" s="174">
        <f>VLOOKUP(L29,Tarifa1,2)</f>
        <v>341.85</v>
      </c>
      <c r="R29" s="172">
        <f>P29+Q29</f>
        <v>378.75560000000002</v>
      </c>
      <c r="S29" s="172">
        <f>VLOOKUP(L29,Credito1,2)</f>
        <v>0</v>
      </c>
      <c r="T29" s="172">
        <f>R29-S29</f>
        <v>378.75560000000002</v>
      </c>
      <c r="U29" s="171">
        <f>-IF(T29&gt;0,0,T29)</f>
        <v>0</v>
      </c>
      <c r="V29" s="171">
        <f>IF(T29&lt;0,0,T29)</f>
        <v>378.75560000000002</v>
      </c>
      <c r="W29" s="171">
        <f>SUM(V29:V29)</f>
        <v>378.75560000000002</v>
      </c>
      <c r="X29" s="171">
        <f>J29+U29-W29</f>
        <v>4109.8143999999993</v>
      </c>
      <c r="Y29" s="187"/>
      <c r="AE29" s="88"/>
    </row>
    <row r="30" spans="1:31" s="69" customFormat="1" ht="69.95" customHeight="1" x14ac:dyDescent="0.25">
      <c r="A30" s="204"/>
      <c r="B30" s="203" t="s">
        <v>123</v>
      </c>
      <c r="C30" s="203" t="s">
        <v>162</v>
      </c>
      <c r="D30" s="45" t="s">
        <v>172</v>
      </c>
      <c r="E30" s="45" t="s">
        <v>62</v>
      </c>
      <c r="F30" s="45"/>
      <c r="G30" s="45"/>
      <c r="H30" s="199">
        <f>SUM(H31)</f>
        <v>5575.5</v>
      </c>
      <c r="I30" s="199">
        <f>SUM(I31)</f>
        <v>0</v>
      </c>
      <c r="J30" s="199">
        <f>SUM(J31)</f>
        <v>5575.5</v>
      </c>
      <c r="K30" s="45"/>
      <c r="L30" s="45"/>
      <c r="M30" s="45"/>
      <c r="N30" s="45"/>
      <c r="O30" s="45"/>
      <c r="P30" s="45"/>
      <c r="Q30" s="200"/>
      <c r="R30" s="45"/>
      <c r="S30" s="45"/>
      <c r="T30" s="45"/>
      <c r="U30" s="199">
        <f>SUM(U31)</f>
        <v>0</v>
      </c>
      <c r="V30" s="199">
        <f>SUM(V31)</f>
        <v>564.71844799999997</v>
      </c>
      <c r="W30" s="199">
        <f>SUM(W31)</f>
        <v>564.71844799999997</v>
      </c>
      <c r="X30" s="199">
        <f>SUM(X31)</f>
        <v>5010.7815520000004</v>
      </c>
      <c r="Y30" s="201"/>
    </row>
    <row r="31" spans="1:31" s="69" customFormat="1" ht="69.95" customHeight="1" x14ac:dyDescent="0.2">
      <c r="A31" s="204"/>
      <c r="B31" s="62" t="s">
        <v>178</v>
      </c>
      <c r="C31" s="62" t="s">
        <v>145</v>
      </c>
      <c r="D31" s="166" t="s">
        <v>173</v>
      </c>
      <c r="E31" s="177" t="s">
        <v>174</v>
      </c>
      <c r="F31" s="167">
        <v>15</v>
      </c>
      <c r="G31" s="168">
        <f>H31/F31</f>
        <v>371.7</v>
      </c>
      <c r="H31" s="169">
        <v>5575.5</v>
      </c>
      <c r="I31" s="170">
        <v>0</v>
      </c>
      <c r="J31" s="171">
        <f>SUM(H31:I31)</f>
        <v>5575.5</v>
      </c>
      <c r="K31" s="172">
        <f>IF(H31/15&lt;=123.22,I31,I31/2)</f>
        <v>0</v>
      </c>
      <c r="L31" s="172">
        <f>H31+K31</f>
        <v>5575.5</v>
      </c>
      <c r="M31" s="172">
        <f>VLOOKUP(L31,Tarifa1,1)</f>
        <v>4949.5600000000004</v>
      </c>
      <c r="N31" s="172">
        <f>L31-M31</f>
        <v>625.9399999999996</v>
      </c>
      <c r="O31" s="173">
        <f>VLOOKUP(L31,Tarifa1,3)</f>
        <v>0.1792</v>
      </c>
      <c r="P31" s="172">
        <f>N31*O31</f>
        <v>112.16844799999993</v>
      </c>
      <c r="Q31" s="174">
        <f>VLOOKUP(L31,Tarifa1,2)</f>
        <v>452.55</v>
      </c>
      <c r="R31" s="172">
        <f>P31+Q31</f>
        <v>564.71844799999997</v>
      </c>
      <c r="S31" s="172">
        <f>VLOOKUP(L31,Credito1,2)</f>
        <v>0</v>
      </c>
      <c r="T31" s="172">
        <f>R31-S31</f>
        <v>564.71844799999997</v>
      </c>
      <c r="U31" s="171">
        <f>-IF(T31&gt;0,0,T31)</f>
        <v>0</v>
      </c>
      <c r="V31" s="171">
        <f>IF(T31&lt;0,0,T31)</f>
        <v>564.71844799999997</v>
      </c>
      <c r="W31" s="171">
        <f>SUM(V31:V31)</f>
        <v>564.71844799999997</v>
      </c>
      <c r="X31" s="171">
        <f>J31+U31-W31</f>
        <v>5010.7815520000004</v>
      </c>
      <c r="Y31" s="187"/>
    </row>
    <row r="32" spans="1:31" s="69" customFormat="1" ht="69.95" customHeight="1" x14ac:dyDescent="0.25">
      <c r="A32" s="204"/>
      <c r="B32" s="203" t="s">
        <v>123</v>
      </c>
      <c r="C32" s="203" t="s">
        <v>162</v>
      </c>
      <c r="D32" s="45" t="s">
        <v>214</v>
      </c>
      <c r="E32" s="45" t="s">
        <v>62</v>
      </c>
      <c r="F32" s="45"/>
      <c r="G32" s="45"/>
      <c r="H32" s="199">
        <f>SUM(H33)</f>
        <v>4317.28</v>
      </c>
      <c r="I32" s="199">
        <f>SUM(I33)</f>
        <v>0</v>
      </c>
      <c r="J32" s="199">
        <f>SUM(J33)</f>
        <v>4317.28</v>
      </c>
      <c r="K32" s="45"/>
      <c r="L32" s="45"/>
      <c r="M32" s="45"/>
      <c r="N32" s="45"/>
      <c r="O32" s="45"/>
      <c r="P32" s="45"/>
      <c r="Q32" s="200"/>
      <c r="R32" s="45"/>
      <c r="S32" s="45"/>
      <c r="T32" s="45"/>
      <c r="U32" s="199">
        <f>SUM(U33)</f>
        <v>0</v>
      </c>
      <c r="V32" s="199">
        <f>SUM(V33)</f>
        <v>351.3492</v>
      </c>
      <c r="W32" s="199">
        <f>SUM(W33)</f>
        <v>351.3492</v>
      </c>
      <c r="X32" s="199">
        <f>SUM(X33)</f>
        <v>3965.9307999999996</v>
      </c>
      <c r="Y32" s="201"/>
    </row>
    <row r="33" spans="1:37" s="69" customFormat="1" ht="69.95" customHeight="1" x14ac:dyDescent="0.2">
      <c r="A33" s="204"/>
      <c r="B33" s="138" t="s">
        <v>271</v>
      </c>
      <c r="C33" s="62" t="s">
        <v>145</v>
      </c>
      <c r="D33" s="166" t="s">
        <v>217</v>
      </c>
      <c r="E33" s="177" t="s">
        <v>218</v>
      </c>
      <c r="F33" s="167">
        <v>15</v>
      </c>
      <c r="G33" s="168">
        <f>H33/F33</f>
        <v>287.81866666666667</v>
      </c>
      <c r="H33" s="169">
        <v>4317.28</v>
      </c>
      <c r="I33" s="170">
        <v>0</v>
      </c>
      <c r="J33" s="171">
        <f>SUM(H33:I33)</f>
        <v>4317.28</v>
      </c>
      <c r="K33" s="172">
        <f>IF(H33/15&lt;=123.22,I33,I33/2)</f>
        <v>0</v>
      </c>
      <c r="L33" s="172">
        <f>H33+K33</f>
        <v>4317.28</v>
      </c>
      <c r="M33" s="172">
        <f>VLOOKUP(L33,Tarifa1,1)</f>
        <v>4257.91</v>
      </c>
      <c r="N33" s="172">
        <f>L33-M33</f>
        <v>59.369999999999891</v>
      </c>
      <c r="O33" s="173">
        <f>VLOOKUP(L33,Tarifa1,3)</f>
        <v>0.16</v>
      </c>
      <c r="P33" s="172">
        <f>N33*O33</f>
        <v>9.4991999999999823</v>
      </c>
      <c r="Q33" s="174">
        <f>VLOOKUP(L33,Tarifa1,2)</f>
        <v>341.85</v>
      </c>
      <c r="R33" s="172">
        <f>P33+Q33</f>
        <v>351.3492</v>
      </c>
      <c r="S33" s="172">
        <f>VLOOKUP(L33,Credito1,2)</f>
        <v>0</v>
      </c>
      <c r="T33" s="172">
        <f>R33-S33</f>
        <v>351.3492</v>
      </c>
      <c r="U33" s="171">
        <f t="shared" ref="U33" si="29">-IF(T33&gt;0,0,T33)</f>
        <v>0</v>
      </c>
      <c r="V33" s="236">
        <f>IF(T33&lt;0,0,T33)</f>
        <v>351.3492</v>
      </c>
      <c r="W33" s="171">
        <f>SUM(V33:V33)</f>
        <v>351.3492</v>
      </c>
      <c r="X33" s="171">
        <f>J33+U33-W33</f>
        <v>3965.9307999999996</v>
      </c>
      <c r="Y33" s="187"/>
    </row>
    <row r="34" spans="1:37" s="69" customFormat="1" ht="15" x14ac:dyDescent="0.25">
      <c r="A34" s="204"/>
      <c r="B34" s="204"/>
      <c r="C34" s="204"/>
      <c r="D34" s="204"/>
      <c r="E34" s="204"/>
      <c r="F34" s="204"/>
      <c r="G34" s="204"/>
      <c r="H34" s="205"/>
      <c r="I34" s="205"/>
      <c r="J34" s="205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187"/>
    </row>
    <row r="35" spans="1:37" s="69" customFormat="1" ht="45.75" customHeight="1" x14ac:dyDescent="0.25">
      <c r="A35" s="331" t="s">
        <v>45</v>
      </c>
      <c r="B35" s="331"/>
      <c r="C35" s="331"/>
      <c r="D35" s="331"/>
      <c r="E35" s="331"/>
      <c r="F35" s="331"/>
      <c r="G35" s="331"/>
      <c r="H35" s="207">
        <f>H9+H12+H16+H20+H28+H30+H32+H14</f>
        <v>66680.12</v>
      </c>
      <c r="I35" s="207">
        <f>I9+I12+I16+I20+I28+I30+I32+I14</f>
        <v>0</v>
      </c>
      <c r="J35" s="207">
        <f>J9+J12+J16+J20+J28+J30+J32+J14</f>
        <v>66680.12</v>
      </c>
      <c r="K35" s="208">
        <f t="shared" ref="K35:T35" si="30">SUM(K10:K34)</f>
        <v>0</v>
      </c>
      <c r="L35" s="208">
        <f t="shared" si="30"/>
        <v>66680.12000000001</v>
      </c>
      <c r="M35" s="208">
        <f t="shared" si="30"/>
        <v>58879.180000000008</v>
      </c>
      <c r="N35" s="208">
        <f t="shared" si="30"/>
        <v>7800.94</v>
      </c>
      <c r="O35" s="208">
        <f t="shared" si="30"/>
        <v>2.2136</v>
      </c>
      <c r="P35" s="208">
        <f t="shared" si="30"/>
        <v>1272.0934960000002</v>
      </c>
      <c r="Q35" s="208">
        <f t="shared" si="30"/>
        <v>5384.55</v>
      </c>
      <c r="R35" s="208">
        <f t="shared" si="30"/>
        <v>6656.6434960000006</v>
      </c>
      <c r="S35" s="208">
        <f t="shared" si="30"/>
        <v>357.6</v>
      </c>
      <c r="T35" s="208">
        <f t="shared" si="30"/>
        <v>6299.0434960000011</v>
      </c>
      <c r="U35" s="207">
        <f>U9+U12+U16+U20+U28+U30+U32+U14</f>
        <v>0</v>
      </c>
      <c r="V35" s="207">
        <f>V9+V12+V16+V20+V28+V30+V32+V14</f>
        <v>6299.0434960000002</v>
      </c>
      <c r="W35" s="207">
        <f>W9+W12+W16+W20+W28+W30+W32+W14</f>
        <v>6299.0434960000002</v>
      </c>
      <c r="X35" s="207">
        <f>X9+X12+X16+X20+X28+X30+X32+X14</f>
        <v>60381.076503999997</v>
      </c>
      <c r="Y35" s="187"/>
    </row>
    <row r="36" spans="1:37" s="69" customFormat="1" ht="12" x14ac:dyDescent="0.2"/>
    <row r="37" spans="1:37" s="69" customFormat="1" ht="12" x14ac:dyDescent="0.2"/>
    <row r="38" spans="1:37" s="69" customFormat="1" ht="12" x14ac:dyDescent="0.2"/>
    <row r="39" spans="1:37" s="69" customFormat="1" ht="12" x14ac:dyDescent="0.2"/>
    <row r="40" spans="1:37" s="69" customFormat="1" ht="12" x14ac:dyDescent="0.2"/>
    <row r="41" spans="1:37" s="69" customFormat="1" ht="12" x14ac:dyDescent="0.2"/>
    <row r="42" spans="1:37" s="69" customFormat="1" ht="12" x14ac:dyDescent="0.2"/>
    <row r="43" spans="1:37" s="69" customFormat="1" ht="12" x14ac:dyDescent="0.2"/>
    <row r="44" spans="1:37" s="69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7" s="69" customFormat="1" x14ac:dyDescent="0.2">
      <c r="D45" s="4" t="s">
        <v>241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 t="s">
        <v>243</v>
      </c>
      <c r="W45" s="4"/>
      <c r="X45" s="4"/>
    </row>
    <row r="46" spans="1:37" s="69" customFormat="1" x14ac:dyDescent="0.2">
      <c r="D46" s="51" t="s">
        <v>234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1" t="s">
        <v>236</v>
      </c>
      <c r="W46" s="4"/>
      <c r="X46" s="4"/>
    </row>
    <row r="47" spans="1:37" s="69" customFormat="1" x14ac:dyDescent="0.2">
      <c r="D47" s="51" t="s">
        <v>97</v>
      </c>
      <c r="E47" s="51"/>
      <c r="F47" s="51"/>
      <c r="G47" s="51"/>
      <c r="H47" s="51"/>
      <c r="I47" s="5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 t="s">
        <v>98</v>
      </c>
      <c r="W47" s="51"/>
      <c r="X47" s="51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69" customFormat="1" ht="12" x14ac:dyDescent="0.2"/>
    <row r="50" s="69" customFormat="1" ht="12" x14ac:dyDescent="0.2"/>
  </sheetData>
  <mergeCells count="11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7:D19 D13 D15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306" t="s">
        <v>93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</row>
    <row r="2" spans="1:25" ht="18" x14ac:dyDescent="0.25">
      <c r="A2" s="306" t="s">
        <v>66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</row>
    <row r="3" spans="1:25" ht="15" x14ac:dyDescent="0.2">
      <c r="A3" s="307" t="s">
        <v>391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7" t="s">
        <v>1</v>
      </c>
      <c r="I6" s="318"/>
      <c r="J6" s="319"/>
      <c r="K6" s="24" t="s">
        <v>26</v>
      </c>
      <c r="L6" s="25"/>
      <c r="M6" s="320" t="s">
        <v>9</v>
      </c>
      <c r="N6" s="321"/>
      <c r="O6" s="321"/>
      <c r="P6" s="321"/>
      <c r="Q6" s="321"/>
      <c r="R6" s="322"/>
      <c r="S6" s="24" t="s">
        <v>30</v>
      </c>
      <c r="T6" s="24" t="s">
        <v>10</v>
      </c>
      <c r="U6" s="23" t="s">
        <v>54</v>
      </c>
      <c r="V6" s="323" t="s">
        <v>2</v>
      </c>
      <c r="W6" s="324"/>
      <c r="X6" s="23" t="s">
        <v>0</v>
      </c>
      <c r="Y6" s="42"/>
    </row>
    <row r="7" spans="1:25" ht="33.75" x14ac:dyDescent="0.2">
      <c r="A7" s="26" t="s">
        <v>21</v>
      </c>
      <c r="B7" s="61" t="s">
        <v>123</v>
      </c>
      <c r="C7" s="61" t="s">
        <v>146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42"/>
      <c r="B9" s="142"/>
      <c r="C9" s="142"/>
      <c r="D9" s="141" t="s">
        <v>139</v>
      </c>
      <c r="E9" s="142" t="s">
        <v>62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209"/>
    </row>
    <row r="10" spans="1:25" s="4" customFormat="1" ht="75" customHeight="1" x14ac:dyDescent="0.2">
      <c r="A10" s="59" t="s">
        <v>100</v>
      </c>
      <c r="B10" s="116" t="s">
        <v>137</v>
      </c>
      <c r="C10" s="116" t="s">
        <v>145</v>
      </c>
      <c r="D10" s="121" t="s">
        <v>121</v>
      </c>
      <c r="E10" s="121" t="s">
        <v>84</v>
      </c>
      <c r="F10" s="133">
        <v>15</v>
      </c>
      <c r="G10" s="134">
        <f>H10/F10</f>
        <v>1008.0306666666667</v>
      </c>
      <c r="H10" s="119">
        <v>15120.46</v>
      </c>
      <c r="I10" s="126">
        <v>0</v>
      </c>
      <c r="J10" s="127">
        <f>SUM(H10:I10)</f>
        <v>15120.46</v>
      </c>
      <c r="K10" s="172">
        <f>IF(H10/15&lt;=123.22,I10,I10/2)</f>
        <v>0</v>
      </c>
      <c r="L10" s="172">
        <f>H10+K10</f>
        <v>15120.46</v>
      </c>
      <c r="M10" s="172">
        <f>VLOOKUP(L10,Tarifa1,1)</f>
        <v>11951.86</v>
      </c>
      <c r="N10" s="172">
        <f>L10-M10</f>
        <v>3168.5999999999985</v>
      </c>
      <c r="O10" s="173">
        <f>VLOOKUP(L10,Tarifa1,3)</f>
        <v>0.23519999999999999</v>
      </c>
      <c r="P10" s="172">
        <f>N10*O10</f>
        <v>745.25471999999968</v>
      </c>
      <c r="Q10" s="174">
        <f>VLOOKUP(L10,Tarifa1,2)</f>
        <v>1914.75</v>
      </c>
      <c r="R10" s="172">
        <f>P10+Q10</f>
        <v>2660.0047199999999</v>
      </c>
      <c r="S10" s="172">
        <f>VLOOKUP(L10,Credito1,2)</f>
        <v>0</v>
      </c>
      <c r="T10" s="172">
        <f>R10-S10</f>
        <v>2660.0047199999999</v>
      </c>
      <c r="U10" s="127">
        <f>-IF(T10&gt;0,0,T10)</f>
        <v>0</v>
      </c>
      <c r="V10" s="135">
        <f>IF(T10&lt;0,0,T10)</f>
        <v>2660.0047199999999</v>
      </c>
      <c r="W10" s="127">
        <f>SUM(V10:V10)</f>
        <v>2660.0047199999999</v>
      </c>
      <c r="X10" s="127">
        <f>J10+U10-W10</f>
        <v>12460.455279999998</v>
      </c>
      <c r="Y10" s="122"/>
    </row>
    <row r="11" spans="1:25" s="4" customFormat="1" ht="75" customHeight="1" x14ac:dyDescent="0.2">
      <c r="A11" s="59" t="s">
        <v>102</v>
      </c>
      <c r="B11" s="116" t="s">
        <v>126</v>
      </c>
      <c r="C11" s="116" t="s">
        <v>145</v>
      </c>
      <c r="D11" s="121" t="s">
        <v>85</v>
      </c>
      <c r="E11" s="121" t="s">
        <v>90</v>
      </c>
      <c r="F11" s="133">
        <v>15</v>
      </c>
      <c r="G11" s="134">
        <f>H11/F11</f>
        <v>609.85</v>
      </c>
      <c r="H11" s="119">
        <v>9147.75</v>
      </c>
      <c r="I11" s="126">
        <v>0</v>
      </c>
      <c r="J11" s="127">
        <f>H11</f>
        <v>9147.75</v>
      </c>
      <c r="K11" s="172">
        <f t="shared" ref="K11:K12" si="0">IF(H11/15&lt;=123.22,I11,I11/2)</f>
        <v>0</v>
      </c>
      <c r="L11" s="172">
        <f t="shared" ref="L11:L12" si="1">H11+K11</f>
        <v>9147.75</v>
      </c>
      <c r="M11" s="172">
        <f>VLOOKUP(L11,Tarifa1,1)</f>
        <v>5925.91</v>
      </c>
      <c r="N11" s="172">
        <f t="shared" ref="N11:N12" si="2">L11-M11</f>
        <v>3221.84</v>
      </c>
      <c r="O11" s="173">
        <f>VLOOKUP(L11,Tarifa1,3)</f>
        <v>0.21360000000000001</v>
      </c>
      <c r="P11" s="172">
        <f t="shared" ref="P11:P12" si="3">N11*O11</f>
        <v>688.18502400000011</v>
      </c>
      <c r="Q11" s="174">
        <f>VLOOKUP(L11,Tarifa1,2)</f>
        <v>627.6</v>
      </c>
      <c r="R11" s="172">
        <f t="shared" ref="R11:R12" si="4">P11+Q11</f>
        <v>1315.7850240000002</v>
      </c>
      <c r="S11" s="172">
        <f>VLOOKUP(L11,Credito1,2)</f>
        <v>0</v>
      </c>
      <c r="T11" s="172">
        <f t="shared" ref="T11:T12" si="5">R11-S11</f>
        <v>1315.7850240000002</v>
      </c>
      <c r="U11" s="127">
        <f>-IF(T11&gt;0,0,T11)</f>
        <v>0</v>
      </c>
      <c r="V11" s="127">
        <f>IF(T11&lt;0,0,T11)</f>
        <v>1315.7850240000002</v>
      </c>
      <c r="W11" s="127">
        <f>SUM(V11:V11)</f>
        <v>1315.7850240000002</v>
      </c>
      <c r="X11" s="127">
        <f>J11+U11-W11+I11</f>
        <v>7831.9649759999993</v>
      </c>
      <c r="Y11" s="122"/>
    </row>
    <row r="12" spans="1:25" s="4" customFormat="1" ht="75" customHeight="1" x14ac:dyDescent="0.2">
      <c r="A12" s="59" t="s">
        <v>103</v>
      </c>
      <c r="B12" s="116" t="s">
        <v>138</v>
      </c>
      <c r="C12" s="116" t="s">
        <v>145</v>
      </c>
      <c r="D12" s="121" t="s">
        <v>116</v>
      </c>
      <c r="E12" s="121" t="s">
        <v>90</v>
      </c>
      <c r="F12" s="133">
        <v>15</v>
      </c>
      <c r="G12" s="134">
        <f>H12/F12</f>
        <v>373.85733333333332</v>
      </c>
      <c r="H12" s="119">
        <v>5607.86</v>
      </c>
      <c r="I12" s="126">
        <v>0</v>
      </c>
      <c r="J12" s="127">
        <f>SUM(H12:I12)</f>
        <v>5607.86</v>
      </c>
      <c r="K12" s="172">
        <f t="shared" si="0"/>
        <v>0</v>
      </c>
      <c r="L12" s="172">
        <f t="shared" si="1"/>
        <v>5607.86</v>
      </c>
      <c r="M12" s="172">
        <f>VLOOKUP(L12,Tarifa1,1)</f>
        <v>4949.5600000000004</v>
      </c>
      <c r="N12" s="172">
        <f t="shared" si="2"/>
        <v>658.29999999999927</v>
      </c>
      <c r="O12" s="173">
        <f>VLOOKUP(L12,Tarifa1,3)</f>
        <v>0.1792</v>
      </c>
      <c r="P12" s="172">
        <f t="shared" si="3"/>
        <v>117.96735999999987</v>
      </c>
      <c r="Q12" s="174">
        <f>VLOOKUP(L12,Tarifa1,2)</f>
        <v>452.55</v>
      </c>
      <c r="R12" s="172">
        <f t="shared" si="4"/>
        <v>570.51735999999983</v>
      </c>
      <c r="S12" s="172">
        <f>VLOOKUP(L12,Credito1,2)</f>
        <v>0</v>
      </c>
      <c r="T12" s="172">
        <f t="shared" si="5"/>
        <v>570.51735999999983</v>
      </c>
      <c r="U12" s="127">
        <f>-IF(T12&gt;0,0,T12)</f>
        <v>0</v>
      </c>
      <c r="V12" s="127">
        <f>IF(T12&lt;0,0,T12)</f>
        <v>570.51735999999983</v>
      </c>
      <c r="W12" s="127">
        <f>SUM(V12:V12)</f>
        <v>570.51735999999983</v>
      </c>
      <c r="X12" s="127">
        <f>J12+U12-W12</f>
        <v>5037.3426399999998</v>
      </c>
      <c r="Y12" s="122"/>
    </row>
    <row r="13" spans="1:25" s="4" customFormat="1" ht="36" customHeight="1" x14ac:dyDescent="0.2">
      <c r="A13" s="56"/>
      <c r="B13" s="56"/>
      <c r="C13" s="56"/>
      <c r="D13" s="56"/>
      <c r="E13" s="56"/>
      <c r="F13" s="56"/>
      <c r="G13" s="56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303" t="s">
        <v>45</v>
      </c>
      <c r="B14" s="304"/>
      <c r="C14" s="304"/>
      <c r="D14" s="304"/>
      <c r="E14" s="304"/>
      <c r="F14" s="304"/>
      <c r="G14" s="305"/>
      <c r="H14" s="164">
        <f>SUM(H10:H13)</f>
        <v>29876.07</v>
      </c>
      <c r="I14" s="164">
        <f>SUM(I10:I13)</f>
        <v>0</v>
      </c>
      <c r="J14" s="164">
        <f>SUM(J10:J13)</f>
        <v>29876.07</v>
      </c>
      <c r="K14" s="165">
        <f t="shared" ref="K14:T14" si="6">SUM(K10:K13)</f>
        <v>0</v>
      </c>
      <c r="L14" s="165">
        <f t="shared" si="6"/>
        <v>29876.07</v>
      </c>
      <c r="M14" s="165">
        <f t="shared" si="6"/>
        <v>22827.33</v>
      </c>
      <c r="N14" s="165">
        <f t="shared" si="6"/>
        <v>7048.739999999998</v>
      </c>
      <c r="O14" s="165">
        <f t="shared" si="6"/>
        <v>0.628</v>
      </c>
      <c r="P14" s="165">
        <f t="shared" si="6"/>
        <v>1551.4071039999997</v>
      </c>
      <c r="Q14" s="165">
        <f t="shared" si="6"/>
        <v>2994.9</v>
      </c>
      <c r="R14" s="165">
        <f t="shared" si="6"/>
        <v>4546.3071039999995</v>
      </c>
      <c r="S14" s="165">
        <f t="shared" si="6"/>
        <v>0</v>
      </c>
      <c r="T14" s="165">
        <f t="shared" si="6"/>
        <v>4546.3071039999995</v>
      </c>
      <c r="U14" s="164">
        <f>SUM(U10:U13)</f>
        <v>0</v>
      </c>
      <c r="V14" s="164">
        <f>SUM(V10:V13)</f>
        <v>4546.3071039999995</v>
      </c>
      <c r="W14" s="164">
        <f>SUM(W10:W13)</f>
        <v>4546.3071039999995</v>
      </c>
      <c r="X14" s="164">
        <f>SUM(X10:X12)</f>
        <v>25329.762895999997</v>
      </c>
    </row>
    <row r="15" spans="1:25" ht="35.1" customHeight="1" thickTop="1" x14ac:dyDescent="0.2"/>
    <row r="16" spans="1:25" ht="35.1" customHeight="1" x14ac:dyDescent="0.2"/>
    <row r="19" spans="4:37" x14ac:dyDescent="0.2">
      <c r="Y19" s="58"/>
    </row>
    <row r="21" spans="4:37" x14ac:dyDescent="0.2">
      <c r="D21" s="4" t="s">
        <v>245</v>
      </c>
      <c r="V21" t="s">
        <v>111</v>
      </c>
    </row>
    <row r="22" spans="4:37" x14ac:dyDescent="0.2">
      <c r="D22" s="78" t="s">
        <v>234</v>
      </c>
      <c r="H22" s="4"/>
      <c r="V22" s="78" t="s">
        <v>246</v>
      </c>
    </row>
    <row r="23" spans="4:37" x14ac:dyDescent="0.2">
      <c r="D23" s="51" t="s">
        <v>244</v>
      </c>
      <c r="E23" s="51"/>
      <c r="F23" s="51"/>
      <c r="G23" s="51"/>
      <c r="H23" s="51"/>
      <c r="I23" s="51"/>
      <c r="V23" s="51" t="s">
        <v>247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51"/>
      <c r="AK23" s="51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7"/>
  <sheetViews>
    <sheetView topLeftCell="B1" workbookViewId="0">
      <selection activeCell="V4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20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1" width="9.7109375" customWidth="1"/>
    <col min="22" max="22" width="11.42578125" customWidth="1"/>
    <col min="23" max="23" width="12.7109375" customWidth="1"/>
    <col min="24" max="24" width="67.85546875" customWidth="1"/>
  </cols>
  <sheetData>
    <row r="1" spans="1:25" ht="18" x14ac:dyDescent="0.25">
      <c r="A1" s="306" t="s">
        <v>93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</row>
    <row r="2" spans="1:25" ht="18" x14ac:dyDescent="0.25">
      <c r="A2" s="306" t="s">
        <v>66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</row>
    <row r="3" spans="1:25" ht="15" x14ac:dyDescent="0.2">
      <c r="A3" s="307" t="s">
        <v>391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7" t="s">
        <v>1</v>
      </c>
      <c r="I6" s="319"/>
      <c r="J6" s="24" t="s">
        <v>26</v>
      </c>
      <c r="K6" s="25"/>
      <c r="L6" s="320" t="s">
        <v>9</v>
      </c>
      <c r="M6" s="321"/>
      <c r="N6" s="321"/>
      <c r="O6" s="321"/>
      <c r="P6" s="321"/>
      <c r="Q6" s="322"/>
      <c r="R6" s="24" t="s">
        <v>30</v>
      </c>
      <c r="S6" s="24" t="s">
        <v>10</v>
      </c>
      <c r="T6" s="23" t="s">
        <v>54</v>
      </c>
      <c r="U6" s="323" t="s">
        <v>2</v>
      </c>
      <c r="V6" s="324"/>
      <c r="W6" s="23" t="s">
        <v>0</v>
      </c>
      <c r="X6" s="42"/>
    </row>
    <row r="7" spans="1:25" ht="33.75" customHeight="1" x14ac:dyDescent="0.2">
      <c r="A7" s="26" t="s">
        <v>21</v>
      </c>
      <c r="B7" s="61" t="s">
        <v>123</v>
      </c>
      <c r="C7" s="61" t="s">
        <v>146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31" t="s">
        <v>61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32"/>
    </row>
    <row r="10" spans="1:25" ht="65.25" customHeight="1" x14ac:dyDescent="0.2">
      <c r="A10" s="59" t="s">
        <v>100</v>
      </c>
      <c r="B10" s="139" t="s">
        <v>272</v>
      </c>
      <c r="C10" s="116" t="s">
        <v>145</v>
      </c>
      <c r="D10" s="121" t="s">
        <v>224</v>
      </c>
      <c r="E10" s="121" t="s">
        <v>87</v>
      </c>
      <c r="F10" s="133">
        <v>15</v>
      </c>
      <c r="G10" s="137">
        <f>H10/F10</f>
        <v>535.76200000000006</v>
      </c>
      <c r="H10" s="119">
        <v>8036.43</v>
      </c>
      <c r="I10" s="127">
        <f t="shared" ref="I10:I18" si="0">SUM(H10:H10)</f>
        <v>8036.43</v>
      </c>
      <c r="J10" s="172">
        <v>0</v>
      </c>
      <c r="K10" s="172">
        <f>I10+J10</f>
        <v>8036.43</v>
      </c>
      <c r="L10" s="172">
        <f t="shared" ref="L10:L18" si="1">VLOOKUP(K10,Tarifa1,1)</f>
        <v>5925.91</v>
      </c>
      <c r="M10" s="172">
        <f>K10-L10</f>
        <v>2110.5200000000004</v>
      </c>
      <c r="N10" s="173">
        <f t="shared" ref="N10:N18" si="2">VLOOKUP(K10,Tarifa1,3)</f>
        <v>0.21360000000000001</v>
      </c>
      <c r="O10" s="172">
        <f>M10*N10</f>
        <v>450.80707200000012</v>
      </c>
      <c r="P10" s="174">
        <f t="shared" ref="P10:P18" si="3">VLOOKUP(K10,Tarifa1,2)</f>
        <v>627.6</v>
      </c>
      <c r="Q10" s="172">
        <f>O10+P10</f>
        <v>1078.4070720000002</v>
      </c>
      <c r="R10" s="172">
        <f t="shared" ref="R10:R18" si="4">VLOOKUP(K10,Credito1,2)</f>
        <v>0</v>
      </c>
      <c r="S10" s="172">
        <f>Q10-R10</f>
        <v>1078.4070720000002</v>
      </c>
      <c r="T10" s="127">
        <f t="shared" ref="T10:T18" si="5">-IF(S10&gt;0,0,S10)</f>
        <v>0</v>
      </c>
      <c r="U10" s="127">
        <f t="shared" ref="U10:U18" si="6">IF(S10&lt;0,0,S10)</f>
        <v>1078.4070720000002</v>
      </c>
      <c r="V10" s="127">
        <f>SUM(U10:U10)</f>
        <v>1078.4070720000002</v>
      </c>
      <c r="W10" s="127">
        <f>I10+T10-V10</f>
        <v>6958.0229280000003</v>
      </c>
      <c r="X10" s="41"/>
    </row>
    <row r="11" spans="1:25" ht="65.25" customHeight="1" x14ac:dyDescent="0.2">
      <c r="A11" s="59" t="s">
        <v>101</v>
      </c>
      <c r="B11" s="139" t="s">
        <v>273</v>
      </c>
      <c r="C11" s="116" t="s">
        <v>145</v>
      </c>
      <c r="D11" s="121" t="s">
        <v>219</v>
      </c>
      <c r="E11" s="121" t="s">
        <v>87</v>
      </c>
      <c r="F11" s="133">
        <v>15</v>
      </c>
      <c r="G11" s="137">
        <f t="shared" ref="G11:G18" si="7">H11/F11</f>
        <v>535.76200000000006</v>
      </c>
      <c r="H11" s="119">
        <v>8036.43</v>
      </c>
      <c r="I11" s="127">
        <f t="shared" si="0"/>
        <v>8036.43</v>
      </c>
      <c r="J11" s="172">
        <v>0</v>
      </c>
      <c r="K11" s="172">
        <f t="shared" ref="K11:K18" si="8">I11+J11</f>
        <v>8036.43</v>
      </c>
      <c r="L11" s="172">
        <f t="shared" si="1"/>
        <v>5925.91</v>
      </c>
      <c r="M11" s="172">
        <f t="shared" ref="M11:M18" si="9">K11-L11</f>
        <v>2110.5200000000004</v>
      </c>
      <c r="N11" s="173">
        <f t="shared" si="2"/>
        <v>0.21360000000000001</v>
      </c>
      <c r="O11" s="172">
        <f t="shared" ref="O11:O18" si="10">M11*N11</f>
        <v>450.80707200000012</v>
      </c>
      <c r="P11" s="174">
        <f t="shared" si="3"/>
        <v>627.6</v>
      </c>
      <c r="Q11" s="172">
        <f t="shared" ref="Q11:Q18" si="11">O11+P11</f>
        <v>1078.4070720000002</v>
      </c>
      <c r="R11" s="172">
        <f t="shared" si="4"/>
        <v>0</v>
      </c>
      <c r="S11" s="172">
        <f t="shared" ref="S11:S18" si="12">Q11-R11</f>
        <v>1078.4070720000002</v>
      </c>
      <c r="T11" s="127">
        <f t="shared" si="5"/>
        <v>0</v>
      </c>
      <c r="U11" s="127">
        <f t="shared" si="6"/>
        <v>1078.4070720000002</v>
      </c>
      <c r="V11" s="127">
        <f>SUM(U11:U11)</f>
        <v>1078.4070720000002</v>
      </c>
      <c r="W11" s="127">
        <f>I11+T11-V11</f>
        <v>6958.0229280000003</v>
      </c>
      <c r="X11" s="41"/>
    </row>
    <row r="12" spans="1:25" ht="65.25" customHeight="1" x14ac:dyDescent="0.2">
      <c r="A12" s="59" t="s">
        <v>102</v>
      </c>
      <c r="B12" s="139" t="s">
        <v>274</v>
      </c>
      <c r="C12" s="116" t="s">
        <v>145</v>
      </c>
      <c r="D12" s="121" t="s">
        <v>223</v>
      </c>
      <c r="E12" s="121" t="s">
        <v>87</v>
      </c>
      <c r="F12" s="133">
        <v>15</v>
      </c>
      <c r="G12" s="137">
        <f t="shared" si="7"/>
        <v>535.76200000000006</v>
      </c>
      <c r="H12" s="119">
        <v>8036.43</v>
      </c>
      <c r="I12" s="127">
        <f t="shared" si="0"/>
        <v>8036.43</v>
      </c>
      <c r="J12" s="172">
        <v>0</v>
      </c>
      <c r="K12" s="172">
        <f t="shared" si="8"/>
        <v>8036.43</v>
      </c>
      <c r="L12" s="172">
        <f t="shared" si="1"/>
        <v>5925.91</v>
      </c>
      <c r="M12" s="172">
        <f t="shared" si="9"/>
        <v>2110.5200000000004</v>
      </c>
      <c r="N12" s="173">
        <f t="shared" si="2"/>
        <v>0.21360000000000001</v>
      </c>
      <c r="O12" s="172">
        <f t="shared" si="10"/>
        <v>450.80707200000012</v>
      </c>
      <c r="P12" s="174">
        <f t="shared" si="3"/>
        <v>627.6</v>
      </c>
      <c r="Q12" s="172">
        <f t="shared" si="11"/>
        <v>1078.4070720000002</v>
      </c>
      <c r="R12" s="172">
        <f t="shared" si="4"/>
        <v>0</v>
      </c>
      <c r="S12" s="172">
        <f t="shared" si="12"/>
        <v>1078.4070720000002</v>
      </c>
      <c r="T12" s="127">
        <f t="shared" si="5"/>
        <v>0</v>
      </c>
      <c r="U12" s="127">
        <f t="shared" si="6"/>
        <v>1078.4070720000002</v>
      </c>
      <c r="V12" s="127">
        <f>SUM(U12:U12)</f>
        <v>1078.4070720000002</v>
      </c>
      <c r="W12" s="127">
        <f>I12+T12-V12</f>
        <v>6958.0229280000003</v>
      </c>
      <c r="X12" s="41"/>
    </row>
    <row r="13" spans="1:25" ht="65.25" customHeight="1" x14ac:dyDescent="0.2">
      <c r="A13" s="59" t="s">
        <v>103</v>
      </c>
      <c r="B13" s="139" t="s">
        <v>275</v>
      </c>
      <c r="C13" s="116" t="s">
        <v>145</v>
      </c>
      <c r="D13" s="121" t="s">
        <v>220</v>
      </c>
      <c r="E13" s="121" t="s">
        <v>87</v>
      </c>
      <c r="F13" s="133">
        <v>15</v>
      </c>
      <c r="G13" s="137">
        <f t="shared" si="7"/>
        <v>535.76200000000006</v>
      </c>
      <c r="H13" s="119">
        <v>8036.43</v>
      </c>
      <c r="I13" s="127">
        <f t="shared" si="0"/>
        <v>8036.43</v>
      </c>
      <c r="J13" s="172">
        <v>0</v>
      </c>
      <c r="K13" s="172">
        <f t="shared" si="8"/>
        <v>8036.43</v>
      </c>
      <c r="L13" s="172">
        <f t="shared" si="1"/>
        <v>5925.91</v>
      </c>
      <c r="M13" s="172">
        <f t="shared" si="9"/>
        <v>2110.5200000000004</v>
      </c>
      <c r="N13" s="173">
        <f t="shared" si="2"/>
        <v>0.21360000000000001</v>
      </c>
      <c r="O13" s="172">
        <f t="shared" si="10"/>
        <v>450.80707200000012</v>
      </c>
      <c r="P13" s="174">
        <f t="shared" si="3"/>
        <v>627.6</v>
      </c>
      <c r="Q13" s="172">
        <f t="shared" si="11"/>
        <v>1078.4070720000002</v>
      </c>
      <c r="R13" s="172">
        <f t="shared" si="4"/>
        <v>0</v>
      </c>
      <c r="S13" s="172">
        <f t="shared" si="12"/>
        <v>1078.4070720000002</v>
      </c>
      <c r="T13" s="127">
        <f t="shared" si="5"/>
        <v>0</v>
      </c>
      <c r="U13" s="127">
        <f t="shared" si="6"/>
        <v>1078.4070720000002</v>
      </c>
      <c r="V13" s="127">
        <f>SUM(U13:U13)</f>
        <v>1078.4070720000002</v>
      </c>
      <c r="W13" s="127">
        <f>I13+T13-V13</f>
        <v>6958.0229280000003</v>
      </c>
      <c r="X13" s="41"/>
    </row>
    <row r="14" spans="1:25" ht="65.25" customHeight="1" x14ac:dyDescent="0.2">
      <c r="A14" s="59" t="s">
        <v>104</v>
      </c>
      <c r="B14" s="139" t="s">
        <v>296</v>
      </c>
      <c r="C14" s="116" t="s">
        <v>145</v>
      </c>
      <c r="D14" s="121" t="s">
        <v>226</v>
      </c>
      <c r="E14" s="121" t="s">
        <v>87</v>
      </c>
      <c r="F14" s="133">
        <v>15</v>
      </c>
      <c r="G14" s="137">
        <f t="shared" si="7"/>
        <v>535.76200000000006</v>
      </c>
      <c r="H14" s="119">
        <v>8036.43</v>
      </c>
      <c r="I14" s="127">
        <f t="shared" si="0"/>
        <v>8036.43</v>
      </c>
      <c r="J14" s="172">
        <v>0</v>
      </c>
      <c r="K14" s="172">
        <f t="shared" si="8"/>
        <v>8036.43</v>
      </c>
      <c r="L14" s="172">
        <f t="shared" si="1"/>
        <v>5925.91</v>
      </c>
      <c r="M14" s="172">
        <f t="shared" si="9"/>
        <v>2110.5200000000004</v>
      </c>
      <c r="N14" s="173">
        <f t="shared" si="2"/>
        <v>0.21360000000000001</v>
      </c>
      <c r="O14" s="172">
        <f t="shared" si="10"/>
        <v>450.80707200000012</v>
      </c>
      <c r="P14" s="174">
        <f t="shared" si="3"/>
        <v>627.6</v>
      </c>
      <c r="Q14" s="172">
        <f t="shared" si="11"/>
        <v>1078.4070720000002</v>
      </c>
      <c r="R14" s="172">
        <f t="shared" si="4"/>
        <v>0</v>
      </c>
      <c r="S14" s="172">
        <f t="shared" si="12"/>
        <v>1078.4070720000002</v>
      </c>
      <c r="T14" s="127">
        <f t="shared" si="5"/>
        <v>0</v>
      </c>
      <c r="U14" s="127">
        <f t="shared" si="6"/>
        <v>1078.4070720000002</v>
      </c>
      <c r="V14" s="127">
        <f>SUM(U14:U14)</f>
        <v>1078.4070720000002</v>
      </c>
      <c r="W14" s="127">
        <f>I14+T14-V14</f>
        <v>6958.0229280000003</v>
      </c>
      <c r="X14" s="41"/>
    </row>
    <row r="15" spans="1:25" ht="65.25" customHeight="1" x14ac:dyDescent="0.2">
      <c r="A15" s="59" t="s">
        <v>105</v>
      </c>
      <c r="B15" s="139" t="s">
        <v>276</v>
      </c>
      <c r="C15" s="116" t="s">
        <v>145</v>
      </c>
      <c r="D15" s="121" t="s">
        <v>221</v>
      </c>
      <c r="E15" s="121" t="s">
        <v>87</v>
      </c>
      <c r="F15" s="133">
        <v>15</v>
      </c>
      <c r="G15" s="137">
        <f t="shared" si="7"/>
        <v>535.76200000000006</v>
      </c>
      <c r="H15" s="119">
        <v>8036.43</v>
      </c>
      <c r="I15" s="127">
        <f t="shared" si="0"/>
        <v>8036.43</v>
      </c>
      <c r="J15" s="172">
        <v>0</v>
      </c>
      <c r="K15" s="172">
        <f t="shared" si="8"/>
        <v>8036.43</v>
      </c>
      <c r="L15" s="172">
        <f t="shared" si="1"/>
        <v>5925.91</v>
      </c>
      <c r="M15" s="172">
        <f t="shared" si="9"/>
        <v>2110.5200000000004</v>
      </c>
      <c r="N15" s="173">
        <f t="shared" si="2"/>
        <v>0.21360000000000001</v>
      </c>
      <c r="O15" s="172">
        <f t="shared" si="10"/>
        <v>450.80707200000012</v>
      </c>
      <c r="P15" s="174">
        <f t="shared" si="3"/>
        <v>627.6</v>
      </c>
      <c r="Q15" s="172">
        <f t="shared" si="11"/>
        <v>1078.4070720000002</v>
      </c>
      <c r="R15" s="172">
        <f t="shared" si="4"/>
        <v>0</v>
      </c>
      <c r="S15" s="172">
        <f t="shared" si="12"/>
        <v>1078.4070720000002</v>
      </c>
      <c r="T15" s="127">
        <f t="shared" si="5"/>
        <v>0</v>
      </c>
      <c r="U15" s="127">
        <f t="shared" si="6"/>
        <v>1078.4070720000002</v>
      </c>
      <c r="V15" s="127">
        <f>SUM(U15:U15)</f>
        <v>1078.4070720000002</v>
      </c>
      <c r="W15" s="127">
        <f>I15+T15-V15</f>
        <v>6958.0229280000003</v>
      </c>
      <c r="X15" s="41"/>
    </row>
    <row r="16" spans="1:25" ht="65.25" customHeight="1" x14ac:dyDescent="0.2">
      <c r="A16" s="59" t="s">
        <v>106</v>
      </c>
      <c r="B16" s="139" t="s">
        <v>277</v>
      </c>
      <c r="C16" s="116" t="s">
        <v>145</v>
      </c>
      <c r="D16" s="121" t="s">
        <v>222</v>
      </c>
      <c r="E16" s="121" t="s">
        <v>87</v>
      </c>
      <c r="F16" s="133">
        <v>15</v>
      </c>
      <c r="G16" s="137">
        <f t="shared" si="7"/>
        <v>535.76200000000006</v>
      </c>
      <c r="H16" s="119">
        <v>8036.43</v>
      </c>
      <c r="I16" s="127">
        <f t="shared" si="0"/>
        <v>8036.43</v>
      </c>
      <c r="J16" s="172">
        <v>0</v>
      </c>
      <c r="K16" s="172">
        <f t="shared" si="8"/>
        <v>8036.43</v>
      </c>
      <c r="L16" s="172">
        <f t="shared" si="1"/>
        <v>5925.91</v>
      </c>
      <c r="M16" s="172">
        <f t="shared" si="9"/>
        <v>2110.5200000000004</v>
      </c>
      <c r="N16" s="173">
        <f t="shared" si="2"/>
        <v>0.21360000000000001</v>
      </c>
      <c r="O16" s="172">
        <f t="shared" si="10"/>
        <v>450.80707200000012</v>
      </c>
      <c r="P16" s="174">
        <f t="shared" si="3"/>
        <v>627.6</v>
      </c>
      <c r="Q16" s="172">
        <f t="shared" si="11"/>
        <v>1078.4070720000002</v>
      </c>
      <c r="R16" s="172">
        <f t="shared" si="4"/>
        <v>0</v>
      </c>
      <c r="S16" s="172">
        <f t="shared" si="12"/>
        <v>1078.4070720000002</v>
      </c>
      <c r="T16" s="127">
        <f t="shared" si="5"/>
        <v>0</v>
      </c>
      <c r="U16" s="127">
        <f t="shared" si="6"/>
        <v>1078.4070720000002</v>
      </c>
      <c r="V16" s="127">
        <f>SUM(U16:U16)</f>
        <v>1078.4070720000002</v>
      </c>
      <c r="W16" s="127">
        <f>I16+T16-V16</f>
        <v>6958.0229280000003</v>
      </c>
      <c r="X16" s="41"/>
    </row>
    <row r="17" spans="1:37" ht="65.25" customHeight="1" x14ac:dyDescent="0.2">
      <c r="A17" s="59" t="s">
        <v>107</v>
      </c>
      <c r="B17" s="139" t="s">
        <v>278</v>
      </c>
      <c r="C17" s="116" t="s">
        <v>145</v>
      </c>
      <c r="D17" s="121" t="s">
        <v>225</v>
      </c>
      <c r="E17" s="121" t="s">
        <v>87</v>
      </c>
      <c r="F17" s="133">
        <v>15</v>
      </c>
      <c r="G17" s="137">
        <f t="shared" si="7"/>
        <v>535.76200000000006</v>
      </c>
      <c r="H17" s="119">
        <v>8036.43</v>
      </c>
      <c r="I17" s="127">
        <f t="shared" si="0"/>
        <v>8036.43</v>
      </c>
      <c r="J17" s="172">
        <v>0</v>
      </c>
      <c r="K17" s="172">
        <f t="shared" si="8"/>
        <v>8036.43</v>
      </c>
      <c r="L17" s="172">
        <f t="shared" si="1"/>
        <v>5925.91</v>
      </c>
      <c r="M17" s="172">
        <f t="shared" si="9"/>
        <v>2110.5200000000004</v>
      </c>
      <c r="N17" s="173">
        <f t="shared" si="2"/>
        <v>0.21360000000000001</v>
      </c>
      <c r="O17" s="172">
        <f t="shared" si="10"/>
        <v>450.80707200000012</v>
      </c>
      <c r="P17" s="174">
        <f t="shared" si="3"/>
        <v>627.6</v>
      </c>
      <c r="Q17" s="172">
        <f t="shared" si="11"/>
        <v>1078.4070720000002</v>
      </c>
      <c r="R17" s="172">
        <f t="shared" si="4"/>
        <v>0</v>
      </c>
      <c r="S17" s="172">
        <f t="shared" si="12"/>
        <v>1078.4070720000002</v>
      </c>
      <c r="T17" s="127">
        <f t="shared" si="5"/>
        <v>0</v>
      </c>
      <c r="U17" s="127">
        <f t="shared" si="6"/>
        <v>1078.4070720000002</v>
      </c>
      <c r="V17" s="127">
        <f>SUM(U17:U17)</f>
        <v>1078.4070720000002</v>
      </c>
      <c r="W17" s="127">
        <f>I17+T17-V17</f>
        <v>6958.0229280000003</v>
      </c>
      <c r="X17" s="41"/>
    </row>
    <row r="18" spans="1:37" ht="65.25" customHeight="1" x14ac:dyDescent="0.2">
      <c r="A18" s="59" t="s">
        <v>108</v>
      </c>
      <c r="B18" s="139" t="s">
        <v>279</v>
      </c>
      <c r="C18" s="116" t="s">
        <v>145</v>
      </c>
      <c r="D18" s="121" t="s">
        <v>227</v>
      </c>
      <c r="E18" s="121" t="s">
        <v>87</v>
      </c>
      <c r="F18" s="133">
        <v>15</v>
      </c>
      <c r="G18" s="137">
        <f t="shared" si="7"/>
        <v>535.76200000000006</v>
      </c>
      <c r="H18" s="119">
        <v>8036.43</v>
      </c>
      <c r="I18" s="127">
        <f t="shared" si="0"/>
        <v>8036.43</v>
      </c>
      <c r="J18" s="172">
        <v>0</v>
      </c>
      <c r="K18" s="172">
        <f t="shared" si="8"/>
        <v>8036.43</v>
      </c>
      <c r="L18" s="172">
        <f t="shared" si="1"/>
        <v>5925.91</v>
      </c>
      <c r="M18" s="172">
        <f t="shared" si="9"/>
        <v>2110.5200000000004</v>
      </c>
      <c r="N18" s="173">
        <f t="shared" si="2"/>
        <v>0.21360000000000001</v>
      </c>
      <c r="O18" s="172">
        <f t="shared" si="10"/>
        <v>450.80707200000012</v>
      </c>
      <c r="P18" s="174">
        <f t="shared" si="3"/>
        <v>627.6</v>
      </c>
      <c r="Q18" s="172">
        <f t="shared" si="11"/>
        <v>1078.4070720000002</v>
      </c>
      <c r="R18" s="172">
        <f t="shared" si="4"/>
        <v>0</v>
      </c>
      <c r="S18" s="172">
        <f t="shared" si="12"/>
        <v>1078.4070720000002</v>
      </c>
      <c r="T18" s="127">
        <f t="shared" si="5"/>
        <v>0</v>
      </c>
      <c r="U18" s="127">
        <f t="shared" si="6"/>
        <v>1078.4070720000002</v>
      </c>
      <c r="V18" s="127">
        <f>SUM(U18:U18)</f>
        <v>1078.4070720000002</v>
      </c>
      <c r="W18" s="127">
        <f>I18+T18-V18</f>
        <v>6958.0229280000003</v>
      </c>
      <c r="X18" s="41"/>
    </row>
    <row r="19" spans="1:37" ht="21.75" customHeight="1" x14ac:dyDescent="0.2">
      <c r="A19" s="33"/>
      <c r="B19" s="33"/>
      <c r="C19" s="33"/>
      <c r="D19" s="33"/>
      <c r="E19" s="33"/>
      <c r="F19" s="33"/>
      <c r="G19" s="33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37" ht="40.5" customHeight="1" thickBot="1" x14ac:dyDescent="0.3">
      <c r="A20" s="303" t="s">
        <v>45</v>
      </c>
      <c r="B20" s="304"/>
      <c r="C20" s="304"/>
      <c r="D20" s="304"/>
      <c r="E20" s="304"/>
      <c r="F20" s="304"/>
      <c r="G20" s="305"/>
      <c r="H20" s="39">
        <f>SUM(H10:H19)</f>
        <v>72327.87</v>
      </c>
      <c r="I20" s="39">
        <f>SUM(I10:I19)</f>
        <v>72327.87</v>
      </c>
      <c r="J20" s="40">
        <f t="shared" ref="J20:S20" si="13">SUM(J10:J19)</f>
        <v>0</v>
      </c>
      <c r="K20" s="40">
        <f t="shared" si="13"/>
        <v>72327.87</v>
      </c>
      <c r="L20" s="40">
        <f t="shared" si="13"/>
        <v>53333.19</v>
      </c>
      <c r="M20" s="40">
        <f t="shared" si="13"/>
        <v>18994.680000000004</v>
      </c>
      <c r="N20" s="40">
        <f t="shared" si="13"/>
        <v>1.9224000000000001</v>
      </c>
      <c r="O20" s="40">
        <f t="shared" si="13"/>
        <v>4057.263648000001</v>
      </c>
      <c r="P20" s="40">
        <f t="shared" si="13"/>
        <v>5648.4000000000005</v>
      </c>
      <c r="Q20" s="40">
        <f t="shared" si="13"/>
        <v>9705.6636480000016</v>
      </c>
      <c r="R20" s="40">
        <f t="shared" si="13"/>
        <v>0</v>
      </c>
      <c r="S20" s="40">
        <f t="shared" si="13"/>
        <v>9705.6636480000016</v>
      </c>
      <c r="T20" s="39">
        <f>SUM(T10:T19)</f>
        <v>0</v>
      </c>
      <c r="U20" s="39">
        <f>SUM(U10:U19)</f>
        <v>9705.6636480000016</v>
      </c>
      <c r="V20" s="39">
        <f>SUM(V10:V19)</f>
        <v>9705.6636480000016</v>
      </c>
      <c r="W20" s="39">
        <f>SUM(W10:W19)</f>
        <v>62622.206351999994</v>
      </c>
    </row>
    <row r="21" spans="1:37" ht="13.5" thickTop="1" x14ac:dyDescent="0.2"/>
    <row r="23" spans="1:37" x14ac:dyDescent="0.2">
      <c r="X23" s="58"/>
    </row>
    <row r="25" spans="1:37" x14ac:dyDescent="0.2">
      <c r="D25" s="4" t="s">
        <v>249</v>
      </c>
    </row>
    <row r="26" spans="1:37" x14ac:dyDescent="0.2">
      <c r="D26" s="78" t="s">
        <v>234</v>
      </c>
      <c r="H26" s="4"/>
    </row>
    <row r="27" spans="1:37" x14ac:dyDescent="0.2">
      <c r="D27" s="51" t="s">
        <v>248</v>
      </c>
      <c r="E27" s="51"/>
      <c r="F27" s="51"/>
      <c r="G27" s="51"/>
      <c r="H27" s="51"/>
      <c r="I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J27" s="51"/>
      <c r="AK27" s="51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2020-07-16T14:41:33Z</cp:lastPrinted>
  <dcterms:created xsi:type="dcterms:W3CDTF">2000-05-05T04:08:27Z</dcterms:created>
  <dcterms:modified xsi:type="dcterms:W3CDTF">2023-09-13T19:00:42Z</dcterms:modified>
</cp:coreProperties>
</file>