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96BC8129-DB29-47CF-B1BD-53047895E297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35" l="1"/>
  <c r="J21" i="135" s="1"/>
  <c r="H21" i="135"/>
  <c r="Q21" i="135" l="1"/>
  <c r="M21" i="135"/>
  <c r="O21" i="135"/>
  <c r="K21" i="135"/>
  <c r="L21" i="135" s="1"/>
  <c r="N21" i="135" s="1"/>
  <c r="P21" i="135" s="1"/>
  <c r="K12" i="132"/>
  <c r="L12" i="132" s="1"/>
  <c r="J12" i="132"/>
  <c r="R21" i="135" l="1"/>
  <c r="T21" i="135" s="1"/>
  <c r="U21" i="135" s="1"/>
  <c r="S12" i="132"/>
  <c r="O12" i="132"/>
  <c r="Q12" i="132"/>
  <c r="M12" i="132"/>
  <c r="N12" i="132" s="1"/>
  <c r="S21" i="135" l="1"/>
  <c r="V21" i="135" s="1"/>
  <c r="P12" i="132"/>
  <c r="R12" i="132" s="1"/>
  <c r="T12" i="132" s="1"/>
  <c r="V12" i="132" s="1"/>
  <c r="W12" i="132" s="1"/>
  <c r="U12" i="132" l="1"/>
  <c r="X12" i="132" s="1"/>
  <c r="I22" i="135"/>
  <c r="J22" i="135" s="1"/>
  <c r="H22" i="135"/>
  <c r="I20" i="135"/>
  <c r="J20" i="135" s="1"/>
  <c r="H20" i="135"/>
  <c r="O22" i="135" l="1"/>
  <c r="K22" i="135"/>
  <c r="L22" i="135" s="1"/>
  <c r="Q22" i="135"/>
  <c r="M22" i="135"/>
  <c r="M20" i="135"/>
  <c r="O20" i="135"/>
  <c r="K20" i="135"/>
  <c r="L20" i="135" s="1"/>
  <c r="Q20" i="135"/>
  <c r="N22" i="135" l="1"/>
  <c r="P22" i="135" s="1"/>
  <c r="R22" i="135" s="1"/>
  <c r="S22" i="135" s="1"/>
  <c r="N20" i="135"/>
  <c r="P20" i="135" s="1"/>
  <c r="R20" i="135" s="1"/>
  <c r="T20" i="135" s="1"/>
  <c r="U20" i="135" s="1"/>
  <c r="I19" i="135"/>
  <c r="J19" i="135" s="1"/>
  <c r="H19" i="135"/>
  <c r="I18" i="135"/>
  <c r="J18" i="135" s="1"/>
  <c r="H18" i="135"/>
  <c r="T22" i="135" l="1"/>
  <c r="U22" i="135" s="1"/>
  <c r="V22" i="135" s="1"/>
  <c r="S20" i="135"/>
  <c r="V20" i="135" s="1"/>
  <c r="O18" i="135"/>
  <c r="Q18" i="135"/>
  <c r="M18" i="135"/>
  <c r="K18" i="135"/>
  <c r="L18" i="135" s="1"/>
  <c r="Q19" i="135"/>
  <c r="M19" i="135"/>
  <c r="O19" i="135"/>
  <c r="K19" i="135"/>
  <c r="L19" i="135" s="1"/>
  <c r="K33" i="123"/>
  <c r="L33" i="123" s="1"/>
  <c r="J33" i="123"/>
  <c r="N19" i="135" l="1"/>
  <c r="P19" i="135" s="1"/>
  <c r="R19" i="135" s="1"/>
  <c r="T19" i="135" s="1"/>
  <c r="U19" i="135" s="1"/>
  <c r="N18" i="135"/>
  <c r="P18" i="135" s="1"/>
  <c r="R18" i="135" s="1"/>
  <c r="T18" i="135" s="1"/>
  <c r="U18" i="135" s="1"/>
  <c r="Q33" i="123"/>
  <c r="M33" i="123"/>
  <c r="N33" i="123" s="1"/>
  <c r="S33" i="123"/>
  <c r="O33" i="123"/>
  <c r="H13" i="136"/>
  <c r="G13" i="136"/>
  <c r="J11" i="136"/>
  <c r="J13" i="136" s="1"/>
  <c r="I11" i="136"/>
  <c r="F11" i="136"/>
  <c r="S19" i="135" l="1"/>
  <c r="V19" i="135" s="1"/>
  <c r="S18" i="135"/>
  <c r="V18" i="135" s="1"/>
  <c r="P33" i="123"/>
  <c r="R33" i="123" s="1"/>
  <c r="T33" i="123" s="1"/>
  <c r="V33" i="123" s="1"/>
  <c r="W33" i="123" s="1"/>
  <c r="I13" i="136"/>
  <c r="K11" i="136"/>
  <c r="U33" i="123" l="1"/>
  <c r="X3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K13" i="132"/>
  <c r="L13" i="132" s="1"/>
  <c r="J13" i="132"/>
  <c r="K11" i="132"/>
  <c r="L11" i="132" s="1"/>
  <c r="J11" i="132"/>
  <c r="K10" i="132"/>
  <c r="L10" i="132" s="1"/>
  <c r="S10" i="132" s="1"/>
  <c r="J10" i="132"/>
  <c r="K12" i="134"/>
  <c r="L12" i="134" s="1"/>
  <c r="J12" i="134"/>
  <c r="K11" i="119"/>
  <c r="L11" i="119" s="1"/>
  <c r="J11" i="119"/>
  <c r="K10" i="119"/>
  <c r="L10" i="119" s="1"/>
  <c r="J10" i="119"/>
  <c r="N13" i="131" l="1"/>
  <c r="P13" i="131"/>
  <c r="L13" i="131"/>
  <c r="M13" i="131" s="1"/>
  <c r="R13" i="131"/>
  <c r="S13" i="120"/>
  <c r="O13" i="120"/>
  <c r="Q13" i="120"/>
  <c r="M13" i="120"/>
  <c r="N13" i="120" s="1"/>
  <c r="P13" i="120" s="1"/>
  <c r="S13" i="132"/>
  <c r="O13" i="132"/>
  <c r="Q13" i="132"/>
  <c r="M13" i="132"/>
  <c r="N13" i="132" s="1"/>
  <c r="S11" i="132"/>
  <c r="O11" i="132"/>
  <c r="Q11" i="132"/>
  <c r="M11" i="132"/>
  <c r="N11" i="132" s="1"/>
  <c r="M10" i="132"/>
  <c r="N10" i="132" s="1"/>
  <c r="Q10" i="132"/>
  <c r="O10" i="132"/>
  <c r="S12" i="134"/>
  <c r="O12" i="134"/>
  <c r="Q12" i="134"/>
  <c r="M12" i="134"/>
  <c r="N12" i="134" s="1"/>
  <c r="P12" i="134" s="1"/>
  <c r="R12" i="134" s="1"/>
  <c r="Q11" i="119"/>
  <c r="M11" i="119"/>
  <c r="N11" i="119" s="1"/>
  <c r="S11" i="119"/>
  <c r="O11" i="119"/>
  <c r="S10" i="119"/>
  <c r="O10" i="119"/>
  <c r="M10" i="119"/>
  <c r="N10" i="119" s="1"/>
  <c r="Q10" i="119"/>
  <c r="P10" i="119" l="1"/>
  <c r="R10" i="119" s="1"/>
  <c r="T10" i="119" s="1"/>
  <c r="U10" i="119" s="1"/>
  <c r="T12" i="134"/>
  <c r="U12" i="134" s="1"/>
  <c r="P11" i="119"/>
  <c r="R11" i="119" s="1"/>
  <c r="T11" i="119" s="1"/>
  <c r="V11" i="119" s="1"/>
  <c r="W11" i="119" s="1"/>
  <c r="O13" i="131"/>
  <c r="Q13" i="131" s="1"/>
  <c r="S13" i="131" s="1"/>
  <c r="T13" i="131" s="1"/>
  <c r="P13" i="132"/>
  <c r="R13" i="132" s="1"/>
  <c r="T13" i="132" s="1"/>
  <c r="V13" i="132" s="1"/>
  <c r="W13" i="132" s="1"/>
  <c r="P11" i="132"/>
  <c r="R11" i="132" s="1"/>
  <c r="T11" i="132" s="1"/>
  <c r="V11" i="132" s="1"/>
  <c r="W11" i="132" s="1"/>
  <c r="R13" i="120"/>
  <c r="T13" i="120" s="1"/>
  <c r="V13" i="120" s="1"/>
  <c r="W13" i="120" s="1"/>
  <c r="P10" i="132"/>
  <c r="R10" i="132" s="1"/>
  <c r="T10" i="132" s="1"/>
  <c r="U11" i="132" l="1"/>
  <c r="V12" i="134"/>
  <c r="W12" i="134" s="1"/>
  <c r="X12" i="134" s="1"/>
  <c r="V10" i="119"/>
  <c r="W10" i="119" s="1"/>
  <c r="X10" i="119" s="1"/>
  <c r="U11" i="119"/>
  <c r="X11" i="119" s="1"/>
  <c r="U13" i="131"/>
  <c r="V13" i="131" s="1"/>
  <c r="W13" i="131" s="1"/>
  <c r="U10" i="132"/>
  <c r="U13" i="132"/>
  <c r="X13" i="132" s="1"/>
  <c r="U13" i="120"/>
  <c r="X13" i="120" s="1"/>
  <c r="X11" i="132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K33" i="120"/>
  <c r="L33" i="120" s="1"/>
  <c r="J33" i="120"/>
  <c r="K32" i="120"/>
  <c r="L32" i="120" s="1"/>
  <c r="J32" i="120"/>
  <c r="V12" i="133" l="1"/>
  <c r="W12" i="133" s="1"/>
  <c r="U12" i="133"/>
  <c r="Q33" i="120"/>
  <c r="S33" i="120"/>
  <c r="O33" i="120"/>
  <c r="M33" i="120"/>
  <c r="N33" i="120" s="1"/>
  <c r="S32" i="120"/>
  <c r="O32" i="120"/>
  <c r="Q32" i="120"/>
  <c r="M32" i="120"/>
  <c r="N32" i="120" s="1"/>
  <c r="K10" i="133"/>
  <c r="L10" i="133" s="1"/>
  <c r="J10" i="133"/>
  <c r="G10" i="133"/>
  <c r="P32" i="120" l="1"/>
  <c r="R32" i="120" s="1"/>
  <c r="T32" i="120" s="1"/>
  <c r="P33" i="120"/>
  <c r="R33" i="120" s="1"/>
  <c r="T33" i="120" s="1"/>
  <c r="U33" i="120" s="1"/>
  <c r="X12" i="133"/>
  <c r="V32" i="120"/>
  <c r="W32" i="120" s="1"/>
  <c r="U32" i="120"/>
  <c r="S10" i="133"/>
  <c r="O10" i="133"/>
  <c r="Q10" i="133"/>
  <c r="M10" i="133"/>
  <c r="N10" i="133" s="1"/>
  <c r="V33" i="120" l="1"/>
  <c r="W33" i="120" s="1"/>
  <c r="X33" i="120" s="1"/>
  <c r="P10" i="133"/>
  <c r="R10" i="133" s="1"/>
  <c r="T10" i="133" s="1"/>
  <c r="V10" i="133" s="1"/>
  <c r="W10" i="133" s="1"/>
  <c r="X32" i="120"/>
  <c r="K27" i="121"/>
  <c r="L27" i="121" s="1"/>
  <c r="J27" i="121"/>
  <c r="U10" i="133" l="1"/>
  <c r="X10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1" i="133" l="1"/>
  <c r="L11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2" i="135"/>
  <c r="J12" i="135" s="1"/>
  <c r="I13" i="135"/>
  <c r="J13" i="135" s="1"/>
  <c r="K13" i="135" s="1"/>
  <c r="I14" i="135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1" i="123"/>
  <c r="L31" i="123" s="1"/>
  <c r="K29" i="123"/>
  <c r="L29" i="123" s="1"/>
  <c r="K27" i="123"/>
  <c r="L27" i="123" s="1"/>
  <c r="K22" i="123"/>
  <c r="K21" i="123"/>
  <c r="L21" i="123" s="1"/>
  <c r="K18" i="123"/>
  <c r="L18" i="123" s="1"/>
  <c r="K19" i="123"/>
  <c r="L19" i="123" s="1"/>
  <c r="K17" i="123"/>
  <c r="L17" i="123" s="1"/>
  <c r="K15" i="123"/>
  <c r="K13" i="123"/>
  <c r="K11" i="123"/>
  <c r="L11" i="123" s="1"/>
  <c r="K10" i="123"/>
  <c r="L10" i="123" s="1"/>
  <c r="K35" i="121"/>
  <c r="L35" i="121" s="1"/>
  <c r="K33" i="121"/>
  <c r="L33" i="121" s="1"/>
  <c r="K32" i="121"/>
  <c r="K30" i="121"/>
  <c r="L30" i="121" s="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M34" i="120" s="1"/>
  <c r="K35" i="120"/>
  <c r="L35" i="120" s="1"/>
  <c r="K10" i="120"/>
  <c r="L10" i="120" s="1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M18" i="120" s="1"/>
  <c r="K19" i="120"/>
  <c r="L19" i="120" s="1"/>
  <c r="K20" i="120"/>
  <c r="L20" i="120" s="1"/>
  <c r="M20" i="120" s="1"/>
  <c r="K9" i="120"/>
  <c r="L9" i="120" s="1"/>
  <c r="K10" i="134"/>
  <c r="L10" i="134" s="1"/>
  <c r="K10" i="127"/>
  <c r="L10" i="127" s="1"/>
  <c r="S10" i="127" s="1"/>
  <c r="K34" i="119"/>
  <c r="L34" i="119" s="1"/>
  <c r="K32" i="119"/>
  <c r="L32" i="119" s="1"/>
  <c r="K31" i="119"/>
  <c r="L31" i="119" s="1"/>
  <c r="K21" i="119"/>
  <c r="L21" i="119" s="1"/>
  <c r="K19" i="119"/>
  <c r="K18" i="119"/>
  <c r="L18" i="119" s="1"/>
  <c r="K16" i="119"/>
  <c r="K14" i="119"/>
  <c r="L14" i="119" s="1"/>
  <c r="K12" i="119"/>
  <c r="L12" i="119" s="1"/>
  <c r="J14" i="135"/>
  <c r="L13" i="123"/>
  <c r="L32" i="121"/>
  <c r="L22" i="123"/>
  <c r="L15" i="123"/>
  <c r="S15" i="123" s="1"/>
  <c r="L19" i="119"/>
  <c r="L16" i="119"/>
  <c r="Q26" i="121" l="1"/>
  <c r="O11" i="133"/>
  <c r="S11" i="133"/>
  <c r="M11" i="133"/>
  <c r="N11" i="133" s="1"/>
  <c r="Q11" i="133"/>
  <c r="O13" i="133"/>
  <c r="S13" i="133"/>
  <c r="M13" i="133"/>
  <c r="N13" i="133" s="1"/>
  <c r="Q13" i="133"/>
  <c r="O15" i="133"/>
  <c r="S15" i="133"/>
  <c r="M15" i="133"/>
  <c r="N15" i="133" s="1"/>
  <c r="Q15" i="133"/>
  <c r="S14" i="133"/>
  <c r="O14" i="133"/>
  <c r="N14" i="133"/>
  <c r="Q14" i="133"/>
  <c r="O11" i="118"/>
  <c r="M11" i="118"/>
  <c r="N11" i="118" s="1"/>
  <c r="P11" i="118" s="1"/>
  <c r="O35" i="120"/>
  <c r="M35" i="120"/>
  <c r="N35" i="120" s="1"/>
  <c r="Q35" i="120"/>
  <c r="Q11" i="118"/>
  <c r="M26" i="121"/>
  <c r="N26" i="121" s="1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O14" i="135"/>
  <c r="M10" i="135"/>
  <c r="Q10" i="135"/>
  <c r="O10" i="135"/>
  <c r="K10" i="135"/>
  <c r="L10" i="135" s="1"/>
  <c r="Q17" i="135"/>
  <c r="M15" i="135"/>
  <c r="Q13" i="135"/>
  <c r="L17" i="135"/>
  <c r="L15" i="135"/>
  <c r="L13" i="135"/>
  <c r="L11" i="135"/>
  <c r="M17" i="135"/>
  <c r="Q15" i="135"/>
  <c r="M13" i="135"/>
  <c r="Q11" i="135"/>
  <c r="M11" i="135"/>
  <c r="O17" i="135"/>
  <c r="O15" i="135"/>
  <c r="O13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4" i="120"/>
  <c r="O34" i="120"/>
  <c r="N34" i="120"/>
  <c r="S35" i="120"/>
  <c r="Q34" i="120"/>
  <c r="O12" i="120"/>
  <c r="S12" i="120"/>
  <c r="M12" i="120"/>
  <c r="N12" i="120" s="1"/>
  <c r="Q12" i="120"/>
  <c r="O16" i="120"/>
  <c r="S16" i="120"/>
  <c r="M16" i="120"/>
  <c r="N16" i="120" s="1"/>
  <c r="Q16" i="120"/>
  <c r="O19" i="120"/>
  <c r="S19" i="120"/>
  <c r="M19" i="120"/>
  <c r="N19" i="120" s="1"/>
  <c r="Q19" i="120"/>
  <c r="O14" i="120"/>
  <c r="S14" i="120"/>
  <c r="M14" i="120"/>
  <c r="N14" i="120" s="1"/>
  <c r="Q14" i="120"/>
  <c r="O10" i="120"/>
  <c r="S10" i="120"/>
  <c r="M10" i="120"/>
  <c r="N10" i="120" s="1"/>
  <c r="Q10" i="120"/>
  <c r="S20" i="120"/>
  <c r="O20" i="120"/>
  <c r="S18" i="120"/>
  <c r="O18" i="120"/>
  <c r="S17" i="120"/>
  <c r="O17" i="120"/>
  <c r="S15" i="120"/>
  <c r="O15" i="120"/>
  <c r="S11" i="120"/>
  <c r="O11" i="120"/>
  <c r="N20" i="120"/>
  <c r="N18" i="120"/>
  <c r="N17" i="120"/>
  <c r="N15" i="120"/>
  <c r="N11" i="120"/>
  <c r="Q20" i="120"/>
  <c r="Q18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P10" i="134" s="1"/>
  <c r="S10" i="134"/>
  <c r="Q10" i="134"/>
  <c r="M10" i="127"/>
  <c r="N10" i="127" s="1"/>
  <c r="Q10" i="127"/>
  <c r="O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N14" i="135" l="1"/>
  <c r="P14" i="135" s="1"/>
  <c r="R14" i="135" s="1"/>
  <c r="P27" i="123"/>
  <c r="R27" i="123" s="1"/>
  <c r="T27" i="123" s="1"/>
  <c r="P15" i="120"/>
  <c r="P13" i="133"/>
  <c r="R13" i="133" s="1"/>
  <c r="T13" i="133" s="1"/>
  <c r="P11" i="133"/>
  <c r="R11" i="133" s="1"/>
  <c r="T11" i="133" s="1"/>
  <c r="P14" i="133"/>
  <c r="R14" i="133" s="1"/>
  <c r="T14" i="133" s="1"/>
  <c r="P15" i="133"/>
  <c r="R15" i="133" s="1"/>
  <c r="T15" i="133" s="1"/>
  <c r="R11" i="118"/>
  <c r="T11" i="118" s="1"/>
  <c r="P22" i="123"/>
  <c r="P18" i="123"/>
  <c r="R18" i="123" s="1"/>
  <c r="T18" i="123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5" i="120"/>
  <c r="R35" i="120" s="1"/>
  <c r="T35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R10" i="134"/>
  <c r="T10" i="134" s="1"/>
  <c r="P10" i="120"/>
  <c r="R10" i="120" s="1"/>
  <c r="T10" i="120" s="1"/>
  <c r="P19" i="123"/>
  <c r="R19" i="123" s="1"/>
  <c r="T19" i="123" s="1"/>
  <c r="P21" i="123"/>
  <c r="R21" i="123" s="1"/>
  <c r="T21" i="123" s="1"/>
  <c r="P29" i="123"/>
  <c r="R29" i="123" s="1"/>
  <c r="T29" i="123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P9" i="120"/>
  <c r="R9" i="120" s="1"/>
  <c r="T9" i="120" s="1"/>
  <c r="P11" i="120"/>
  <c r="R11" i="120" s="1"/>
  <c r="T11" i="120" s="1"/>
  <c r="P18" i="120"/>
  <c r="R18" i="120" s="1"/>
  <c r="T18" i="120" s="1"/>
  <c r="P19" i="120"/>
  <c r="R19" i="120" s="1"/>
  <c r="T19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4" i="120"/>
  <c r="R34" i="120" s="1"/>
  <c r="T34" i="120" s="1"/>
  <c r="P10" i="121"/>
  <c r="R10" i="121" s="1"/>
  <c r="T10" i="121" s="1"/>
  <c r="P31" i="123"/>
  <c r="R31" i="123" s="1"/>
  <c r="T31" i="123" s="1"/>
  <c r="N12" i="135"/>
  <c r="P12" i="135" s="1"/>
  <c r="R12" i="135" s="1"/>
  <c r="N11" i="135"/>
  <c r="P11" i="135" s="1"/>
  <c r="R11" i="135" s="1"/>
  <c r="N13" i="135"/>
  <c r="P13" i="135" s="1"/>
  <c r="R13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R22" i="123"/>
  <c r="T22" i="123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20" i="120"/>
  <c r="R20" i="120" s="1"/>
  <c r="T20" i="120" s="1"/>
  <c r="R15" i="120"/>
  <c r="T15" i="120" s="1"/>
  <c r="P21" i="119"/>
  <c r="R21" i="119" s="1"/>
  <c r="T21" i="119" s="1"/>
  <c r="P10" i="127"/>
  <c r="R10" i="127" s="1"/>
  <c r="T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J20" i="120" l="1"/>
  <c r="V20" i="120" l="1"/>
  <c r="W20" i="120" s="1"/>
  <c r="J15" i="133"/>
  <c r="U20" i="120" l="1"/>
  <c r="X20" i="120" s="1"/>
  <c r="J15" i="121"/>
  <c r="V15" i="133" l="1"/>
  <c r="W15" i="133" s="1"/>
  <c r="J18" i="123"/>
  <c r="U15" i="133" l="1"/>
  <c r="X15" i="133" s="1"/>
  <c r="U18" i="123" l="1"/>
  <c r="U15" i="121"/>
  <c r="V15" i="121"/>
  <c r="W15" i="121" s="1"/>
  <c r="I33" i="119"/>
  <c r="H33" i="119"/>
  <c r="J27" i="123"/>
  <c r="J34" i="119"/>
  <c r="J33" i="119" s="1"/>
  <c r="J14" i="133"/>
  <c r="G14" i="133"/>
  <c r="V18" i="123" l="1"/>
  <c r="W18" i="123" s="1"/>
  <c r="X18" i="123" s="1"/>
  <c r="X15" i="121"/>
  <c r="V34" i="119" l="1"/>
  <c r="V27" i="123"/>
  <c r="W27" i="123" s="1"/>
  <c r="V14" i="133"/>
  <c r="W14" i="133" s="1"/>
  <c r="J18" i="120"/>
  <c r="G18" i="120"/>
  <c r="J13" i="121"/>
  <c r="J14" i="121"/>
  <c r="U34" i="119" l="1"/>
  <c r="U33" i="119" s="1"/>
  <c r="U27" i="123"/>
  <c r="X27" i="123" s="1"/>
  <c r="U14" i="133"/>
  <c r="X14" i="133" s="1"/>
  <c r="W34" i="119"/>
  <c r="W33" i="119" s="1"/>
  <c r="V33" i="119"/>
  <c r="V13" i="121"/>
  <c r="W13" i="121" s="1"/>
  <c r="U13" i="121"/>
  <c r="J9" i="120"/>
  <c r="J16" i="121"/>
  <c r="U18" i="120" l="1"/>
  <c r="X13" i="121"/>
  <c r="X34" i="119"/>
  <c r="X33" i="119" s="1"/>
  <c r="U14" i="121"/>
  <c r="V14" i="121"/>
  <c r="W14" i="121" s="1"/>
  <c r="V18" i="120" l="1"/>
  <c r="W18" i="120" s="1"/>
  <c r="X18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I31" i="121"/>
  <c r="H31" i="121"/>
  <c r="K31" i="121" l="1"/>
  <c r="L31" i="121"/>
  <c r="M31" i="121" l="1"/>
  <c r="Q31" i="121"/>
  <c r="S31" i="121"/>
  <c r="N31" i="121" l="1"/>
  <c r="J33" i="121" l="1"/>
  <c r="F23" i="135" l="1"/>
  <c r="G23" i="135"/>
  <c r="V33" i="121" l="1"/>
  <c r="W33" i="121" s="1"/>
  <c r="U33" i="121"/>
  <c r="H16" i="135"/>
  <c r="J16" i="120"/>
  <c r="X33" i="121" l="1"/>
  <c r="J13" i="133"/>
  <c r="J11" i="133" l="1"/>
  <c r="J19" i="121" l="1"/>
  <c r="J15" i="120"/>
  <c r="J15" i="123" l="1"/>
  <c r="I16" i="123" l="1"/>
  <c r="O23" i="135" l="1"/>
  <c r="K23" i="135"/>
  <c r="I23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3" i="135" l="1"/>
  <c r="J23" i="135"/>
  <c r="J21" i="123"/>
  <c r="L23" i="135" l="1"/>
  <c r="J10" i="123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N17" i="131"/>
  <c r="R17" i="131"/>
  <c r="M17" i="131"/>
  <c r="N11" i="131"/>
  <c r="P11" i="131"/>
  <c r="R11" i="131"/>
  <c r="L11" i="131"/>
  <c r="M11" i="131" s="1"/>
  <c r="O11" i="131" s="1"/>
  <c r="N12" i="131"/>
  <c r="P12" i="131"/>
  <c r="L12" i="131"/>
  <c r="M12" i="131" s="1"/>
  <c r="O12" i="131" s="1"/>
  <c r="Q12" i="131" s="1"/>
  <c r="S12" i="131" s="1"/>
  <c r="R12" i="131"/>
  <c r="L18" i="131"/>
  <c r="P18" i="131"/>
  <c r="R18" i="131"/>
  <c r="M18" i="131"/>
  <c r="N18" i="131"/>
  <c r="N16" i="131"/>
  <c r="P16" i="131"/>
  <c r="L16" i="131"/>
  <c r="M16" i="131" s="1"/>
  <c r="R16" i="131"/>
  <c r="R10" i="131"/>
  <c r="L10" i="131"/>
  <c r="M10" i="131" s="1"/>
  <c r="O10" i="131" s="1"/>
  <c r="Q10" i="131" s="1"/>
  <c r="P10" i="131"/>
  <c r="N10" i="131"/>
  <c r="L15" i="131"/>
  <c r="M15" i="131" s="1"/>
  <c r="N15" i="131"/>
  <c r="P15" i="131"/>
  <c r="R15" i="131"/>
  <c r="J13" i="123"/>
  <c r="I36" i="120"/>
  <c r="O15" i="131" l="1"/>
  <c r="Q15" i="131" s="1"/>
  <c r="S15" i="131" s="1"/>
  <c r="O16" i="131"/>
  <c r="O18" i="131"/>
  <c r="Q18" i="131" s="1"/>
  <c r="S18" i="131" s="1"/>
  <c r="S10" i="131"/>
  <c r="Q16" i="131"/>
  <c r="S16" i="131" s="1"/>
  <c r="Q11" i="131"/>
  <c r="S11" i="131" s="1"/>
  <c r="O17" i="131"/>
  <c r="Q17" i="131" s="1"/>
  <c r="S17" i="131" s="1"/>
  <c r="I9" i="121" l="1"/>
  <c r="I30" i="119"/>
  <c r="H30" i="119"/>
  <c r="I20" i="123" l="1"/>
  <c r="J14" i="120"/>
  <c r="J10" i="134" l="1"/>
  <c r="J35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4" i="120"/>
  <c r="G34" i="120"/>
  <c r="U10" i="120" l="1"/>
  <c r="X10" i="120" s="1"/>
  <c r="J11" i="121"/>
  <c r="G19" i="120"/>
  <c r="J19" i="120"/>
  <c r="J18" i="119" l="1"/>
  <c r="J14" i="119" l="1"/>
  <c r="J32" i="119" l="1"/>
  <c r="H28" i="121"/>
  <c r="H20" i="123"/>
  <c r="H16" i="123"/>
  <c r="H9" i="121" l="1"/>
  <c r="J29" i="121" l="1"/>
  <c r="J28" i="121" s="1"/>
  <c r="G17" i="120" l="1"/>
  <c r="J17" i="120" l="1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3" i="133" l="1"/>
  <c r="Q16" i="133"/>
  <c r="M16" i="133"/>
  <c r="K16" i="133"/>
  <c r="I16" i="133"/>
  <c r="U32" i="123" l="1"/>
  <c r="J32" i="123"/>
  <c r="G15" i="133"/>
  <c r="H16" i="133"/>
  <c r="N16" i="133" l="1"/>
  <c r="V32" i="123"/>
  <c r="J16" i="133"/>
  <c r="L16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J9" i="123"/>
  <c r="J35" i="123" s="1"/>
  <c r="J34" i="121"/>
  <c r="K37" i="121"/>
  <c r="K36" i="120"/>
  <c r="J12" i="120"/>
  <c r="J11" i="120"/>
  <c r="J37" i="121" l="1"/>
  <c r="L12" i="127"/>
  <c r="H14" i="118"/>
  <c r="L35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Q12" i="127" l="1"/>
  <c r="O12" i="127"/>
  <c r="S12" i="127"/>
  <c r="S14" i="135" l="1"/>
  <c r="S11" i="135"/>
  <c r="U21" i="123"/>
  <c r="S12" i="135"/>
  <c r="V13" i="123"/>
  <c r="U18" i="131"/>
  <c r="V18" i="131" s="1"/>
  <c r="Q23" i="135"/>
  <c r="U22" i="123"/>
  <c r="V22" i="123"/>
  <c r="W22" i="123" s="1"/>
  <c r="V29" i="121"/>
  <c r="U29" i="121"/>
  <c r="U34" i="120"/>
  <c r="V34" i="120"/>
  <c r="W34" i="120" s="1"/>
  <c r="S14" i="134"/>
  <c r="U11" i="133"/>
  <c r="V11" i="133"/>
  <c r="W11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19" i="120"/>
  <c r="W19" i="120" s="1"/>
  <c r="T15" i="131"/>
  <c r="U17" i="123"/>
  <c r="V17" i="123"/>
  <c r="W17" i="123" s="1"/>
  <c r="U35" i="120"/>
  <c r="V35" i="120"/>
  <c r="W35" i="120" s="1"/>
  <c r="V15" i="120"/>
  <c r="W15" i="120" s="1"/>
  <c r="U15" i="120"/>
  <c r="T16" i="135"/>
  <c r="U16" i="135" s="1"/>
  <c r="S16" i="135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3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6" i="133"/>
  <c r="V31" i="123"/>
  <c r="U31" i="123"/>
  <c r="U11" i="118"/>
  <c r="O16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6" i="120"/>
  <c r="O35" i="123"/>
  <c r="S36" i="119"/>
  <c r="S35" i="123"/>
  <c r="Q37" i="121"/>
  <c r="M36" i="120"/>
  <c r="M35" i="123"/>
  <c r="S14" i="118"/>
  <c r="O36" i="119"/>
  <c r="Q14" i="118"/>
  <c r="V12" i="120"/>
  <c r="W12" i="120" s="1"/>
  <c r="M12" i="127"/>
  <c r="Q35" i="123"/>
  <c r="S37" i="121"/>
  <c r="M36" i="119"/>
  <c r="Q36" i="119"/>
  <c r="O14" i="118"/>
  <c r="M14" i="118"/>
  <c r="M37" i="121"/>
  <c r="T14" i="135" l="1"/>
  <c r="U14" i="135" s="1"/>
  <c r="V14" i="135" s="1"/>
  <c r="V21" i="123"/>
  <c r="W21" i="123" s="1"/>
  <c r="W20" i="123" s="1"/>
  <c r="U15" i="131"/>
  <c r="V15" i="131" s="1"/>
  <c r="W15" i="131" s="1"/>
  <c r="U13" i="123"/>
  <c r="U12" i="123" s="1"/>
  <c r="V10" i="123"/>
  <c r="W10" i="123" s="1"/>
  <c r="X10" i="123" s="1"/>
  <c r="T18" i="131"/>
  <c r="W18" i="131" s="1"/>
  <c r="T12" i="135"/>
  <c r="U12" i="135" s="1"/>
  <c r="V12" i="135" s="1"/>
  <c r="X35" i="120"/>
  <c r="T11" i="135"/>
  <c r="U11" i="135" s="1"/>
  <c r="V11" i="135" s="1"/>
  <c r="U19" i="120"/>
  <c r="X19" i="120" s="1"/>
  <c r="X17" i="123"/>
  <c r="T12" i="131"/>
  <c r="W12" i="131" s="1"/>
  <c r="X11" i="133"/>
  <c r="X34" i="120"/>
  <c r="X22" i="123"/>
  <c r="X11" i="121"/>
  <c r="X26" i="121"/>
  <c r="X10" i="121"/>
  <c r="W16" i="131"/>
  <c r="W10" i="131"/>
  <c r="X17" i="120"/>
  <c r="W11" i="131"/>
  <c r="X13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U14" i="123"/>
  <c r="U20" i="123"/>
  <c r="V16" i="135"/>
  <c r="W15" i="123"/>
  <c r="W14" i="123" s="1"/>
  <c r="V14" i="123"/>
  <c r="N23" i="135"/>
  <c r="V13" i="135"/>
  <c r="X32" i="119"/>
  <c r="P31" i="121"/>
  <c r="U16" i="123"/>
  <c r="X19" i="121"/>
  <c r="W16" i="123"/>
  <c r="V16" i="123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N35" i="123"/>
  <c r="U12" i="120"/>
  <c r="N36" i="119"/>
  <c r="U21" i="119"/>
  <c r="U20" i="119" s="1"/>
  <c r="V21" i="119"/>
  <c r="U15" i="119"/>
  <c r="N37" i="121"/>
  <c r="N12" i="127"/>
  <c r="U31" i="119"/>
  <c r="U30" i="119" s="1"/>
  <c r="V31" i="119"/>
  <c r="V30" i="119" s="1"/>
  <c r="N14" i="118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3" i="135"/>
  <c r="X13" i="123"/>
  <c r="X12" i="123" s="1"/>
  <c r="X16" i="123"/>
  <c r="R31" i="121"/>
  <c r="W9" i="121"/>
  <c r="W11" i="120"/>
  <c r="X9" i="121"/>
  <c r="U11" i="120"/>
  <c r="R16" i="133"/>
  <c r="X31" i="123"/>
  <c r="X30" i="123" s="1"/>
  <c r="X28" i="123"/>
  <c r="U13" i="119"/>
  <c r="W17" i="119"/>
  <c r="T15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4" i="118"/>
  <c r="P12" i="127"/>
  <c r="P37" i="121"/>
  <c r="P35" i="123"/>
  <c r="P36" i="119"/>
  <c r="X10" i="134" l="1"/>
  <c r="X9" i="134" s="1"/>
  <c r="X14" i="134" s="1"/>
  <c r="T9" i="135"/>
  <c r="S9" i="135"/>
  <c r="R23" i="135"/>
  <c r="T31" i="121"/>
  <c r="V32" i="121"/>
  <c r="U32" i="121"/>
  <c r="X11" i="120"/>
  <c r="T16" i="133"/>
  <c r="X17" i="119"/>
  <c r="X35" i="121"/>
  <c r="X34" i="121" s="1"/>
  <c r="V15" i="132"/>
  <c r="W15" i="132"/>
  <c r="U15" i="132"/>
  <c r="S20" i="131"/>
  <c r="X13" i="119"/>
  <c r="X15" i="119"/>
  <c r="X21" i="119"/>
  <c r="X20" i="119" s="1"/>
  <c r="X31" i="119"/>
  <c r="X30" i="119" s="1"/>
  <c r="R37" i="121"/>
  <c r="R35" i="123"/>
  <c r="R12" i="127"/>
  <c r="R14" i="118"/>
  <c r="R36" i="119"/>
  <c r="S23" i="135" l="1"/>
  <c r="T23" i="135"/>
  <c r="U9" i="135"/>
  <c r="U23" i="135" s="1"/>
  <c r="V31" i="121"/>
  <c r="V37" i="121" s="1"/>
  <c r="W32" i="121"/>
  <c r="W31" i="121" s="1"/>
  <c r="U31" i="121"/>
  <c r="U37" i="121" s="1"/>
  <c r="W16" i="133"/>
  <c r="V16" i="133"/>
  <c r="U16" i="133"/>
  <c r="X15" i="132"/>
  <c r="V20" i="131"/>
  <c r="U20" i="131"/>
  <c r="T20" i="131"/>
  <c r="U10" i="127"/>
  <c r="V10" i="127"/>
  <c r="T12" i="127"/>
  <c r="V9" i="119"/>
  <c r="V36" i="119" s="1"/>
  <c r="T36" i="119"/>
  <c r="U9" i="119"/>
  <c r="U36" i="119" s="1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3" i="135" s="1"/>
  <c r="X32" i="121"/>
  <c r="X31" i="121" s="1"/>
  <c r="X16" i="133"/>
  <c r="W20" i="131"/>
  <c r="W37" i="121"/>
  <c r="U12" i="127"/>
  <c r="V12" i="127"/>
  <c r="W10" i="127"/>
  <c r="W12" i="127" s="1"/>
  <c r="W9" i="119"/>
  <c r="W36" i="119" s="1"/>
  <c r="W9" i="123"/>
  <c r="W35" i="123" s="1"/>
  <c r="W10" i="118"/>
  <c r="W14" i="118" s="1"/>
  <c r="X37" i="121" l="1"/>
  <c r="X10" i="127"/>
  <c r="X12" i="127" s="1"/>
  <c r="X9" i="119"/>
  <c r="X36" i="119" s="1"/>
  <c r="X9" i="123"/>
  <c r="X35" i="123" s="1"/>
  <c r="X10" i="118"/>
  <c r="X14" i="118" s="1"/>
  <c r="H36" i="120"/>
  <c r="G9" i="120"/>
  <c r="S36" i="120" l="1"/>
  <c r="O36" i="120"/>
  <c r="L36" i="120"/>
  <c r="N36" i="120"/>
  <c r="J36" i="120"/>
  <c r="P36" i="120" l="1"/>
  <c r="R36" i="120" l="1"/>
  <c r="T36" i="120" l="1"/>
  <c r="U36" i="120" l="1"/>
  <c r="W36" i="120"/>
  <c r="V36" i="120" l="1"/>
  <c r="X36" i="120"/>
</calcChain>
</file>

<file path=xl/sharedStrings.xml><?xml version="1.0" encoding="utf-8"?>
<sst xmlns="http://schemas.openxmlformats.org/spreadsheetml/2006/main" count="1298" uniqueCount="377">
  <si>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</si>
  <si>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</si>
  <si>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</si>
  <si>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</si>
  <si>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</si>
  <si>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</si>
  <si>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</si>
  <si>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</si>
  <si>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</si>
  <si>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</si>
  <si>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</si>
  <si>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</si>
  <si>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</si>
  <si>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</si>
  <si>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</si>
  <si>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</si>
  <si>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</si>
  <si>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</si>
  <si>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</si>
  <si>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</si>
  <si>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</si>
  <si>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</si>
  <si>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</si>
  <si>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</si>
  <si>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</si>
  <si>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</si>
  <si>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</si>
  <si>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</si>
  <si>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</si>
  <si>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</si>
  <si>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</si>
  <si>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</si>
  <si>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</si>
  <si>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</si>
  <si>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</si>
  <si>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</si>
  <si>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</si>
  <si>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</si>
  <si>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</si>
  <si>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</si>
  <si>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</si>
  <si>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</si>
  <si>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</si>
  <si>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</si>
  <si>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</si>
  <si>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</si>
  <si>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</si>
  <si>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</si>
  <si>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</si>
  <si>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</si>
  <si>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</si>
  <si>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</si>
  <si>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</si>
  <si>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</si>
  <si>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</si>
  <si>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</si>
  <si>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</si>
  <si>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</si>
  <si>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</si>
  <si>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</si>
  <si>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</si>
  <si>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</si>
  <si>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</si>
  <si>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</si>
  <si>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</si>
  <si>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</si>
  <si>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</si>
  <si>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</si>
  <si>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</si>
  <si>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</si>
  <si>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</si>
  <si>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</si>
  <si>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</si>
  <si>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</si>
  <si>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</si>
  <si>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</si>
  <si>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</si>
  <si>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</si>
  <si>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</si>
  <si>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</si>
  <si>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</si>
  <si>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</si>
  <si>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</si>
  <si>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</si>
  <si>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</si>
  <si>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</si>
  <si>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</si>
  <si>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</si>
  <si>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</si>
  <si>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</si>
  <si>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</si>
  <si>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</si>
  <si>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</si>
  <si>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</si>
  <si>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</si>
  <si>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</si>
  <si>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</si>
  <si>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</si>
  <si>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</si>
  <si>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</si>
  <si>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</si>
  <si>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</si>
  <si>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</si>
  <si>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</si>
  <si>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</si>
  <si>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</si>
  <si>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</si>
  <si>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</si>
  <si>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</si>
  <si>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</si>
  <si>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</si>
  <si>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</si>
  <si>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</si>
  <si>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</si>
  <si>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</si>
  <si>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</si>
  <si>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</si>
  <si>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</si>
  <si>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</si>
  <si>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</si>
  <si>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</si>
  <si>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</si>
  <si>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</si>
  <si>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</si>
  <si>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</si>
  <si>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</si>
  <si>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</si>
  <si>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</si>
  <si>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</si>
  <si>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</si>
  <si>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</si>
  <si>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</si>
  <si>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</si>
  <si>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</si>
  <si>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</si>
  <si>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</si>
  <si>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</si>
  <si>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</si>
  <si>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</si>
  <si>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</si>
  <si>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</si>
  <si>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</si>
  <si>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</si>
  <si>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</si>
  <si>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</si>
  <si>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</si>
  <si>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</si>
  <si>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</si>
  <si>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</si>
  <si>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</si>
  <si>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</si>
  <si>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</si>
  <si>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</si>
  <si>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</si>
  <si>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</si>
  <si>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</si>
  <si>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</si>
  <si>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</si>
  <si>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</si>
  <si>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</si>
  <si>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</si>
  <si>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</si>
  <si>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</si>
  <si>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</si>
  <si>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</si>
  <si>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</si>
  <si>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</si>
  <si>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</si>
  <si>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</si>
  <si>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</si>
  <si>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</si>
  <si>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</si>
  <si>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</si>
  <si>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</si>
  <si>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</si>
  <si>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</si>
  <si>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</si>
  <si>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</si>
  <si>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</si>
  <si>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</si>
  <si>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</si>
  <si>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</si>
  <si>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</si>
  <si>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</si>
  <si>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</si>
  <si>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</si>
  <si>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</si>
  <si>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</si>
  <si>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</si>
  <si>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</si>
  <si>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</si>
  <si>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</si>
  <si>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</si>
  <si>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</si>
  <si>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</si>
  <si>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</si>
  <si>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</si>
  <si>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</si>
  <si>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</si>
  <si>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</si>
  <si>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</si>
  <si>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</si>
  <si>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</si>
  <si>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</si>
  <si>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</si>
  <si>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</si>
  <si>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</si>
  <si>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</si>
  <si>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</si>
  <si>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</si>
  <si>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</si>
  <si>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</si>
  <si>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</si>
  <si>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</si>
  <si>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</si>
  <si>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</si>
  <si>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</si>
  <si>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</si>
  <si>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</si>
  <si>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</si>
  <si>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</si>
  <si>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</si>
  <si>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</si>
  <si>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</si>
  <si>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</si>
  <si>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</si>
  <si>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</si>
  <si>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</si>
  <si>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</si>
  <si>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</si>
  <si>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</si>
  <si>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</si>
  <si>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</si>
  <si>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</si>
  <si>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</si>
  <si>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</si>
  <si>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</si>
  <si>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</si>
  <si>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</si>
  <si>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</si>
  <si>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</si>
  <si>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</si>
  <si>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</si>
  <si>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</si>
  <si>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</si>
  <si>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</si>
  <si>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</si>
  <si>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</si>
  <si>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</si>
  <si>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</si>
  <si>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</si>
  <si>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</si>
  <si>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</si>
  <si>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</si>
  <si>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</si>
  <si>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</si>
  <si>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</si>
  <si>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</si>
  <si>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</si>
  <si>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</si>
  <si>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</si>
  <si>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</si>
  <si>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</si>
  <si>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</si>
  <si>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</si>
  <si>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</si>
  <si>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</si>
  <si>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</si>
  <si>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</si>
  <si>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</si>
  <si>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</si>
  <si>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</si>
  <si>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</si>
  <si>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</si>
  <si>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</si>
  <si>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</si>
  <si>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</si>
  <si>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</si>
  <si>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</si>
  <si>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</si>
  <si>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</si>
  <si>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</si>
  <si>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</si>
  <si>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</si>
  <si>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</si>
  <si>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</si>
  <si>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</si>
  <si>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</si>
  <si>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</si>
  <si>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</si>
  <si>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</si>
  <si>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</si>
  <si>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</si>
  <si>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</si>
  <si>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</si>
  <si>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</si>
  <si>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</si>
  <si>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</si>
  <si>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</si>
  <si>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</si>
  <si>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</si>
  <si>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</si>
  <si>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</si>
  <si>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</si>
  <si>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</si>
  <si>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</si>
  <si>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</si>
  <si>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</si>
  <si>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</si>
  <si>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</si>
  <si>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</si>
  <si>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</si>
  <si>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</si>
  <si>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</si>
  <si>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</si>
  <si>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</si>
  <si>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</si>
  <si>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</si>
  <si>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</si>
  <si>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</si>
  <si>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</si>
  <si>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</si>
  <si>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</si>
  <si>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</si>
  <si>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</si>
  <si>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</si>
  <si>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</si>
  <si>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</si>
  <si>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</si>
  <si>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</si>
  <si>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</si>
  <si>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</si>
  <si>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</si>
  <si>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</si>
  <si>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</si>
  <si>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</si>
  <si>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</si>
  <si>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</si>
  <si>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</si>
  <si>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</si>
  <si>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</si>
  <si>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</si>
  <si>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</si>
  <si>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</si>
  <si>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</si>
  <si>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</si>
  <si>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</si>
  <si>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</si>
  <si>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</si>
  <si>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</si>
  <si>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</si>
  <si>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</si>
  <si>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</si>
  <si>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254</t>
  </si>
  <si>
    <t>244</t>
  </si>
  <si>
    <t>258</t>
  </si>
  <si>
    <t>TITULAR DEL ORGANO INTERNO DE CONTROL</t>
  </si>
  <si>
    <t>PRESIDENTE MUNICIPAL INTERINO</t>
  </si>
  <si>
    <t>GUILLERMINA GARCIA VASTRO</t>
  </si>
  <si>
    <t>ROGELIO RAMIREZ CONTRERAS</t>
  </si>
  <si>
    <t>SECRETARIO GENERAL INTERINO</t>
  </si>
  <si>
    <t>262</t>
  </si>
  <si>
    <t>ERIDANI OROZCO VILLALOBOS</t>
  </si>
  <si>
    <t>JUEZ MUNICIPAL INTERINO</t>
  </si>
  <si>
    <t>DIAS</t>
  </si>
  <si>
    <t>OFELIA RODRIGUEZ AVELAR</t>
  </si>
  <si>
    <t>263</t>
  </si>
  <si>
    <t>261</t>
  </si>
  <si>
    <t>R E G I D O R              S U P L E N T E</t>
  </si>
  <si>
    <t xml:space="preserve">                                          C. GUILLERMINA GARCIA CASTRO</t>
  </si>
  <si>
    <t xml:space="preserve">                                                PRESIDENTE MUNICIPAL INTERINO</t>
  </si>
  <si>
    <t xml:space="preserve">                                                       ______________________________________</t>
  </si>
  <si>
    <t xml:space="preserve">                    ___________________________________</t>
  </si>
  <si>
    <t>264</t>
  </si>
  <si>
    <t>SUELDO  DEL 16 AL 31 DE MAYO DE 2021</t>
  </si>
  <si>
    <t>SUELDO  DEL 01 AL 15 DE JUNIO DE 2021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</si>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</sst>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43" fontId="18" fillId="0" borderId="3" xfId="2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1" t="s">
        <v>348</v>
      </c>
    </row>
    <row r="3" spans="1:9" x14ac:dyDescent="0.2">
      <c r="B3" s="8" t="s">
        <v>49</v>
      </c>
      <c r="C3" s="7"/>
      <c r="D3" s="7"/>
      <c r="E3" s="7"/>
      <c r="F3" s="7"/>
      <c r="G3" s="7"/>
      <c r="I3" s="290">
        <v>141.69999999999999</v>
      </c>
    </row>
    <row r="4" spans="1:9" x14ac:dyDescent="0.2">
      <c r="B4" s="19" t="s">
        <v>346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03" t="s">
        <v>11</v>
      </c>
      <c r="C7" s="303"/>
      <c r="D7" s="303"/>
      <c r="E7" s="7"/>
      <c r="F7" s="296" t="s">
        <v>50</v>
      </c>
      <c r="G7" s="297"/>
      <c r="I7" s="291" t="s">
        <v>349</v>
      </c>
    </row>
    <row r="8" spans="1:9" ht="14.25" customHeight="1" x14ac:dyDescent="0.2">
      <c r="B8" s="300" t="s">
        <v>10</v>
      </c>
      <c r="C8" s="300"/>
      <c r="D8" s="300"/>
      <c r="E8" s="7"/>
      <c r="F8" s="301" t="s">
        <v>51</v>
      </c>
      <c r="G8" s="302"/>
      <c r="I8" s="290">
        <v>89.62</v>
      </c>
    </row>
    <row r="9" spans="1:9" ht="8.25" customHeight="1" x14ac:dyDescent="0.2">
      <c r="B9" s="304"/>
      <c r="C9" s="304"/>
      <c r="D9" s="304"/>
      <c r="E9" s="7"/>
      <c r="F9" s="298"/>
      <c r="G9" s="299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347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96" t="s">
        <v>55</v>
      </c>
      <c r="G32" s="297"/>
    </row>
    <row r="33" spans="2:7" x14ac:dyDescent="0.2">
      <c r="E33" s="7"/>
      <c r="F33" s="301" t="s">
        <v>56</v>
      </c>
      <c r="G33" s="302"/>
    </row>
    <row r="34" spans="2:7" ht="5.25" customHeight="1" x14ac:dyDescent="0.2">
      <c r="E34" s="7"/>
      <c r="F34" s="298"/>
      <c r="G34" s="299"/>
    </row>
    <row r="35" spans="2:7" x14ac:dyDescent="0.2">
      <c r="B35" s="303" t="s">
        <v>11</v>
      </c>
      <c r="C35" s="303"/>
      <c r="D35" s="303"/>
      <c r="E35" s="7"/>
      <c r="F35" s="9" t="s">
        <v>17</v>
      </c>
      <c r="G35" s="9" t="s">
        <v>18</v>
      </c>
    </row>
    <row r="36" spans="2:7" x14ac:dyDescent="0.2">
      <c r="B36" s="300" t="s">
        <v>10</v>
      </c>
      <c r="C36" s="300"/>
      <c r="D36" s="300"/>
      <c r="E36" s="7"/>
      <c r="F36" s="9"/>
      <c r="G36" s="9" t="s">
        <v>19</v>
      </c>
    </row>
    <row r="37" spans="2:7" x14ac:dyDescent="0.2">
      <c r="B37" s="304"/>
      <c r="C37" s="304"/>
      <c r="D37" s="304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1.28515625" customWidth="1"/>
    <col min="4" max="4" width="17" customWidth="1"/>
    <col min="5" max="6" width="0" hidden="1" customWidth="1"/>
    <col min="10" max="19" width="0" hidden="1" customWidth="1"/>
    <col min="24" max="24" width="45.42578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ht="15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319" t="s">
        <v>1</v>
      </c>
      <c r="H7" s="320"/>
      <c r="I7" s="321"/>
      <c r="J7" s="24" t="s">
        <v>26</v>
      </c>
      <c r="K7" s="25"/>
      <c r="L7" s="322" t="s">
        <v>9</v>
      </c>
      <c r="M7" s="323"/>
      <c r="N7" s="323"/>
      <c r="O7" s="323"/>
      <c r="P7" s="323"/>
      <c r="Q7" s="324"/>
      <c r="R7" s="24" t="s">
        <v>30</v>
      </c>
      <c r="S7" s="24" t="s">
        <v>10</v>
      </c>
      <c r="T7" s="23" t="s">
        <v>54</v>
      </c>
      <c r="U7" s="325" t="s">
        <v>2</v>
      </c>
      <c r="V7" s="326"/>
      <c r="W7" s="23" t="s">
        <v>0</v>
      </c>
      <c r="X7" s="42"/>
    </row>
    <row r="8" spans="1:25" ht="22.5" x14ac:dyDescent="0.2">
      <c r="A8" s="61" t="s">
        <v>118</v>
      </c>
      <c r="B8" s="61" t="s">
        <v>140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44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43"/>
    </row>
    <row r="10" spans="1:25" ht="15" x14ac:dyDescent="0.25">
      <c r="A10" s="47"/>
      <c r="B10" s="47"/>
      <c r="C10" s="129" t="s">
        <v>84</v>
      </c>
      <c r="D10" s="46" t="s">
        <v>62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7"/>
      <c r="U10" s="47"/>
      <c r="V10" s="47"/>
      <c r="W10" s="47"/>
      <c r="X10" s="130"/>
    </row>
    <row r="11" spans="1:25" ht="91.5" customHeight="1" x14ac:dyDescent="0.2">
      <c r="A11" s="136" t="s">
        <v>251</v>
      </c>
      <c r="B11" s="62" t="s">
        <v>139</v>
      </c>
      <c r="C11" s="164" t="s">
        <v>213</v>
      </c>
      <c r="D11" s="164" t="s">
        <v>63</v>
      </c>
      <c r="E11" s="165">
        <v>15</v>
      </c>
      <c r="F11" s="166">
        <f>G11/E11</f>
        <v>933.73333333333335</v>
      </c>
      <c r="G11" s="167">
        <v>14006</v>
      </c>
      <c r="H11" s="168">
        <v>0</v>
      </c>
      <c r="I11" s="169">
        <f>SUM(G11:H11)</f>
        <v>14006</v>
      </c>
      <c r="J11" s="170">
        <f>H11/2</f>
        <v>0</v>
      </c>
      <c r="K11" s="170">
        <f>G11+J11</f>
        <v>14006</v>
      </c>
      <c r="L11" s="170">
        <f t="shared" ref="L11" si="0">VLOOKUP(K11,Tarifa1,1)</f>
        <v>13316.71</v>
      </c>
      <c r="M11" s="170">
        <f>K11-L11</f>
        <v>689.29000000000087</v>
      </c>
      <c r="N11" s="171">
        <f t="shared" ref="N11" si="1">VLOOKUP(K11,Tarifa1,3)</f>
        <v>0.23519999999999999</v>
      </c>
      <c r="O11" s="170">
        <f>M11*N11</f>
        <v>162.12100800000019</v>
      </c>
      <c r="P11" s="172">
        <f t="shared" ref="P11" si="2">VLOOKUP(K11,Tarifa1,2)</f>
        <v>2133.3000000000002</v>
      </c>
      <c r="Q11" s="170">
        <f>O11+P11</f>
        <v>2295.4210080000003</v>
      </c>
      <c r="R11" s="170">
        <f t="shared" ref="R11" si="3">VLOOKUP(K11,Credito1,2)</f>
        <v>0</v>
      </c>
      <c r="S11" s="170">
        <f>Q11-R11</f>
        <v>2295.4210080000003</v>
      </c>
      <c r="T11" s="169">
        <f>-IF(S11&gt;0,0,S11)</f>
        <v>0</v>
      </c>
      <c r="U11" s="169">
        <f>IF(S11&lt;0,0,S11)</f>
        <v>2295.4210080000003</v>
      </c>
      <c r="V11" s="169">
        <f>SUM(U11:U11)</f>
        <v>2295.4210080000003</v>
      </c>
      <c r="W11" s="169">
        <f>I11+T11-V11</f>
        <v>11710.578991999999</v>
      </c>
      <c r="X11" s="185"/>
    </row>
    <row r="12" spans="1:25" x14ac:dyDescent="0.2">
      <c r="A12" s="56"/>
      <c r="B12" s="56"/>
      <c r="C12" s="56"/>
      <c r="D12" s="56"/>
      <c r="E12" s="57"/>
      <c r="F12" s="56"/>
      <c r="G12" s="34"/>
      <c r="H12" s="34"/>
      <c r="I12" s="34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5" ht="41.25" customHeight="1" thickBot="1" x14ac:dyDescent="0.3">
      <c r="A13" s="306"/>
      <c r="B13" s="306"/>
      <c r="C13" s="306"/>
      <c r="D13" s="306"/>
      <c r="E13" s="306"/>
      <c r="F13" s="307"/>
      <c r="G13" s="39">
        <f t="shared" ref="G13:W13" si="4">SUM(G11:G12)</f>
        <v>14006</v>
      </c>
      <c r="H13" s="39">
        <f t="shared" si="4"/>
        <v>0</v>
      </c>
      <c r="I13" s="39">
        <f t="shared" si="4"/>
        <v>14006</v>
      </c>
      <c r="J13" s="40">
        <f t="shared" si="4"/>
        <v>0</v>
      </c>
      <c r="K13" s="40">
        <f t="shared" si="4"/>
        <v>14006</v>
      </c>
      <c r="L13" s="40">
        <f t="shared" si="4"/>
        <v>13316.71</v>
      </c>
      <c r="M13" s="40">
        <f t="shared" si="4"/>
        <v>689.29000000000087</v>
      </c>
      <c r="N13" s="40">
        <f t="shared" si="4"/>
        <v>0.23519999999999999</v>
      </c>
      <c r="O13" s="40">
        <f t="shared" si="4"/>
        <v>162.12100800000019</v>
      </c>
      <c r="P13" s="40">
        <f t="shared" si="4"/>
        <v>2133.3000000000002</v>
      </c>
      <c r="Q13" s="40">
        <f t="shared" si="4"/>
        <v>2295.4210080000003</v>
      </c>
      <c r="R13" s="40">
        <f t="shared" si="4"/>
        <v>0</v>
      </c>
      <c r="S13" s="40">
        <f t="shared" si="4"/>
        <v>2295.4210080000003</v>
      </c>
      <c r="T13" s="39">
        <f t="shared" si="4"/>
        <v>0</v>
      </c>
      <c r="U13" s="39">
        <f t="shared" si="4"/>
        <v>2295.4210080000003</v>
      </c>
      <c r="V13" s="39">
        <f t="shared" si="4"/>
        <v>2295.4210080000003</v>
      </c>
      <c r="W13" s="39">
        <f t="shared" si="4"/>
        <v>11710.578991999999</v>
      </c>
    </row>
    <row r="14" spans="1:25" ht="13.5" thickTop="1" x14ac:dyDescent="0.2"/>
    <row r="24" spans="3:24" ht="14.25" x14ac:dyDescent="0.2">
      <c r="C24" s="186" t="s">
        <v>372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 t="s">
        <v>261</v>
      </c>
      <c r="V24" s="186"/>
      <c r="W24" s="186"/>
      <c r="X24" s="186"/>
    </row>
    <row r="25" spans="3:24" ht="15" x14ac:dyDescent="0.25">
      <c r="C25" s="78" t="s">
        <v>369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91" t="s">
        <v>228</v>
      </c>
      <c r="V25" s="186"/>
      <c r="W25" s="186"/>
      <c r="X25" s="186"/>
    </row>
    <row r="26" spans="3:24" ht="15" x14ac:dyDescent="0.25">
      <c r="C26" s="78" t="s">
        <v>370</v>
      </c>
      <c r="D26" s="191"/>
      <c r="E26" s="191"/>
      <c r="F26" s="191"/>
      <c r="G26" s="191"/>
      <c r="H26" s="191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91" t="s">
        <v>95</v>
      </c>
      <c r="V26" s="191"/>
      <c r="W26" s="191"/>
      <c r="X26" s="191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10" workbookViewId="0">
      <selection activeCell="W10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98</v>
      </c>
      <c r="B10" s="62" t="s">
        <v>143</v>
      </c>
      <c r="C10" s="62" t="s">
        <v>139</v>
      </c>
      <c r="D10" s="174" t="s">
        <v>144</v>
      </c>
      <c r="E10" s="164" t="s">
        <v>142</v>
      </c>
      <c r="F10" s="165">
        <v>0</v>
      </c>
      <c r="G10" s="166" t="e">
        <f>H10/F10</f>
        <v>#DIV/0!</v>
      </c>
      <c r="H10" s="167">
        <v>4092.62</v>
      </c>
      <c r="I10" s="168">
        <v>0</v>
      </c>
      <c r="J10" s="169">
        <f>SUM(H10:I10)</f>
        <v>4092.62</v>
      </c>
      <c r="K10" s="170">
        <f t="shared" ref="K10" si="0">IF(H10/15&lt;=SMG,0,I10/2)</f>
        <v>0</v>
      </c>
      <c r="L10" s="170">
        <f t="shared" ref="L10" si="1">H10+K10</f>
        <v>4092.62</v>
      </c>
      <c r="M10" s="170">
        <f t="shared" ref="M10" si="2">VLOOKUP(L10,Tarifa1,1)</f>
        <v>2699.41</v>
      </c>
      <c r="N10" s="170">
        <f t="shared" ref="N10" si="3">L10-M10</f>
        <v>1393.21</v>
      </c>
      <c r="O10" s="171">
        <f t="shared" ref="O10" si="4">VLOOKUP(L10,Tarifa1,3)</f>
        <v>0.10879999999999999</v>
      </c>
      <c r="P10" s="170">
        <f t="shared" ref="P10" si="5">N10*O10</f>
        <v>151.58124799999999</v>
      </c>
      <c r="Q10" s="172">
        <f t="shared" ref="Q10" si="6">VLOOKUP(L10,Tarifa1,2)</f>
        <v>158.55000000000001</v>
      </c>
      <c r="R10" s="170">
        <f t="shared" ref="R10" si="7">P10+Q10</f>
        <v>310.13124800000003</v>
      </c>
      <c r="S10" s="289">
        <f t="shared" ref="S10" si="8">VLOOKUP(L10,Credito1,2)</f>
        <v>0</v>
      </c>
      <c r="T10" s="170">
        <f t="shared" ref="T10" si="9">ROUND(R10-S10,2)</f>
        <v>310.13</v>
      </c>
      <c r="U10" s="169">
        <f t="shared" ref="U10" si="10">-IF(T10&gt;0,0,T10)</f>
        <v>0</v>
      </c>
      <c r="V10" s="169">
        <v>0</v>
      </c>
      <c r="W10" s="169">
        <v>0</v>
      </c>
      <c r="X10" s="169">
        <v>0</v>
      </c>
      <c r="Y10" s="185"/>
    </row>
    <row r="11" spans="1:25" s="186" customFormat="1" ht="69.95" customHeight="1" x14ac:dyDescent="0.2">
      <c r="A11" s="60" t="s">
        <v>99</v>
      </c>
      <c r="B11" s="62" t="s">
        <v>145</v>
      </c>
      <c r="C11" s="62" t="s">
        <v>139</v>
      </c>
      <c r="D11" s="174" t="s">
        <v>146</v>
      </c>
      <c r="E11" s="164" t="s">
        <v>142</v>
      </c>
      <c r="F11" s="165">
        <v>15</v>
      </c>
      <c r="G11" s="166">
        <v>208.2</v>
      </c>
      <c r="H11" s="167">
        <v>4092.62</v>
      </c>
      <c r="I11" s="168">
        <v>0</v>
      </c>
      <c r="J11" s="169">
        <f>SUM(H11:I11)</f>
        <v>4092.62</v>
      </c>
      <c r="K11" s="170">
        <f t="shared" ref="K11:K13" si="11">IF(H11/15&lt;=SMG,0,I11/2)</f>
        <v>0</v>
      </c>
      <c r="L11" s="170">
        <f t="shared" ref="L11:L13" si="12">H11+K11</f>
        <v>4092.62</v>
      </c>
      <c r="M11" s="170">
        <f t="shared" ref="M11:M13" si="13">VLOOKUP(L11,Tarifa1,1)</f>
        <v>2699.41</v>
      </c>
      <c r="N11" s="170">
        <f t="shared" ref="N11:N13" si="14">L11-M11</f>
        <v>1393.21</v>
      </c>
      <c r="O11" s="171">
        <f t="shared" ref="O11:O13" si="15">VLOOKUP(L11,Tarifa1,3)</f>
        <v>0.10879999999999999</v>
      </c>
      <c r="P11" s="170">
        <f t="shared" ref="P11:P13" si="16">N11*O11</f>
        <v>151.58124799999999</v>
      </c>
      <c r="Q11" s="172">
        <f t="shared" ref="Q11:Q13" si="17">VLOOKUP(L11,Tarifa1,2)</f>
        <v>158.55000000000001</v>
      </c>
      <c r="R11" s="170">
        <f t="shared" ref="R11:R13" si="18">P11+Q11</f>
        <v>310.13124800000003</v>
      </c>
      <c r="S11" s="289">
        <f t="shared" ref="S11:S13" si="19">VLOOKUP(L11,Credito1,2)</f>
        <v>0</v>
      </c>
      <c r="T11" s="170">
        <f t="shared" ref="T11:T13" si="20">ROUND(R11-S11,2)</f>
        <v>310.13</v>
      </c>
      <c r="U11" s="169">
        <f t="shared" ref="U11:U13" si="21">-IF(T11&gt;0,0,T11)</f>
        <v>0</v>
      </c>
      <c r="V11" s="169">
        <f>IF(T11&lt;0,0,T11)</f>
        <v>310.13</v>
      </c>
      <c r="W11" s="169">
        <f>SUM(V11:V11)</f>
        <v>310.13</v>
      </c>
      <c r="X11" s="169">
        <f>J11+U11-W11</f>
        <v>3782.49</v>
      </c>
      <c r="Y11" s="185"/>
    </row>
    <row r="12" spans="1:25" s="186" customFormat="1" ht="69.95" customHeight="1" x14ac:dyDescent="0.2">
      <c r="A12" s="123"/>
      <c r="B12" s="208" t="s">
        <v>255</v>
      </c>
      <c r="C12" s="62" t="s">
        <v>139</v>
      </c>
      <c r="D12" s="209" t="s">
        <v>215</v>
      </c>
      <c r="E12" s="164" t="s">
        <v>142</v>
      </c>
      <c r="F12" s="165">
        <v>7</v>
      </c>
      <c r="G12" s="166">
        <v>208.2</v>
      </c>
      <c r="H12" s="167">
        <v>1506.51</v>
      </c>
      <c r="I12" s="168">
        <v>0</v>
      </c>
      <c r="J12" s="169">
        <f>SUM(H12:I12)</f>
        <v>1506.51</v>
      </c>
      <c r="K12" s="170">
        <f>IF(H12/15&lt;=SMG,0,I12/2)</f>
        <v>0</v>
      </c>
      <c r="L12" s="170">
        <f t="shared" si="12"/>
        <v>1506.51</v>
      </c>
      <c r="M12" s="170">
        <f>VLOOKUP(L12,Tarifa1,1)</f>
        <v>318.01</v>
      </c>
      <c r="N12" s="170">
        <f t="shared" si="14"/>
        <v>1188.5</v>
      </c>
      <c r="O12" s="171">
        <f>VLOOKUP(L12,Tarifa1,3)</f>
        <v>6.4000000000000001E-2</v>
      </c>
      <c r="P12" s="170">
        <f t="shared" si="16"/>
        <v>76.064000000000007</v>
      </c>
      <c r="Q12" s="172">
        <f>VLOOKUP(L12,Tarifa1,2)</f>
        <v>6.15</v>
      </c>
      <c r="R12" s="170">
        <f t="shared" si="18"/>
        <v>82.214000000000013</v>
      </c>
      <c r="S12" s="170">
        <f>VLOOKUP(L12,Credito1,2)</f>
        <v>200.7</v>
      </c>
      <c r="T12" s="170">
        <f t="shared" si="20"/>
        <v>-118.49</v>
      </c>
      <c r="U12" s="169">
        <f>-IF(T12&gt;0,0,T12)</f>
        <v>118.49</v>
      </c>
      <c r="V12" s="169">
        <f>IF(T12&lt;0,0,T12)</f>
        <v>0</v>
      </c>
      <c r="W12" s="169">
        <f>SUM(V12:V12)</f>
        <v>0</v>
      </c>
      <c r="X12" s="169">
        <f>J12+U12-W12</f>
        <v>1625</v>
      </c>
      <c r="Y12" s="185"/>
    </row>
    <row r="13" spans="1:25" s="186" customFormat="1" ht="69.95" customHeight="1" x14ac:dyDescent="0.2">
      <c r="A13" s="200"/>
      <c r="B13" s="210">
        <v>188</v>
      </c>
      <c r="C13" s="62" t="s">
        <v>139</v>
      </c>
      <c r="D13" s="211" t="s">
        <v>260</v>
      </c>
      <c r="E13" s="164" t="s">
        <v>142</v>
      </c>
      <c r="F13" s="165">
        <v>15</v>
      </c>
      <c r="G13" s="166">
        <v>208.2</v>
      </c>
      <c r="H13" s="167">
        <v>4092.62</v>
      </c>
      <c r="I13" s="168">
        <v>0</v>
      </c>
      <c r="J13" s="169">
        <f>SUM(H13:I13)</f>
        <v>4092.62</v>
      </c>
      <c r="K13" s="170">
        <f t="shared" si="11"/>
        <v>0</v>
      </c>
      <c r="L13" s="170">
        <f t="shared" si="12"/>
        <v>4092.62</v>
      </c>
      <c r="M13" s="170">
        <f t="shared" si="13"/>
        <v>2699.41</v>
      </c>
      <c r="N13" s="170">
        <f t="shared" si="14"/>
        <v>1393.21</v>
      </c>
      <c r="O13" s="171">
        <f t="shared" si="15"/>
        <v>0.10879999999999999</v>
      </c>
      <c r="P13" s="170">
        <f t="shared" si="16"/>
        <v>151.58124799999999</v>
      </c>
      <c r="Q13" s="172">
        <f t="shared" si="17"/>
        <v>158.55000000000001</v>
      </c>
      <c r="R13" s="170">
        <f t="shared" si="18"/>
        <v>310.13124800000003</v>
      </c>
      <c r="S13" s="289">
        <f t="shared" si="19"/>
        <v>0</v>
      </c>
      <c r="T13" s="170">
        <f t="shared" si="20"/>
        <v>310.13</v>
      </c>
      <c r="U13" s="169">
        <f t="shared" si="21"/>
        <v>0</v>
      </c>
      <c r="V13" s="169">
        <f>IF(T13&lt;0,0,T13)</f>
        <v>310.13</v>
      </c>
      <c r="W13" s="169">
        <f>SUM(V13:V13)</f>
        <v>310.13</v>
      </c>
      <c r="X13" s="169">
        <f>J13+U13-W13</f>
        <v>3782.49</v>
      </c>
      <c r="Y13" s="185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5" t="s">
        <v>45</v>
      </c>
      <c r="B15" s="306"/>
      <c r="C15" s="306"/>
      <c r="D15" s="306"/>
      <c r="E15" s="306"/>
      <c r="F15" s="306"/>
      <c r="G15" s="307"/>
      <c r="H15" s="39">
        <f>SUM(H10:H14)</f>
        <v>13784.369999999999</v>
      </c>
      <c r="I15" s="39">
        <f>SUM(I10:I14)</f>
        <v>0</v>
      </c>
      <c r="J15" s="39">
        <f>SUM(J10:J14)</f>
        <v>13784.369999999999</v>
      </c>
      <c r="K15" s="40">
        <f t="shared" ref="K15:T15" si="22">SUM(K10:K14)</f>
        <v>0</v>
      </c>
      <c r="L15" s="40">
        <f t="shared" si="22"/>
        <v>13784.369999999999</v>
      </c>
      <c r="M15" s="40">
        <f t="shared" si="22"/>
        <v>8416.24</v>
      </c>
      <c r="N15" s="40">
        <f t="shared" si="22"/>
        <v>5368.13</v>
      </c>
      <c r="O15" s="40">
        <f t="shared" si="22"/>
        <v>0.39039999999999997</v>
      </c>
      <c r="P15" s="40">
        <f t="shared" si="22"/>
        <v>530.80774399999996</v>
      </c>
      <c r="Q15" s="40">
        <f t="shared" si="22"/>
        <v>481.8</v>
      </c>
      <c r="R15" s="40">
        <f t="shared" si="22"/>
        <v>1012.6077440000001</v>
      </c>
      <c r="S15" s="40">
        <f t="shared" si="22"/>
        <v>200.7</v>
      </c>
      <c r="T15" s="40">
        <f t="shared" si="22"/>
        <v>811.9</v>
      </c>
      <c r="U15" s="39">
        <f>SUM(U10:U14)</f>
        <v>118.49</v>
      </c>
      <c r="V15" s="39">
        <f>SUM(V10:V14)</f>
        <v>620.26</v>
      </c>
      <c r="W15" s="39">
        <f>SUM(W10:W14)</f>
        <v>620.26</v>
      </c>
      <c r="X15" s="39">
        <f>SUM(X10:X14)</f>
        <v>9189.98</v>
      </c>
    </row>
    <row r="16" spans="1:25" ht="13.5" thickTop="1" x14ac:dyDescent="0.2"/>
    <row r="24" spans="4:25" x14ac:dyDescent="0.2">
      <c r="D24" s="4" t="s">
        <v>230</v>
      </c>
      <c r="V24" s="4" t="s">
        <v>223</v>
      </c>
    </row>
    <row r="25" spans="4:25" x14ac:dyDescent="0.2">
      <c r="D25" s="78" t="s">
        <v>369</v>
      </c>
      <c r="H25" s="4"/>
      <c r="V25" s="78" t="s">
        <v>231</v>
      </c>
    </row>
    <row r="26" spans="4:25" x14ac:dyDescent="0.2">
      <c r="D26" s="78" t="s">
        <v>370</v>
      </c>
      <c r="E26" s="51"/>
      <c r="F26" s="51"/>
      <c r="G26" s="51"/>
      <c r="H26" s="51"/>
      <c r="I26" s="51"/>
      <c r="V26" s="51" t="s">
        <v>229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7" zoomScale="80" zoomScaleNormal="80" workbookViewId="0">
      <selection activeCell="U17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8" t="s">
        <v>90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4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4"/>
    </row>
    <row r="3" spans="1:25" ht="15" x14ac:dyDescent="0.2">
      <c r="A3" s="50" t="s">
        <v>311</v>
      </c>
      <c r="B3" s="309" t="s">
        <v>375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9" t="s">
        <v>1</v>
      </c>
      <c r="G5" s="320"/>
      <c r="H5" s="321"/>
      <c r="I5" s="24" t="s">
        <v>26</v>
      </c>
      <c r="J5" s="25"/>
      <c r="K5" s="322" t="s">
        <v>9</v>
      </c>
      <c r="L5" s="323"/>
      <c r="M5" s="323"/>
      <c r="N5" s="323"/>
      <c r="O5" s="323"/>
      <c r="P5" s="324"/>
      <c r="Q5" s="24" t="s">
        <v>30</v>
      </c>
      <c r="R5" s="24" t="s">
        <v>10</v>
      </c>
      <c r="S5" s="23" t="s">
        <v>54</v>
      </c>
      <c r="T5" s="325" t="s">
        <v>2</v>
      </c>
      <c r="U5" s="326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118</v>
      </c>
      <c r="C6" s="61" t="s">
        <v>140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163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65.099999999999994" customHeight="1" x14ac:dyDescent="0.2">
      <c r="A9" s="232" t="s">
        <v>97</v>
      </c>
      <c r="B9" s="233" t="s">
        <v>180</v>
      </c>
      <c r="C9" s="233" t="s">
        <v>139</v>
      </c>
      <c r="D9" s="234" t="s">
        <v>71</v>
      </c>
      <c r="E9" s="235">
        <v>15</v>
      </c>
      <c r="F9" s="236">
        <v>9702</v>
      </c>
      <c r="G9" s="237">
        <v>0</v>
      </c>
      <c r="H9" s="238">
        <f t="shared" ref="H9:H15" si="0">SUM(F9:G9)</f>
        <v>9702</v>
      </c>
      <c r="I9" s="239">
        <f t="shared" ref="I9:I17" si="1">IF(F9/15&lt;=SMG,0,G9/2)</f>
        <v>0</v>
      </c>
      <c r="J9" s="239">
        <f t="shared" ref="J9" si="2">F9+I9</f>
        <v>9702</v>
      </c>
      <c r="K9" s="239">
        <f t="shared" ref="K9:K17" si="3">VLOOKUP(J9,Tarifa1,1)</f>
        <v>6602.71</v>
      </c>
      <c r="L9" s="239">
        <f t="shared" ref="L9" si="4">J9-K9</f>
        <v>3099.29</v>
      </c>
      <c r="M9" s="240">
        <f t="shared" ref="M9:M17" si="5">VLOOKUP(J9,Tarifa1,3)</f>
        <v>0.21360000000000001</v>
      </c>
      <c r="N9" s="239">
        <f t="shared" ref="N9" si="6">L9*M9</f>
        <v>662.00834400000008</v>
      </c>
      <c r="O9" s="241">
        <f t="shared" ref="O9:O17" si="7">VLOOKUP(J9,Tarifa1,2)</f>
        <v>699.3</v>
      </c>
      <c r="P9" s="239">
        <f t="shared" ref="P9" si="8">N9+O9</f>
        <v>1361.308344</v>
      </c>
      <c r="Q9" s="239">
        <f t="shared" ref="Q9:Q17" si="9">VLOOKUP(J9,Credito1,2)</f>
        <v>0</v>
      </c>
      <c r="R9" s="239">
        <f t="shared" ref="R9" si="10">ROUND(P9-Q9,2)</f>
        <v>1361.31</v>
      </c>
      <c r="S9" s="238">
        <f t="shared" ref="S9:S11" si="11">-IF(R9&gt;0,0,R9)</f>
        <v>0</v>
      </c>
      <c r="T9" s="238">
        <f t="shared" ref="T9:T11" si="12">IF(R9&lt;0,0,R9)</f>
        <v>1361.31</v>
      </c>
      <c r="U9" s="238">
        <f>SUM(T9:T9)</f>
        <v>1361.31</v>
      </c>
      <c r="V9" s="238">
        <f>H9+S9-U9</f>
        <v>8340.69</v>
      </c>
      <c r="W9" s="119"/>
      <c r="X9" s="4"/>
    </row>
    <row r="10" spans="1:25" s="186" customFormat="1" ht="65.099999999999994" customHeight="1" x14ac:dyDescent="0.2">
      <c r="A10" s="232"/>
      <c r="B10" s="233" t="s">
        <v>293</v>
      </c>
      <c r="C10" s="233" t="s">
        <v>139</v>
      </c>
      <c r="D10" s="234" t="s">
        <v>92</v>
      </c>
      <c r="E10" s="235">
        <v>15</v>
      </c>
      <c r="F10" s="236">
        <v>7926</v>
      </c>
      <c r="G10" s="237">
        <v>0</v>
      </c>
      <c r="H10" s="238">
        <f t="shared" si="0"/>
        <v>7926</v>
      </c>
      <c r="I10" s="239">
        <f t="shared" si="1"/>
        <v>0</v>
      </c>
      <c r="J10" s="239">
        <f t="shared" ref="J10:J17" si="13">F10+I10</f>
        <v>7926</v>
      </c>
      <c r="K10" s="239">
        <f t="shared" si="3"/>
        <v>6602.71</v>
      </c>
      <c r="L10" s="239">
        <f t="shared" ref="L10:L17" si="14">J10-K10</f>
        <v>1323.29</v>
      </c>
      <c r="M10" s="240">
        <f t="shared" si="5"/>
        <v>0.21360000000000001</v>
      </c>
      <c r="N10" s="239">
        <f t="shared" ref="N10:N17" si="15">L10*M10</f>
        <v>282.65474399999999</v>
      </c>
      <c r="O10" s="241">
        <f t="shared" si="7"/>
        <v>699.3</v>
      </c>
      <c r="P10" s="239">
        <f t="shared" ref="P10:P17" si="16">N10+O10</f>
        <v>981.95474399999989</v>
      </c>
      <c r="Q10" s="239">
        <f t="shared" si="9"/>
        <v>0</v>
      </c>
      <c r="R10" s="239">
        <f t="shared" ref="R10:R17" si="17">ROUND(P10-Q10,2)</f>
        <v>981.95</v>
      </c>
      <c r="S10" s="238">
        <f t="shared" si="11"/>
        <v>0</v>
      </c>
      <c r="T10" s="238">
        <f t="shared" si="12"/>
        <v>981.95</v>
      </c>
      <c r="U10" s="238">
        <f>SUM(T10:T10)</f>
        <v>981.95</v>
      </c>
      <c r="V10" s="238">
        <f>H10+S10-U10</f>
        <v>6944.05</v>
      </c>
      <c r="W10" s="119"/>
      <c r="X10" s="4"/>
    </row>
    <row r="11" spans="1:25" s="186" customFormat="1" ht="65.099999999999994" customHeight="1" x14ac:dyDescent="0.2">
      <c r="A11" s="232"/>
      <c r="B11" s="233" t="s">
        <v>310</v>
      </c>
      <c r="C11" s="233" t="s">
        <v>139</v>
      </c>
      <c r="D11" s="234" t="s">
        <v>92</v>
      </c>
      <c r="E11" s="235">
        <v>15</v>
      </c>
      <c r="F11" s="236">
        <v>7926</v>
      </c>
      <c r="G11" s="237">
        <v>0</v>
      </c>
      <c r="H11" s="238">
        <f t="shared" si="0"/>
        <v>7926</v>
      </c>
      <c r="I11" s="239">
        <f t="shared" si="1"/>
        <v>0</v>
      </c>
      <c r="J11" s="239">
        <f t="shared" si="13"/>
        <v>7926</v>
      </c>
      <c r="K11" s="239">
        <f t="shared" si="3"/>
        <v>6602.71</v>
      </c>
      <c r="L11" s="239">
        <f t="shared" si="14"/>
        <v>1323.29</v>
      </c>
      <c r="M11" s="240">
        <f t="shared" si="5"/>
        <v>0.21360000000000001</v>
      </c>
      <c r="N11" s="239">
        <f t="shared" si="15"/>
        <v>282.65474399999999</v>
      </c>
      <c r="O11" s="241">
        <f t="shared" si="7"/>
        <v>699.3</v>
      </c>
      <c r="P11" s="239">
        <f t="shared" si="16"/>
        <v>981.95474399999989</v>
      </c>
      <c r="Q11" s="239">
        <f t="shared" si="9"/>
        <v>0</v>
      </c>
      <c r="R11" s="239">
        <f t="shared" si="17"/>
        <v>981.95</v>
      </c>
      <c r="S11" s="238">
        <f t="shared" si="11"/>
        <v>0</v>
      </c>
      <c r="T11" s="238">
        <f t="shared" si="12"/>
        <v>981.95</v>
      </c>
      <c r="U11" s="238">
        <f>SUM(T11:T11)</f>
        <v>981.95</v>
      </c>
      <c r="V11" s="238">
        <f>H11+S11-U11</f>
        <v>6944.05</v>
      </c>
      <c r="W11" s="119"/>
      <c r="X11" s="4"/>
    </row>
    <row r="12" spans="1:25" s="186" customFormat="1" ht="65.099999999999994" customHeight="1" x14ac:dyDescent="0.2">
      <c r="A12" s="263"/>
      <c r="B12" s="233" t="s">
        <v>124</v>
      </c>
      <c r="C12" s="233" t="s">
        <v>139</v>
      </c>
      <c r="D12" s="234" t="s">
        <v>93</v>
      </c>
      <c r="E12" s="235">
        <v>15</v>
      </c>
      <c r="F12" s="236">
        <v>7185.5</v>
      </c>
      <c r="G12" s="237">
        <v>0</v>
      </c>
      <c r="H12" s="238">
        <f t="shared" si="0"/>
        <v>7185.5</v>
      </c>
      <c r="I12" s="239">
        <f t="shared" si="1"/>
        <v>0</v>
      </c>
      <c r="J12" s="239">
        <f t="shared" si="13"/>
        <v>7185.5</v>
      </c>
      <c r="K12" s="239">
        <f t="shared" si="3"/>
        <v>6602.71</v>
      </c>
      <c r="L12" s="239">
        <f t="shared" si="14"/>
        <v>582.79</v>
      </c>
      <c r="M12" s="240">
        <f t="shared" si="5"/>
        <v>0.21360000000000001</v>
      </c>
      <c r="N12" s="239">
        <f t="shared" si="15"/>
        <v>124.48394399999999</v>
      </c>
      <c r="O12" s="241">
        <f t="shared" si="7"/>
        <v>699.3</v>
      </c>
      <c r="P12" s="239">
        <f t="shared" si="16"/>
        <v>823.78394399999991</v>
      </c>
      <c r="Q12" s="239">
        <f t="shared" si="9"/>
        <v>0</v>
      </c>
      <c r="R12" s="239">
        <f t="shared" si="17"/>
        <v>823.78</v>
      </c>
      <c r="S12" s="238">
        <f t="shared" ref="S12:S15" si="18">-IF(R12&gt;0,0,R12)</f>
        <v>0</v>
      </c>
      <c r="T12" s="238">
        <f t="shared" ref="T12:T15" si="19">IF(R12&lt;0,0,R12)</f>
        <v>823.78</v>
      </c>
      <c r="U12" s="238">
        <f>SUM(T12:T12)</f>
        <v>823.78</v>
      </c>
      <c r="V12" s="238">
        <f>H12+S12-U12</f>
        <v>6361.72</v>
      </c>
      <c r="W12" s="120"/>
      <c r="X12" s="4"/>
    </row>
    <row r="13" spans="1:25" s="186" customFormat="1" ht="65.099999999999994" customHeight="1" x14ac:dyDescent="0.2">
      <c r="A13" s="263"/>
      <c r="B13" s="233" t="s">
        <v>281</v>
      </c>
      <c r="C13" s="233" t="s">
        <v>139</v>
      </c>
      <c r="D13" s="234" t="s">
        <v>93</v>
      </c>
      <c r="E13" s="235">
        <v>15</v>
      </c>
      <c r="F13" s="236">
        <v>7185.5</v>
      </c>
      <c r="G13" s="237">
        <v>0</v>
      </c>
      <c r="H13" s="238">
        <f t="shared" si="0"/>
        <v>7185.5</v>
      </c>
      <c r="I13" s="239">
        <f t="shared" si="1"/>
        <v>0</v>
      </c>
      <c r="J13" s="239">
        <f t="shared" si="13"/>
        <v>7185.5</v>
      </c>
      <c r="K13" s="239">
        <f t="shared" si="3"/>
        <v>6602.71</v>
      </c>
      <c r="L13" s="239">
        <f t="shared" si="14"/>
        <v>582.79</v>
      </c>
      <c r="M13" s="240">
        <f t="shared" si="5"/>
        <v>0.21360000000000001</v>
      </c>
      <c r="N13" s="239">
        <f t="shared" si="15"/>
        <v>124.48394399999999</v>
      </c>
      <c r="O13" s="241">
        <f t="shared" si="7"/>
        <v>699.3</v>
      </c>
      <c r="P13" s="239">
        <f t="shared" si="16"/>
        <v>823.78394399999991</v>
      </c>
      <c r="Q13" s="239">
        <f t="shared" si="9"/>
        <v>0</v>
      </c>
      <c r="R13" s="239">
        <f t="shared" si="17"/>
        <v>823.78</v>
      </c>
      <c r="S13" s="238">
        <f t="shared" si="18"/>
        <v>0</v>
      </c>
      <c r="T13" s="238">
        <f t="shared" si="19"/>
        <v>823.78</v>
      </c>
      <c r="U13" s="238">
        <f>SUM(T13:T13)</f>
        <v>823.78</v>
      </c>
      <c r="V13" s="238">
        <f>H13+S13-U13</f>
        <v>6361.72</v>
      </c>
      <c r="W13" s="120"/>
      <c r="X13" s="4"/>
    </row>
    <row r="14" spans="1:25" s="186" customFormat="1" ht="65.099999999999994" customHeight="1" x14ac:dyDescent="0.2">
      <c r="A14" s="263"/>
      <c r="B14" s="233" t="s">
        <v>292</v>
      </c>
      <c r="C14" s="233" t="s">
        <v>139</v>
      </c>
      <c r="D14" s="234" t="s">
        <v>93</v>
      </c>
      <c r="E14" s="235">
        <v>15</v>
      </c>
      <c r="F14" s="236">
        <v>7185.5</v>
      </c>
      <c r="G14" s="237">
        <v>0</v>
      </c>
      <c r="H14" s="238">
        <f t="shared" si="0"/>
        <v>7185.5</v>
      </c>
      <c r="I14" s="239">
        <f t="shared" si="1"/>
        <v>0</v>
      </c>
      <c r="J14" s="239">
        <f t="shared" si="13"/>
        <v>7185.5</v>
      </c>
      <c r="K14" s="239">
        <f t="shared" si="3"/>
        <v>6602.71</v>
      </c>
      <c r="L14" s="239">
        <f t="shared" si="14"/>
        <v>582.79</v>
      </c>
      <c r="M14" s="240">
        <f t="shared" si="5"/>
        <v>0.21360000000000001</v>
      </c>
      <c r="N14" s="239">
        <f t="shared" si="15"/>
        <v>124.48394399999999</v>
      </c>
      <c r="O14" s="241">
        <f t="shared" si="7"/>
        <v>699.3</v>
      </c>
      <c r="P14" s="239">
        <f t="shared" si="16"/>
        <v>823.78394399999991</v>
      </c>
      <c r="Q14" s="239">
        <f t="shared" si="9"/>
        <v>0</v>
      </c>
      <c r="R14" s="239">
        <f t="shared" si="17"/>
        <v>823.78</v>
      </c>
      <c r="S14" s="238">
        <f t="shared" si="18"/>
        <v>0</v>
      </c>
      <c r="T14" s="238">
        <f t="shared" si="19"/>
        <v>823.78</v>
      </c>
      <c r="U14" s="238">
        <f>SUM(T14:T14)</f>
        <v>823.78</v>
      </c>
      <c r="V14" s="238">
        <f>H14+S14-U14</f>
        <v>6361.72</v>
      </c>
      <c r="W14" s="120"/>
      <c r="X14" s="4"/>
    </row>
    <row r="15" spans="1:25" ht="65.099999999999994" customHeight="1" x14ac:dyDescent="0.2">
      <c r="A15" s="263"/>
      <c r="B15" s="233" t="s">
        <v>302</v>
      </c>
      <c r="C15" s="233" t="s">
        <v>139</v>
      </c>
      <c r="D15" s="234" t="s">
        <v>93</v>
      </c>
      <c r="E15" s="235">
        <v>15</v>
      </c>
      <c r="F15" s="236">
        <v>7185.5</v>
      </c>
      <c r="G15" s="237">
        <v>0</v>
      </c>
      <c r="H15" s="238">
        <f t="shared" si="0"/>
        <v>7185.5</v>
      </c>
      <c r="I15" s="239">
        <f t="shared" si="1"/>
        <v>0</v>
      </c>
      <c r="J15" s="239">
        <f t="shared" si="13"/>
        <v>7185.5</v>
      </c>
      <c r="K15" s="239">
        <f t="shared" si="3"/>
        <v>6602.71</v>
      </c>
      <c r="L15" s="239">
        <f t="shared" si="14"/>
        <v>582.79</v>
      </c>
      <c r="M15" s="240">
        <f t="shared" si="5"/>
        <v>0.21360000000000001</v>
      </c>
      <c r="N15" s="239">
        <f t="shared" si="15"/>
        <v>124.48394399999999</v>
      </c>
      <c r="O15" s="241">
        <f t="shared" si="7"/>
        <v>699.3</v>
      </c>
      <c r="P15" s="239">
        <f t="shared" si="16"/>
        <v>823.78394399999991</v>
      </c>
      <c r="Q15" s="239">
        <f t="shared" si="9"/>
        <v>0</v>
      </c>
      <c r="R15" s="239">
        <f t="shared" si="17"/>
        <v>823.78</v>
      </c>
      <c r="S15" s="238">
        <f t="shared" si="18"/>
        <v>0</v>
      </c>
      <c r="T15" s="238">
        <f t="shared" si="19"/>
        <v>823.78</v>
      </c>
      <c r="U15" s="238">
        <f>SUM(T15:T15)</f>
        <v>823.78</v>
      </c>
      <c r="V15" s="238">
        <f>H15+S15-U15</f>
        <v>6361.72</v>
      </c>
      <c r="W15" s="120"/>
      <c r="X15" s="4"/>
    </row>
    <row r="16" spans="1:25" ht="65.099999999999994" customHeight="1" x14ac:dyDescent="0.2">
      <c r="A16" s="263"/>
      <c r="B16" s="233" t="s">
        <v>321</v>
      </c>
      <c r="C16" s="233" t="s">
        <v>139</v>
      </c>
      <c r="D16" s="234" t="s">
        <v>93</v>
      </c>
      <c r="E16" s="264">
        <v>15</v>
      </c>
      <c r="F16" s="236">
        <v>7185.5</v>
      </c>
      <c r="G16" s="237">
        <v>0</v>
      </c>
      <c r="H16" s="238">
        <f t="shared" ref="H16" si="20">SUM(F16:G16)</f>
        <v>7185.5</v>
      </c>
      <c r="I16" s="239">
        <f t="shared" si="1"/>
        <v>0</v>
      </c>
      <c r="J16" s="239">
        <f t="shared" si="13"/>
        <v>7185.5</v>
      </c>
      <c r="K16" s="239">
        <f t="shared" si="3"/>
        <v>6602.71</v>
      </c>
      <c r="L16" s="239">
        <f t="shared" si="14"/>
        <v>582.79</v>
      </c>
      <c r="M16" s="240">
        <f t="shared" si="5"/>
        <v>0.21360000000000001</v>
      </c>
      <c r="N16" s="239">
        <f t="shared" si="15"/>
        <v>124.48394399999999</v>
      </c>
      <c r="O16" s="241">
        <f t="shared" si="7"/>
        <v>699.3</v>
      </c>
      <c r="P16" s="239">
        <f t="shared" si="16"/>
        <v>823.78394399999991</v>
      </c>
      <c r="Q16" s="239">
        <f t="shared" si="9"/>
        <v>0</v>
      </c>
      <c r="R16" s="239">
        <f t="shared" si="17"/>
        <v>823.78</v>
      </c>
      <c r="S16" s="238">
        <f t="shared" ref="S16" si="21">-IF(R16&gt;0,0,R16)</f>
        <v>0</v>
      </c>
      <c r="T16" s="238">
        <f t="shared" ref="T16" si="22">IF(R16&lt;0,0,R16)</f>
        <v>823.78</v>
      </c>
      <c r="U16" s="238">
        <f>SUM(T16:T16)</f>
        <v>823.78</v>
      </c>
      <c r="V16" s="238">
        <f>H16+S16-U16</f>
        <v>6361.72</v>
      </c>
      <c r="W16" s="120"/>
      <c r="X16" s="4"/>
    </row>
    <row r="17" spans="1:36" ht="65.099999999999994" customHeight="1" x14ac:dyDescent="0.2">
      <c r="A17" s="263"/>
      <c r="B17" s="233" t="s">
        <v>329</v>
      </c>
      <c r="C17" s="233" t="s">
        <v>139</v>
      </c>
      <c r="D17" s="234" t="s">
        <v>93</v>
      </c>
      <c r="E17" s="235">
        <v>15</v>
      </c>
      <c r="F17" s="236">
        <v>7185.5</v>
      </c>
      <c r="G17" s="237">
        <v>0</v>
      </c>
      <c r="H17" s="238">
        <f t="shared" ref="H17:H19" si="23">SUM(F17:G17)</f>
        <v>7185.5</v>
      </c>
      <c r="I17" s="239">
        <f t="shared" si="1"/>
        <v>0</v>
      </c>
      <c r="J17" s="239">
        <f t="shared" si="13"/>
        <v>7185.5</v>
      </c>
      <c r="K17" s="239">
        <f t="shared" si="3"/>
        <v>6602.71</v>
      </c>
      <c r="L17" s="239">
        <f t="shared" si="14"/>
        <v>582.79</v>
      </c>
      <c r="M17" s="240">
        <f t="shared" si="5"/>
        <v>0.21360000000000001</v>
      </c>
      <c r="N17" s="239">
        <f t="shared" si="15"/>
        <v>124.48394399999999</v>
      </c>
      <c r="O17" s="241">
        <f t="shared" si="7"/>
        <v>699.3</v>
      </c>
      <c r="P17" s="239">
        <f t="shared" si="16"/>
        <v>823.78394399999991</v>
      </c>
      <c r="Q17" s="239">
        <f t="shared" si="9"/>
        <v>0</v>
      </c>
      <c r="R17" s="239">
        <f t="shared" si="17"/>
        <v>823.78</v>
      </c>
      <c r="S17" s="238">
        <f t="shared" ref="S17" si="24">-IF(R17&gt;0,0,R17)</f>
        <v>0</v>
      </c>
      <c r="T17" s="238">
        <f t="shared" ref="T17" si="25">IF(R17&lt;0,0,R17)</f>
        <v>823.78</v>
      </c>
      <c r="U17" s="238">
        <f>SUM(T17:T17)</f>
        <v>823.78</v>
      </c>
      <c r="V17" s="238">
        <f>H17+S17-U17</f>
        <v>6361.72</v>
      </c>
      <c r="W17" s="120"/>
      <c r="X17" s="4"/>
    </row>
    <row r="18" spans="1:36" ht="65.099999999999994" customHeight="1" x14ac:dyDescent="0.2">
      <c r="A18" s="263"/>
      <c r="B18" s="233" t="s">
        <v>354</v>
      </c>
      <c r="C18" s="233" t="s">
        <v>139</v>
      </c>
      <c r="D18" s="234" t="s">
        <v>93</v>
      </c>
      <c r="E18" s="235">
        <v>15</v>
      </c>
      <c r="F18" s="236">
        <v>7185.5</v>
      </c>
      <c r="G18" s="237">
        <v>0</v>
      </c>
      <c r="H18" s="238">
        <f t="shared" si="23"/>
        <v>7185.5</v>
      </c>
      <c r="I18" s="239">
        <f t="shared" ref="I18:I19" si="26">IF(F18/15&lt;=SMG,0,G18/2)</f>
        <v>0</v>
      </c>
      <c r="J18" s="239">
        <f t="shared" ref="J18:J19" si="27">F18+I18</f>
        <v>7185.5</v>
      </c>
      <c r="K18" s="239">
        <f t="shared" ref="K18:K19" si="28">VLOOKUP(J18,Tarifa1,1)</f>
        <v>6602.71</v>
      </c>
      <c r="L18" s="239">
        <f t="shared" ref="L18:L19" si="29">J18-K18</f>
        <v>582.79</v>
      </c>
      <c r="M18" s="240">
        <f t="shared" ref="M18:M19" si="30">VLOOKUP(J18,Tarifa1,3)</f>
        <v>0.21360000000000001</v>
      </c>
      <c r="N18" s="239">
        <f t="shared" ref="N18:N19" si="31">L18*M18</f>
        <v>124.48394399999999</v>
      </c>
      <c r="O18" s="241">
        <f t="shared" ref="O18:O19" si="32">VLOOKUP(J18,Tarifa1,2)</f>
        <v>699.3</v>
      </c>
      <c r="P18" s="239">
        <f t="shared" ref="P18:P19" si="33">N18+O18</f>
        <v>823.78394399999991</v>
      </c>
      <c r="Q18" s="239">
        <f t="shared" ref="Q18:Q19" si="34">VLOOKUP(J18,Credito1,2)</f>
        <v>0</v>
      </c>
      <c r="R18" s="239">
        <f t="shared" ref="R18:R19" si="35">ROUND(P18-Q18,2)</f>
        <v>823.78</v>
      </c>
      <c r="S18" s="238">
        <f t="shared" ref="S18:S19" si="36">-IF(R18&gt;0,0,R18)</f>
        <v>0</v>
      </c>
      <c r="T18" s="238">
        <f t="shared" ref="T18:T19" si="37">IF(R18&lt;0,0,R18)</f>
        <v>823.78</v>
      </c>
      <c r="U18" s="238">
        <f>SUM(T18:T18)</f>
        <v>823.78</v>
      </c>
      <c r="V18" s="238">
        <f>H18+S18-U18</f>
        <v>6361.72</v>
      </c>
      <c r="W18" s="120"/>
      <c r="X18" s="4"/>
    </row>
    <row r="19" spans="1:36" ht="65.099999999999994" customHeight="1" x14ac:dyDescent="0.2">
      <c r="A19" s="263"/>
      <c r="B19" s="233" t="s">
        <v>353</v>
      </c>
      <c r="C19" s="233" t="s">
        <v>139</v>
      </c>
      <c r="D19" s="234" t="s">
        <v>93</v>
      </c>
      <c r="E19" s="235">
        <v>15</v>
      </c>
      <c r="F19" s="236">
        <v>7185.5</v>
      </c>
      <c r="G19" s="237">
        <v>0</v>
      </c>
      <c r="H19" s="238">
        <f t="shared" si="23"/>
        <v>7185.5</v>
      </c>
      <c r="I19" s="239">
        <f t="shared" si="26"/>
        <v>0</v>
      </c>
      <c r="J19" s="239">
        <f t="shared" si="27"/>
        <v>7185.5</v>
      </c>
      <c r="K19" s="239">
        <f t="shared" si="28"/>
        <v>6602.71</v>
      </c>
      <c r="L19" s="239">
        <f t="shared" si="29"/>
        <v>582.79</v>
      </c>
      <c r="M19" s="240">
        <f t="shared" si="30"/>
        <v>0.21360000000000001</v>
      </c>
      <c r="N19" s="239">
        <f t="shared" si="31"/>
        <v>124.48394399999999</v>
      </c>
      <c r="O19" s="241">
        <f t="shared" si="32"/>
        <v>699.3</v>
      </c>
      <c r="P19" s="239">
        <f t="shared" si="33"/>
        <v>823.78394399999991</v>
      </c>
      <c r="Q19" s="239">
        <f t="shared" si="34"/>
        <v>0</v>
      </c>
      <c r="R19" s="239">
        <f t="shared" si="35"/>
        <v>823.78</v>
      </c>
      <c r="S19" s="238">
        <f t="shared" si="36"/>
        <v>0</v>
      </c>
      <c r="T19" s="238">
        <f t="shared" si="37"/>
        <v>823.78</v>
      </c>
      <c r="U19" s="238">
        <f>SUM(T19:T19)</f>
        <v>823.78</v>
      </c>
      <c r="V19" s="238">
        <f>H19+S19-U19</f>
        <v>6361.72</v>
      </c>
      <c r="W19" s="120"/>
      <c r="X19" s="4"/>
    </row>
    <row r="20" spans="1:36" ht="65.099999999999994" customHeight="1" x14ac:dyDescent="0.2">
      <c r="A20" s="263"/>
      <c r="B20" s="233" t="s">
        <v>355</v>
      </c>
      <c r="C20" s="233" t="s">
        <v>139</v>
      </c>
      <c r="D20" s="234" t="s">
        <v>93</v>
      </c>
      <c r="E20" s="235"/>
      <c r="F20" s="236">
        <v>7185.5</v>
      </c>
      <c r="G20" s="237">
        <v>0</v>
      </c>
      <c r="H20" s="238">
        <f t="shared" ref="H20:H22" si="38">SUM(F20:G20)</f>
        <v>7185.5</v>
      </c>
      <c r="I20" s="239">
        <f t="shared" ref="I20:I21" si="39">IF(F20/15&lt;=SMG,0,G20/2)</f>
        <v>0</v>
      </c>
      <c r="J20" s="239">
        <f t="shared" ref="J20:J22" si="40">F20+I20</f>
        <v>7185.5</v>
      </c>
      <c r="K20" s="239">
        <f t="shared" ref="K20:K21" si="41">VLOOKUP(J20,Tarifa1,1)</f>
        <v>6602.71</v>
      </c>
      <c r="L20" s="239">
        <f t="shared" ref="L20:L22" si="42">J20-K20</f>
        <v>582.79</v>
      </c>
      <c r="M20" s="240">
        <f t="shared" ref="M20:M21" si="43">VLOOKUP(J20,Tarifa1,3)</f>
        <v>0.21360000000000001</v>
      </c>
      <c r="N20" s="239">
        <f t="shared" ref="N20:N22" si="44">L20*M20</f>
        <v>124.48394399999999</v>
      </c>
      <c r="O20" s="241">
        <f t="shared" ref="O20:O21" si="45">VLOOKUP(J20,Tarifa1,2)</f>
        <v>699.3</v>
      </c>
      <c r="P20" s="239">
        <f t="shared" ref="P20:P22" si="46">N20+O20</f>
        <v>823.78394399999991</v>
      </c>
      <c r="Q20" s="239">
        <f t="shared" ref="Q20:Q21" si="47">VLOOKUP(J20,Credito1,2)</f>
        <v>0</v>
      </c>
      <c r="R20" s="239">
        <f t="shared" ref="R20:R22" si="48">ROUND(P20-Q20,2)</f>
        <v>823.78</v>
      </c>
      <c r="S20" s="238">
        <f t="shared" ref="S20:S22" si="49">-IF(R20&gt;0,0,R20)</f>
        <v>0</v>
      </c>
      <c r="T20" s="238">
        <f t="shared" ref="T20:T22" si="50">IF(R20&lt;0,0,R20)</f>
        <v>823.78</v>
      </c>
      <c r="U20" s="238">
        <f>SUM(T20:T20)</f>
        <v>823.78</v>
      </c>
      <c r="V20" s="238">
        <f>H20+S20-U20</f>
        <v>6361.72</v>
      </c>
      <c r="W20" s="120"/>
      <c r="X20" s="4"/>
    </row>
    <row r="21" spans="1:36" ht="65.099999999999994" customHeight="1" x14ac:dyDescent="0.2">
      <c r="A21" s="263"/>
      <c r="B21" s="233" t="s">
        <v>373</v>
      </c>
      <c r="C21" s="233" t="s">
        <v>139</v>
      </c>
      <c r="D21" s="234" t="s">
        <v>93</v>
      </c>
      <c r="E21" s="235"/>
      <c r="F21" s="236">
        <v>7185.5</v>
      </c>
      <c r="G21" s="237">
        <v>0</v>
      </c>
      <c r="H21" s="238">
        <f t="shared" ref="H21" si="51">SUM(F21:G21)</f>
        <v>7185.5</v>
      </c>
      <c r="I21" s="239">
        <f t="shared" si="39"/>
        <v>0</v>
      </c>
      <c r="J21" s="239">
        <f t="shared" ref="J21" si="52">F21+I21</f>
        <v>7185.5</v>
      </c>
      <c r="K21" s="239">
        <f t="shared" si="41"/>
        <v>6602.71</v>
      </c>
      <c r="L21" s="239">
        <f t="shared" ref="L21" si="53">J21-K21</f>
        <v>582.79</v>
      </c>
      <c r="M21" s="240">
        <f t="shared" si="43"/>
        <v>0.21360000000000001</v>
      </c>
      <c r="N21" s="239">
        <f t="shared" ref="N21" si="54">L21*M21</f>
        <v>124.48394399999999</v>
      </c>
      <c r="O21" s="241">
        <f t="shared" si="45"/>
        <v>699.3</v>
      </c>
      <c r="P21" s="239">
        <f t="shared" ref="P21" si="55">N21+O21</f>
        <v>823.78394399999991</v>
      </c>
      <c r="Q21" s="239">
        <f t="shared" si="47"/>
        <v>0</v>
      </c>
      <c r="R21" s="239">
        <f t="shared" ref="R21" si="56">ROUND(P21-Q21,2)</f>
        <v>823.78</v>
      </c>
      <c r="S21" s="238">
        <f t="shared" ref="S21" si="57">-IF(R21&gt;0,0,R21)</f>
        <v>0</v>
      </c>
      <c r="T21" s="238">
        <f t="shared" ref="T21" si="58">IF(R21&lt;0,0,R21)</f>
        <v>823.78</v>
      </c>
      <c r="U21" s="238">
        <f>SUM(T21:T21)</f>
        <v>823.78</v>
      </c>
      <c r="V21" s="238">
        <f>H21+S21-U21</f>
        <v>6361.72</v>
      </c>
      <c r="W21" s="120"/>
      <c r="X21" s="4"/>
    </row>
    <row r="22" spans="1:36" ht="65.099999999999994" customHeight="1" x14ac:dyDescent="0.2">
      <c r="A22" s="263"/>
      <c r="B22" s="233" t="s">
        <v>376</v>
      </c>
      <c r="C22" s="233" t="s">
        <v>139</v>
      </c>
      <c r="D22" s="234" t="s">
        <v>93</v>
      </c>
      <c r="E22" s="235"/>
      <c r="F22" s="236">
        <v>7185.5</v>
      </c>
      <c r="G22" s="237">
        <v>0</v>
      </c>
      <c r="H22" s="238">
        <f t="shared" si="38"/>
        <v>7185.5</v>
      </c>
      <c r="I22" s="239">
        <f t="shared" ref="I22" si="59">IF(F22/15&lt;=SMG,0,G22/2)</f>
        <v>0</v>
      </c>
      <c r="J22" s="239">
        <f t="shared" si="40"/>
        <v>7185.5</v>
      </c>
      <c r="K22" s="239">
        <f t="shared" ref="K22" si="60">VLOOKUP(J22,Tarifa1,1)</f>
        <v>6602.71</v>
      </c>
      <c r="L22" s="239">
        <f t="shared" si="42"/>
        <v>582.79</v>
      </c>
      <c r="M22" s="240">
        <f t="shared" ref="M22" si="61">VLOOKUP(J22,Tarifa1,3)</f>
        <v>0.21360000000000001</v>
      </c>
      <c r="N22" s="239">
        <f t="shared" si="44"/>
        <v>124.48394399999999</v>
      </c>
      <c r="O22" s="241">
        <f t="shared" ref="O22" si="62">VLOOKUP(J22,Tarifa1,2)</f>
        <v>699.3</v>
      </c>
      <c r="P22" s="239">
        <f t="shared" si="46"/>
        <v>823.78394399999991</v>
      </c>
      <c r="Q22" s="239">
        <f t="shared" ref="Q22" si="63">VLOOKUP(J22,Credito1,2)</f>
        <v>0</v>
      </c>
      <c r="R22" s="239">
        <f t="shared" si="48"/>
        <v>823.78</v>
      </c>
      <c r="S22" s="238">
        <f t="shared" si="49"/>
        <v>0</v>
      </c>
      <c r="T22" s="238">
        <f t="shared" si="50"/>
        <v>823.78</v>
      </c>
      <c r="U22" s="238">
        <f>SUM(T22:T22)</f>
        <v>823.78</v>
      </c>
      <c r="V22" s="238">
        <f>H22+S22-U22</f>
        <v>6361.72</v>
      </c>
      <c r="W22" s="120"/>
      <c r="X22" s="4"/>
    </row>
    <row r="23" spans="1:36" ht="38.1" customHeight="1" thickBot="1" x14ac:dyDescent="0.3">
      <c r="A23" s="334" t="s">
        <v>45</v>
      </c>
      <c r="B23" s="335"/>
      <c r="C23" s="335"/>
      <c r="D23" s="335"/>
      <c r="E23" s="335"/>
      <c r="F23" s="243">
        <f>SUM(F9:F22)</f>
        <v>104594.5</v>
      </c>
      <c r="G23" s="243">
        <f>SUM(G9:G22)</f>
        <v>0</v>
      </c>
      <c r="H23" s="243">
        <f>SUM(H9:H22)</f>
        <v>104594.5</v>
      </c>
      <c r="I23" s="244">
        <f t="shared" ref="I23:R23" si="64">SUM(I9:I15)</f>
        <v>0</v>
      </c>
      <c r="J23" s="244">
        <f t="shared" si="64"/>
        <v>54296</v>
      </c>
      <c r="K23" s="244">
        <f t="shared" si="64"/>
        <v>46218.97</v>
      </c>
      <c r="L23" s="244">
        <f t="shared" si="64"/>
        <v>8077.03</v>
      </c>
      <c r="M23" s="244">
        <f t="shared" si="64"/>
        <v>1.4952000000000001</v>
      </c>
      <c r="N23" s="244">
        <f t="shared" si="64"/>
        <v>1725.2536080000002</v>
      </c>
      <c r="O23" s="244">
        <f t="shared" si="64"/>
        <v>4895.1000000000004</v>
      </c>
      <c r="P23" s="244">
        <f t="shared" si="64"/>
        <v>6620.3536079999985</v>
      </c>
      <c r="Q23" s="244">
        <f t="shared" si="64"/>
        <v>0</v>
      </c>
      <c r="R23" s="244">
        <f t="shared" si="64"/>
        <v>6620.329999999999</v>
      </c>
      <c r="S23" s="243">
        <f>SUM(S9:S22)</f>
        <v>0</v>
      </c>
      <c r="T23" s="243">
        <f>SUM(T9:T22)</f>
        <v>12386.790000000003</v>
      </c>
      <c r="U23" s="243">
        <f>SUM(U9:U22)</f>
        <v>12386.790000000003</v>
      </c>
      <c r="V23" s="243">
        <f>SUM(V9:V22)</f>
        <v>92207.71</v>
      </c>
      <c r="W23" s="4"/>
      <c r="X23" s="4"/>
    </row>
    <row r="24" spans="1:36" ht="13.5" thickTop="1" x14ac:dyDescent="0.2"/>
    <row r="30" spans="1:36" x14ac:dyDescent="0.2">
      <c r="G30" s="112"/>
    </row>
    <row r="31" spans="1:36" x14ac:dyDescent="0.2">
      <c r="D31" s="113"/>
      <c r="E31" s="113"/>
      <c r="F31" s="113"/>
      <c r="G31" s="113"/>
      <c r="H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I31" s="113"/>
      <c r="AJ31" s="113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0" zoomScale="73" zoomScaleNormal="73" workbookViewId="0">
      <selection activeCell="W10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7" t="s">
        <v>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8" x14ac:dyDescent="0.25">
      <c r="A2" s="337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8" t="s">
        <v>1</v>
      </c>
      <c r="I6" s="339"/>
      <c r="J6" s="340"/>
      <c r="K6" s="94" t="s">
        <v>26</v>
      </c>
      <c r="L6" s="95"/>
      <c r="M6" s="341" t="s">
        <v>9</v>
      </c>
      <c r="N6" s="342"/>
      <c r="O6" s="342"/>
      <c r="P6" s="342"/>
      <c r="Q6" s="342"/>
      <c r="R6" s="343"/>
      <c r="S6" s="94" t="s">
        <v>30</v>
      </c>
      <c r="T6" s="94" t="s">
        <v>10</v>
      </c>
      <c r="U6" s="93" t="s">
        <v>54</v>
      </c>
      <c r="V6" s="344" t="s">
        <v>2</v>
      </c>
      <c r="W6" s="345"/>
      <c r="X6" s="93" t="s">
        <v>0</v>
      </c>
      <c r="Y6" s="96"/>
    </row>
    <row r="7" spans="1:25" ht="22.5" x14ac:dyDescent="0.2">
      <c r="A7" s="97" t="s">
        <v>21</v>
      </c>
      <c r="B7" s="98" t="s">
        <v>118</v>
      </c>
      <c r="C7" s="98" t="s">
        <v>140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163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178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2"/>
      <c r="B10" s="233" t="s">
        <v>181</v>
      </c>
      <c r="C10" s="233" t="s">
        <v>139</v>
      </c>
      <c r="D10" s="242" t="s">
        <v>252</v>
      </c>
      <c r="E10" s="234" t="s">
        <v>175</v>
      </c>
      <c r="F10" s="235">
        <v>15</v>
      </c>
      <c r="G10" s="287">
        <f>H10/F10</f>
        <v>390.16666666666669</v>
      </c>
      <c r="H10" s="236">
        <v>5852.5</v>
      </c>
      <c r="I10" s="237">
        <v>0</v>
      </c>
      <c r="J10" s="238">
        <f t="shared" ref="J10" si="0">SUM(H10:I10)</f>
        <v>5852.5</v>
      </c>
      <c r="K10" s="239">
        <f t="shared" ref="K10" si="1">IF(H10/15&lt;=SMG,0,I10/2)</f>
        <v>0</v>
      </c>
      <c r="L10" s="239">
        <f t="shared" ref="L10" si="2">H10+K10</f>
        <v>5852.5</v>
      </c>
      <c r="M10" s="239">
        <f t="shared" ref="M10" si="3">VLOOKUP(L10,Tarifa1,1)</f>
        <v>5514.76</v>
      </c>
      <c r="N10" s="239">
        <f t="shared" ref="N10" si="4">L10-M10</f>
        <v>337.73999999999978</v>
      </c>
      <c r="O10" s="240">
        <f t="shared" ref="O10" si="5">VLOOKUP(L10,Tarifa1,3)</f>
        <v>0.1792</v>
      </c>
      <c r="P10" s="239">
        <f t="shared" ref="P10" si="6">N10*O10</f>
        <v>60.523007999999962</v>
      </c>
      <c r="Q10" s="241">
        <f t="shared" ref="Q10" si="7">VLOOKUP(L10,Tarifa1,2)</f>
        <v>504.3</v>
      </c>
      <c r="R10" s="239">
        <f t="shared" ref="R10" si="8">P10+Q10</f>
        <v>564.82300799999996</v>
      </c>
      <c r="S10" s="239">
        <f t="shared" ref="S10" si="9">VLOOKUP(L10,Credito1,2)</f>
        <v>0</v>
      </c>
      <c r="T10" s="239">
        <f t="shared" ref="T10" si="10">ROUND(R10-S10,2)</f>
        <v>564.82000000000005</v>
      </c>
      <c r="U10" s="238">
        <f t="shared" ref="U10" si="11">-IF(T10&gt;0,0,T10)</f>
        <v>0</v>
      </c>
      <c r="V10" s="238">
        <f t="shared" ref="V10" si="12">IF(T10&lt;0,0,T10)</f>
        <v>564.82000000000005</v>
      </c>
      <c r="W10" s="238">
        <f>SUM(V10:V10)</f>
        <v>564.82000000000005</v>
      </c>
      <c r="X10" s="238">
        <f>J10+U10-W10</f>
        <v>5287.68</v>
      </c>
      <c r="Y10" s="185"/>
    </row>
    <row r="11" spans="1:25" s="186" customFormat="1" ht="75" customHeight="1" x14ac:dyDescent="0.2">
      <c r="A11" s="232"/>
      <c r="B11" s="233" t="s">
        <v>303</v>
      </c>
      <c r="C11" s="233" t="s">
        <v>139</v>
      </c>
      <c r="D11" s="242" t="s">
        <v>304</v>
      </c>
      <c r="E11" s="234" t="s">
        <v>175</v>
      </c>
      <c r="F11" s="235"/>
      <c r="G11" s="287"/>
      <c r="H11" s="236">
        <v>5599.5</v>
      </c>
      <c r="I11" s="237">
        <v>0</v>
      </c>
      <c r="J11" s="238">
        <f t="shared" ref="J11" si="13">SUM(H11:I11)</f>
        <v>5599.5</v>
      </c>
      <c r="K11" s="239">
        <f t="shared" ref="K11:K15" si="14">IF(H11/15&lt;=SMG,0,I11/2)</f>
        <v>0</v>
      </c>
      <c r="L11" s="239">
        <f t="shared" ref="L11:L15" si="15">H11+K11</f>
        <v>5599.5</v>
      </c>
      <c r="M11" s="239">
        <f t="shared" ref="M11:M15" si="16">VLOOKUP(L11,Tarifa1,1)</f>
        <v>5514.76</v>
      </c>
      <c r="N11" s="239">
        <f t="shared" ref="N11:N15" si="17">L11-M11</f>
        <v>84.739999999999782</v>
      </c>
      <c r="O11" s="240">
        <f t="shared" ref="O11:O15" si="18">VLOOKUP(L11,Tarifa1,3)</f>
        <v>0.1792</v>
      </c>
      <c r="P11" s="239">
        <f t="shared" ref="P11:P15" si="19">N11*O11</f>
        <v>15.185407999999962</v>
      </c>
      <c r="Q11" s="241">
        <f t="shared" ref="Q11:Q15" si="20">VLOOKUP(L11,Tarifa1,2)</f>
        <v>504.3</v>
      </c>
      <c r="R11" s="239">
        <f t="shared" ref="R11:R15" si="21">P11+Q11</f>
        <v>519.48540800000001</v>
      </c>
      <c r="S11" s="239">
        <f t="shared" ref="S11:S15" si="22">VLOOKUP(L11,Credito1,2)</f>
        <v>0</v>
      </c>
      <c r="T11" s="239">
        <f t="shared" ref="T11:T15" si="23">ROUND(R11-S11,2)</f>
        <v>519.49</v>
      </c>
      <c r="U11" s="238">
        <f t="shared" ref="U11:U12" si="24">-IF(T11&gt;0,0,T11)</f>
        <v>0</v>
      </c>
      <c r="V11" s="238">
        <f t="shared" ref="V11:V13" si="25">IF(T11&lt;0,0,T11)</f>
        <v>519.49</v>
      </c>
      <c r="W11" s="238">
        <f>SUM(V11:V11)</f>
        <v>519.49</v>
      </c>
      <c r="X11" s="238">
        <f>J11+U11-W11</f>
        <v>5080.01</v>
      </c>
      <c r="Y11" s="185"/>
    </row>
    <row r="12" spans="1:25" s="186" customFormat="1" ht="75" customHeight="1" x14ac:dyDescent="0.2">
      <c r="A12" s="232"/>
      <c r="B12" s="233" t="s">
        <v>340</v>
      </c>
      <c r="C12" s="233" t="s">
        <v>139</v>
      </c>
      <c r="D12" s="242" t="s">
        <v>336</v>
      </c>
      <c r="E12" s="234" t="s">
        <v>175</v>
      </c>
      <c r="F12" s="235"/>
      <c r="G12" s="287"/>
      <c r="H12" s="236">
        <v>3542.92</v>
      </c>
      <c r="I12" s="237">
        <v>0</v>
      </c>
      <c r="J12" s="238">
        <f t="shared" ref="J12" si="26">SUM(H12:I12)</f>
        <v>3542.92</v>
      </c>
      <c r="K12" s="239">
        <f t="shared" ref="K12" si="27">IF(H12/15&lt;=SMG,0,I12/2)</f>
        <v>0</v>
      </c>
      <c r="L12" s="239">
        <f t="shared" ref="L12" si="28">H12+K12</f>
        <v>3542.92</v>
      </c>
      <c r="M12" s="239">
        <f t="shared" ref="M12" si="29">VLOOKUP(L12,Tarifa1,1)</f>
        <v>2699.41</v>
      </c>
      <c r="N12" s="239">
        <f t="shared" ref="N12" si="30">L12-M12</f>
        <v>843.51000000000022</v>
      </c>
      <c r="O12" s="240">
        <f t="shared" ref="O12" si="31">VLOOKUP(L12,Tarifa1,3)</f>
        <v>0.10879999999999999</v>
      </c>
      <c r="P12" s="239">
        <f t="shared" ref="P12" si="32">N12*O12</f>
        <v>91.773888000000014</v>
      </c>
      <c r="Q12" s="241">
        <f t="shared" ref="Q12" si="33">VLOOKUP(L12,Tarifa1,2)</f>
        <v>158.55000000000001</v>
      </c>
      <c r="R12" s="239">
        <f t="shared" ref="R12" si="34">P12+Q12</f>
        <v>250.32388800000001</v>
      </c>
      <c r="S12" s="239">
        <f t="shared" ref="S12" si="35">VLOOKUP(L12,Credito1,2)</f>
        <v>107.4</v>
      </c>
      <c r="T12" s="239">
        <f t="shared" ref="T12" si="36">ROUND(R12-S12,2)</f>
        <v>142.91999999999999</v>
      </c>
      <c r="U12" s="238">
        <f t="shared" si="24"/>
        <v>0</v>
      </c>
      <c r="V12" s="238">
        <f t="shared" si="25"/>
        <v>142.91999999999999</v>
      </c>
      <c r="W12" s="238">
        <f>SUM(V12:V12)</f>
        <v>142.91999999999999</v>
      </c>
      <c r="X12" s="238">
        <f>J12+U12-W12</f>
        <v>3400</v>
      </c>
      <c r="Y12" s="185"/>
    </row>
    <row r="13" spans="1:25" s="186" customFormat="1" ht="75" customHeight="1" x14ac:dyDescent="0.2">
      <c r="A13" s="232" t="s">
        <v>105</v>
      </c>
      <c r="B13" s="233" t="s">
        <v>182</v>
      </c>
      <c r="C13" s="233" t="s">
        <v>217</v>
      </c>
      <c r="D13" s="242" t="s">
        <v>174</v>
      </c>
      <c r="E13" s="286" t="s">
        <v>176</v>
      </c>
      <c r="F13" s="235">
        <v>15</v>
      </c>
      <c r="G13" s="287">
        <f>H13/F13</f>
        <v>290.56666666666666</v>
      </c>
      <c r="H13" s="236">
        <v>4358.5</v>
      </c>
      <c r="I13" s="237">
        <v>0</v>
      </c>
      <c r="J13" s="238">
        <f>SUM(H13:I13)</f>
        <v>4358.5</v>
      </c>
      <c r="K13" s="239">
        <f t="shared" si="14"/>
        <v>0</v>
      </c>
      <c r="L13" s="239">
        <f t="shared" si="15"/>
        <v>4358.5</v>
      </c>
      <c r="M13" s="239">
        <f t="shared" si="16"/>
        <v>2699.41</v>
      </c>
      <c r="N13" s="239">
        <f t="shared" si="17"/>
        <v>1659.0900000000001</v>
      </c>
      <c r="O13" s="240">
        <f t="shared" si="18"/>
        <v>0.10879999999999999</v>
      </c>
      <c r="P13" s="239">
        <f t="shared" si="19"/>
        <v>180.50899200000001</v>
      </c>
      <c r="Q13" s="241">
        <f t="shared" si="20"/>
        <v>158.55000000000001</v>
      </c>
      <c r="R13" s="239">
        <f t="shared" si="21"/>
        <v>339.05899199999999</v>
      </c>
      <c r="S13" s="239">
        <f t="shared" si="22"/>
        <v>0</v>
      </c>
      <c r="T13" s="239">
        <f t="shared" si="23"/>
        <v>339.06</v>
      </c>
      <c r="U13" s="238">
        <f>-IF(T13&gt;0,0,T13)</f>
        <v>0</v>
      </c>
      <c r="V13" s="238">
        <f t="shared" si="25"/>
        <v>339.06</v>
      </c>
      <c r="W13" s="238">
        <f>SUM(V13:V13)</f>
        <v>339.06</v>
      </c>
      <c r="X13" s="238">
        <f>J13+U13-W13</f>
        <v>4019.44</v>
      </c>
      <c r="Y13" s="185"/>
    </row>
    <row r="14" spans="1:25" s="186" customFormat="1" ht="75" customHeight="1" x14ac:dyDescent="0.2">
      <c r="A14" s="263"/>
      <c r="B14" s="233" t="s">
        <v>183</v>
      </c>
      <c r="C14" s="233" t="s">
        <v>139</v>
      </c>
      <c r="D14" s="242" t="s">
        <v>173</v>
      </c>
      <c r="E14" s="286" t="s">
        <v>176</v>
      </c>
      <c r="F14" s="235">
        <v>15</v>
      </c>
      <c r="G14" s="287">
        <f>H14/F14</f>
        <v>290.56666666666666</v>
      </c>
      <c r="H14" s="236">
        <v>4358.5</v>
      </c>
      <c r="I14" s="237">
        <v>0</v>
      </c>
      <c r="J14" s="238">
        <f>SUM(H14:I14)</f>
        <v>4358.5</v>
      </c>
      <c r="K14" s="239">
        <f t="shared" si="14"/>
        <v>0</v>
      </c>
      <c r="L14" s="239">
        <f t="shared" si="15"/>
        <v>4358.5</v>
      </c>
      <c r="M14" s="239">
        <f t="shared" si="16"/>
        <v>2699.41</v>
      </c>
      <c r="N14" s="239">
        <f t="shared" si="17"/>
        <v>1659.0900000000001</v>
      </c>
      <c r="O14" s="240">
        <f t="shared" si="18"/>
        <v>0.10879999999999999</v>
      </c>
      <c r="P14" s="239">
        <f t="shared" si="19"/>
        <v>180.50899200000001</v>
      </c>
      <c r="Q14" s="241">
        <f t="shared" si="20"/>
        <v>158.55000000000001</v>
      </c>
      <c r="R14" s="239">
        <f t="shared" si="21"/>
        <v>339.05899199999999</v>
      </c>
      <c r="S14" s="239">
        <f t="shared" si="22"/>
        <v>0</v>
      </c>
      <c r="T14" s="239">
        <f t="shared" si="23"/>
        <v>339.06</v>
      </c>
      <c r="U14" s="238">
        <f>-IF(T14&gt;0,0,T14)</f>
        <v>0</v>
      </c>
      <c r="V14" s="238">
        <f t="shared" ref="V14:V15" si="37">IF(T14&lt;0,0,T14)</f>
        <v>339.06</v>
      </c>
      <c r="W14" s="238">
        <f>SUM(V14:V14)</f>
        <v>339.06</v>
      </c>
      <c r="X14" s="238">
        <f>J14+U14-W14</f>
        <v>4019.44</v>
      </c>
      <c r="Y14" s="185"/>
    </row>
    <row r="15" spans="1:25" s="186" customFormat="1" ht="75" customHeight="1" x14ac:dyDescent="0.2">
      <c r="A15" s="263"/>
      <c r="B15" s="233" t="s">
        <v>341</v>
      </c>
      <c r="C15" s="233" t="s">
        <v>139</v>
      </c>
      <c r="D15" s="242" t="s">
        <v>339</v>
      </c>
      <c r="E15" s="286" t="s">
        <v>337</v>
      </c>
      <c r="F15" s="235">
        <v>15</v>
      </c>
      <c r="G15" s="287">
        <f>H15/F15</f>
        <v>223.5</v>
      </c>
      <c r="H15" s="236">
        <v>3352.5</v>
      </c>
      <c r="I15" s="237">
        <v>0</v>
      </c>
      <c r="J15" s="238">
        <f t="shared" ref="J15" si="38">SUM(H15:I15)</f>
        <v>3352.5</v>
      </c>
      <c r="K15" s="239">
        <f t="shared" si="14"/>
        <v>0</v>
      </c>
      <c r="L15" s="239">
        <f t="shared" si="15"/>
        <v>3352.5</v>
      </c>
      <c r="M15" s="239">
        <f t="shared" si="16"/>
        <v>2699.41</v>
      </c>
      <c r="N15" s="239">
        <f t="shared" si="17"/>
        <v>653.09000000000015</v>
      </c>
      <c r="O15" s="240">
        <f t="shared" si="18"/>
        <v>0.10879999999999999</v>
      </c>
      <c r="P15" s="239">
        <f t="shared" si="19"/>
        <v>71.05619200000001</v>
      </c>
      <c r="Q15" s="241">
        <f t="shared" si="20"/>
        <v>158.55000000000001</v>
      </c>
      <c r="R15" s="239">
        <f t="shared" si="21"/>
        <v>229.60619200000002</v>
      </c>
      <c r="S15" s="239">
        <f t="shared" si="22"/>
        <v>125.1</v>
      </c>
      <c r="T15" s="239">
        <f t="shared" si="23"/>
        <v>104.51</v>
      </c>
      <c r="U15" s="238">
        <f t="shared" ref="U15" si="39">-IF(T15&gt;0,0,T15)</f>
        <v>0</v>
      </c>
      <c r="V15" s="238">
        <f t="shared" si="37"/>
        <v>104.51</v>
      </c>
      <c r="W15" s="238">
        <f>SUM(V15:V15)</f>
        <v>104.51</v>
      </c>
      <c r="X15" s="238">
        <f>J15+U15-W15</f>
        <v>3247.99</v>
      </c>
      <c r="Y15" s="185"/>
    </row>
    <row r="16" spans="1:25" ht="40.5" customHeight="1" thickBot="1" x14ac:dyDescent="0.3">
      <c r="A16" s="334" t="s">
        <v>45</v>
      </c>
      <c r="B16" s="335"/>
      <c r="C16" s="335"/>
      <c r="D16" s="335"/>
      <c r="E16" s="335"/>
      <c r="F16" s="335"/>
      <c r="G16" s="336"/>
      <c r="H16" s="243">
        <f t="shared" ref="H16:X16" si="40">SUM(H10:H15)</f>
        <v>27064.42</v>
      </c>
      <c r="I16" s="243">
        <f t="shared" si="40"/>
        <v>0</v>
      </c>
      <c r="J16" s="243">
        <f t="shared" si="40"/>
        <v>27064.42</v>
      </c>
      <c r="K16" s="244">
        <f t="shared" si="40"/>
        <v>0</v>
      </c>
      <c r="L16" s="244">
        <f t="shared" si="40"/>
        <v>27064.42</v>
      </c>
      <c r="M16" s="244">
        <f t="shared" si="40"/>
        <v>21827.16</v>
      </c>
      <c r="N16" s="244">
        <f t="shared" si="40"/>
        <v>5237.26</v>
      </c>
      <c r="O16" s="244">
        <f t="shared" si="40"/>
        <v>0.79359999999999997</v>
      </c>
      <c r="P16" s="244">
        <f t="shared" si="40"/>
        <v>599.55647999999997</v>
      </c>
      <c r="Q16" s="244">
        <f t="shared" si="40"/>
        <v>1642.8</v>
      </c>
      <c r="R16" s="244">
        <f t="shared" si="40"/>
        <v>2242.3564799999999</v>
      </c>
      <c r="S16" s="244">
        <f t="shared" si="40"/>
        <v>232.5</v>
      </c>
      <c r="T16" s="244">
        <f t="shared" si="40"/>
        <v>2009.86</v>
      </c>
      <c r="U16" s="243">
        <f t="shared" si="40"/>
        <v>0</v>
      </c>
      <c r="V16" s="243">
        <f t="shared" si="40"/>
        <v>2009.86</v>
      </c>
      <c r="W16" s="243">
        <f t="shared" si="40"/>
        <v>2009.86</v>
      </c>
      <c r="X16" s="243">
        <f t="shared" si="40"/>
        <v>25054.559999999998</v>
      </c>
    </row>
    <row r="17" spans="4:37" ht="13.5" thickTop="1" x14ac:dyDescent="0.2"/>
    <row r="27" spans="4:37" x14ac:dyDescent="0.2">
      <c r="D27" s="78" t="s">
        <v>369</v>
      </c>
      <c r="H27" s="112"/>
      <c r="V27" s="78" t="s">
        <v>232</v>
      </c>
    </row>
    <row r="28" spans="4:37" x14ac:dyDescent="0.2">
      <c r="D28" s="78" t="s">
        <v>370</v>
      </c>
      <c r="E28" s="113"/>
      <c r="F28" s="113"/>
      <c r="G28" s="113"/>
      <c r="H28" s="113"/>
      <c r="I28" s="113"/>
      <c r="V28" s="51" t="s">
        <v>229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J28" s="113"/>
      <c r="AK28" s="113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08" t="s">
        <v>90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54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118</v>
      </c>
      <c r="C7" s="64" t="s">
        <v>156</v>
      </c>
      <c r="D7" s="70" t="s">
        <v>22</v>
      </c>
      <c r="E7" s="70"/>
      <c r="F7" s="294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157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118</v>
      </c>
      <c r="C9" s="83" t="s">
        <v>156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97</v>
      </c>
      <c r="B10" s="137" t="s">
        <v>246</v>
      </c>
      <c r="C10" s="114" t="s">
        <v>139</v>
      </c>
      <c r="D10" s="119" t="s">
        <v>358</v>
      </c>
      <c r="E10" s="121" t="s">
        <v>357</v>
      </c>
      <c r="F10" s="131">
        <v>10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98</v>
      </c>
      <c r="B11" s="137" t="s">
        <v>361</v>
      </c>
      <c r="C11" s="114" t="s">
        <v>139</v>
      </c>
      <c r="D11" s="119" t="s">
        <v>359</v>
      </c>
      <c r="E11" s="121" t="s">
        <v>360</v>
      </c>
      <c r="F11" s="131">
        <v>10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" si="0">H11+K11</f>
        <v>13237</v>
      </c>
      <c r="M11" s="126">
        <f>VLOOKUP(L11,Tarifa1,1)</f>
        <v>6602.71</v>
      </c>
      <c r="N11" s="126">
        <f t="shared" ref="N11" si="1">L11-M11</f>
        <v>6634.29</v>
      </c>
      <c r="O11" s="127">
        <f>VLOOKUP(L11,Tarifa1,3)</f>
        <v>0.21360000000000001</v>
      </c>
      <c r="P11" s="126">
        <f t="shared" ref="P11" si="2">N11*O11</f>
        <v>1417.0843440000001</v>
      </c>
      <c r="Q11" s="128">
        <f>VLOOKUP(L11,Tarifa1,2)</f>
        <v>699.3</v>
      </c>
      <c r="R11" s="126">
        <f t="shared" ref="R11" si="3">P11+Q11</f>
        <v>2116.3843440000001</v>
      </c>
      <c r="S11" s="126">
        <f>VLOOKUP(L11,Credito1,2)</f>
        <v>0</v>
      </c>
      <c r="T11" s="126">
        <f t="shared" ref="T11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126</v>
      </c>
      <c r="C12" s="137" t="s">
        <v>139</v>
      </c>
      <c r="D12" s="119" t="s">
        <v>67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ref="L12" si="5">H12+K12</f>
        <v>5311</v>
      </c>
      <c r="M12" s="126">
        <f>VLOOKUP(L12,Tarifa1,1)</f>
        <v>4744.0600000000004</v>
      </c>
      <c r="N12" s="126">
        <f t="shared" ref="N12" si="6">L12-M12</f>
        <v>566.9399999999996</v>
      </c>
      <c r="O12" s="127">
        <f>VLOOKUP(L12,Tarifa1,3)</f>
        <v>0.16</v>
      </c>
      <c r="P12" s="126">
        <f t="shared" ref="P12" si="7">N12*O12</f>
        <v>90.710399999999936</v>
      </c>
      <c r="Q12" s="128">
        <f>VLOOKUP(L12,Tarifa1,2)</f>
        <v>381</v>
      </c>
      <c r="R12" s="126">
        <f t="shared" ref="R12" si="8">P12+Q12</f>
        <v>471.71039999999994</v>
      </c>
      <c r="S12" s="126">
        <f>VLOOKUP(L12,Credito1,2)</f>
        <v>0</v>
      </c>
      <c r="T12" s="126">
        <f t="shared" ref="T12" si="9">ROUND(R12-S12,2)</f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118</v>
      </c>
      <c r="C13" s="138" t="s">
        <v>156</v>
      </c>
      <c r="D13" s="139" t="s">
        <v>147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99</v>
      </c>
      <c r="B14" s="137" t="s">
        <v>234</v>
      </c>
      <c r="C14" s="114" t="s">
        <v>139</v>
      </c>
      <c r="D14" s="134" t="s">
        <v>184</v>
      </c>
      <c r="E14" s="121" t="s">
        <v>113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10">H14+K14</f>
        <v>5947</v>
      </c>
      <c r="M14" s="126">
        <f>VLOOKUP(L14,Tarifa1,1)</f>
        <v>5514.76</v>
      </c>
      <c r="N14" s="126">
        <f t="shared" ref="N14" si="11">L14-M14</f>
        <v>432.23999999999978</v>
      </c>
      <c r="O14" s="127">
        <f>VLOOKUP(L14,Tarifa1,3)</f>
        <v>0.1792</v>
      </c>
      <c r="P14" s="126">
        <f t="shared" ref="P14" si="12">N14*O14</f>
        <v>77.457407999999958</v>
      </c>
      <c r="Q14" s="128">
        <f>VLOOKUP(L14,Tarifa1,2)</f>
        <v>504.3</v>
      </c>
      <c r="R14" s="126">
        <f t="shared" ref="R14" si="13">P14+Q14</f>
        <v>581.75740799999994</v>
      </c>
      <c r="S14" s="126">
        <f>VLOOKUP(L14,Credito1,2)</f>
        <v>0</v>
      </c>
      <c r="T14" s="126">
        <f t="shared" ref="T14" si="14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118</v>
      </c>
      <c r="C15" s="138" t="s">
        <v>156</v>
      </c>
      <c r="D15" s="139" t="s">
        <v>148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101</v>
      </c>
      <c r="B16" s="114" t="s">
        <v>127</v>
      </c>
      <c r="C16" s="114" t="s">
        <v>139</v>
      </c>
      <c r="D16" s="119" t="s">
        <v>115</v>
      </c>
      <c r="E16" s="119" t="s">
        <v>68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5">H16+K16</f>
        <v>4754</v>
      </c>
      <c r="M16" s="126">
        <f>VLOOKUP(L16,Tarifa1,1)</f>
        <v>4744.0600000000004</v>
      </c>
      <c r="N16" s="126">
        <f t="shared" ref="N16" si="16">L16-M16</f>
        <v>9.9399999999995998</v>
      </c>
      <c r="O16" s="127">
        <f>VLOOKUP(L16,Tarifa1,3)</f>
        <v>0.16</v>
      </c>
      <c r="P16" s="126">
        <f t="shared" ref="P16" si="17">N16*O16</f>
        <v>1.5903999999999361</v>
      </c>
      <c r="Q16" s="128">
        <f>VLOOKUP(L16,Tarifa1,2)</f>
        <v>381</v>
      </c>
      <c r="R16" s="126">
        <f t="shared" ref="R16" si="18">P16+Q16</f>
        <v>382.59039999999993</v>
      </c>
      <c r="S16" s="126">
        <f>VLOOKUP(L16,Credito1,2)</f>
        <v>0</v>
      </c>
      <c r="T16" s="126">
        <f t="shared" ref="T16" si="19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118</v>
      </c>
      <c r="C17" s="138" t="s">
        <v>156</v>
      </c>
      <c r="D17" s="139" t="s">
        <v>149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102</v>
      </c>
      <c r="B18" s="137" t="s">
        <v>235</v>
      </c>
      <c r="C18" s="114" t="s">
        <v>139</v>
      </c>
      <c r="D18" s="119" t="s">
        <v>185</v>
      </c>
      <c r="E18" s="119" t="s">
        <v>96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20">H18+K18</f>
        <v>9744.5</v>
      </c>
      <c r="M18" s="126">
        <f>VLOOKUP(L18,Tarifa1,1)</f>
        <v>6602.71</v>
      </c>
      <c r="N18" s="126">
        <f t="shared" ref="N18:N19" si="21">L18-M18</f>
        <v>3141.79</v>
      </c>
      <c r="O18" s="127">
        <f>VLOOKUP(L18,Tarifa1,3)</f>
        <v>0.21360000000000001</v>
      </c>
      <c r="P18" s="126">
        <f t="shared" ref="P18:P19" si="22">N18*O18</f>
        <v>671.08634400000005</v>
      </c>
      <c r="Q18" s="128">
        <f>VLOOKUP(L18,Tarifa1,2)</f>
        <v>699.3</v>
      </c>
      <c r="R18" s="126">
        <f t="shared" ref="R18:R19" si="23">P18+Q18</f>
        <v>1370.386344</v>
      </c>
      <c r="S18" s="126">
        <f>VLOOKUP(L18,Credito1,2)</f>
        <v>0</v>
      </c>
      <c r="T18" s="126">
        <f t="shared" ref="T18:T19" si="24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262</v>
      </c>
      <c r="C19" s="145" t="s">
        <v>139</v>
      </c>
      <c r="D19" s="146" t="s">
        <v>253</v>
      </c>
      <c r="E19" s="147" t="s">
        <v>254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20"/>
        <v>4256.5</v>
      </c>
      <c r="M19" s="126">
        <f>VLOOKUP(L19,Tarifa1,1)</f>
        <v>2699.41</v>
      </c>
      <c r="N19" s="126">
        <f t="shared" si="21"/>
        <v>1557.0900000000001</v>
      </c>
      <c r="O19" s="127">
        <f>VLOOKUP(L19,Tarifa1,3)</f>
        <v>0.10879999999999999</v>
      </c>
      <c r="P19" s="126">
        <f t="shared" si="22"/>
        <v>169.41139200000001</v>
      </c>
      <c r="Q19" s="128">
        <f>VLOOKUP(L19,Tarifa1,2)</f>
        <v>158.55000000000001</v>
      </c>
      <c r="R19" s="126">
        <f t="shared" si="23"/>
        <v>327.96139200000005</v>
      </c>
      <c r="S19" s="126">
        <f>VLOOKUP(L19,Credito1,2)</f>
        <v>0</v>
      </c>
      <c r="T19" s="126">
        <f t="shared" si="24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118</v>
      </c>
      <c r="C20" s="138" t="s">
        <v>156</v>
      </c>
      <c r="D20" s="139" t="s">
        <v>150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103</v>
      </c>
      <c r="B21" s="114" t="s">
        <v>128</v>
      </c>
      <c r="C21" s="114" t="s">
        <v>139</v>
      </c>
      <c r="D21" s="119" t="s">
        <v>69</v>
      </c>
      <c r="E21" s="119" t="s">
        <v>89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5">H21+K21</f>
        <v>2624</v>
      </c>
      <c r="M21" s="126">
        <f>VLOOKUP(L21,Tarifa1,1)</f>
        <v>318.01</v>
      </c>
      <c r="N21" s="126">
        <f t="shared" ref="N21" si="26">L21-M21</f>
        <v>2305.9899999999998</v>
      </c>
      <c r="O21" s="127">
        <f>VLOOKUP(L21,Tarifa1,3)</f>
        <v>6.4000000000000001E-2</v>
      </c>
      <c r="P21" s="126">
        <f t="shared" ref="P21" si="27">N21*O21</f>
        <v>147.58336</v>
      </c>
      <c r="Q21" s="128">
        <f>VLOOKUP(L21,Tarifa1,2)</f>
        <v>6.15</v>
      </c>
      <c r="R21" s="126">
        <f t="shared" ref="R21" si="28">P21+Q21</f>
        <v>153.73336</v>
      </c>
      <c r="S21" s="126">
        <f>VLOOKUP(L21,Credito1,2)</f>
        <v>160.35</v>
      </c>
      <c r="T21" s="126">
        <f t="shared" ref="T21" si="29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69" customFormat="1" ht="54.95" customHeight="1" x14ac:dyDescent="0.2">
      <c r="A23" s="114"/>
      <c r="AE23" s="77"/>
    </row>
    <row r="24" spans="1:3222" s="90" customFormat="1" ht="54.95" customHeight="1" x14ac:dyDescent="0.2">
      <c r="A24" s="114" t="s">
        <v>104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8.5" customHeight="1" x14ac:dyDescent="0.25">
      <c r="A25" s="152"/>
      <c r="B25" s="308" t="s">
        <v>90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1.75" customHeight="1" x14ac:dyDescent="0.25">
      <c r="A26" s="152"/>
      <c r="B26" s="308" t="s">
        <v>66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23.25" customHeight="1" x14ac:dyDescent="0.2">
      <c r="A27" s="152"/>
      <c r="B27" s="309" t="s">
        <v>375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3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10.5" customHeight="1" x14ac:dyDescent="0.2">
      <c r="A29" s="152"/>
      <c r="B29" s="5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38" t="s">
        <v>118</v>
      </c>
      <c r="C30" s="138" t="s">
        <v>156</v>
      </c>
      <c r="D30" s="139" t="s">
        <v>151</v>
      </c>
      <c r="E30" s="140" t="s">
        <v>62</v>
      </c>
      <c r="F30" s="140"/>
      <c r="G30" s="140"/>
      <c r="H30" s="141">
        <f>SUM(H31:H32)</f>
        <v>5568</v>
      </c>
      <c r="I30" s="141">
        <f>SUM(I31:I32)</f>
        <v>0</v>
      </c>
      <c r="J30" s="141">
        <f>SUM(J31:J32)</f>
        <v>5568</v>
      </c>
      <c r="K30" s="140"/>
      <c r="L30" s="140"/>
      <c r="M30" s="140"/>
      <c r="N30" s="140"/>
      <c r="O30" s="140"/>
      <c r="P30" s="140"/>
      <c r="Q30" s="143"/>
      <c r="R30" s="140"/>
      <c r="S30" s="140"/>
      <c r="T30" s="142"/>
      <c r="U30" s="141">
        <f>SUM(U31:U32)</f>
        <v>0</v>
      </c>
      <c r="V30" s="141">
        <f>SUM(V31:V32)</f>
        <v>44.8</v>
      </c>
      <c r="W30" s="141">
        <f>SUM(W31:W32)</f>
        <v>44.8</v>
      </c>
      <c r="X30" s="141">
        <f>SUM(X31:X32)</f>
        <v>5523.2</v>
      </c>
      <c r="Y30" s="87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90" customFormat="1" ht="54.75" customHeight="1" x14ac:dyDescent="0.2">
      <c r="A31" s="152"/>
      <c r="B31" s="114" t="s">
        <v>130</v>
      </c>
      <c r="C31" s="114" t="s">
        <v>139</v>
      </c>
      <c r="D31" s="122" t="s">
        <v>106</v>
      </c>
      <c r="E31" s="122" t="s">
        <v>203</v>
      </c>
      <c r="F31" s="149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ref="L31:L32" si="30">H31+K31</f>
        <v>2784</v>
      </c>
      <c r="M31" s="126">
        <f>VLOOKUP(L31,Tarifa1,1)</f>
        <v>2699.41</v>
      </c>
      <c r="N31" s="126">
        <f t="shared" ref="N31:N32" si="31">L31-M31</f>
        <v>84.590000000000146</v>
      </c>
      <c r="O31" s="127">
        <f>VLOOKUP(L31,Tarifa1,3)</f>
        <v>0.10879999999999999</v>
      </c>
      <c r="P31" s="126">
        <f t="shared" ref="P31:P32" si="32">N31*O31</f>
        <v>9.2033920000000151</v>
      </c>
      <c r="Q31" s="128">
        <f>VLOOKUP(L31,Tarifa1,2)</f>
        <v>158.55000000000001</v>
      </c>
      <c r="R31" s="126">
        <f t="shared" ref="R31:R32" si="33">P31+Q31</f>
        <v>167.75339200000002</v>
      </c>
      <c r="S31" s="126">
        <f>VLOOKUP(L31,Credito1,2)</f>
        <v>145.35</v>
      </c>
      <c r="T31" s="126">
        <f t="shared" ref="T31:T32" si="34">ROUND(R31-S31,2)</f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89"/>
      <c r="Z31" s="11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</row>
    <row r="32" spans="1:3222" s="69" customFormat="1" ht="54.95" customHeight="1" x14ac:dyDescent="0.2">
      <c r="A32" s="114"/>
      <c r="B32" s="114" t="s">
        <v>350</v>
      </c>
      <c r="C32" s="114" t="s">
        <v>139</v>
      </c>
      <c r="D32" s="119" t="s">
        <v>309</v>
      </c>
      <c r="E32" s="122" t="s">
        <v>203</v>
      </c>
      <c r="F32" s="131">
        <v>15</v>
      </c>
      <c r="G32" s="132">
        <v>178.81533333333334</v>
      </c>
      <c r="H32" s="150">
        <v>2784</v>
      </c>
      <c r="I32" s="151">
        <v>0</v>
      </c>
      <c r="J32" s="150">
        <f>SUM(H32:I32)</f>
        <v>2784</v>
      </c>
      <c r="K32" s="126">
        <f>IF(H32/15&lt;=SMG,0,I32/2)</f>
        <v>0</v>
      </c>
      <c r="L32" s="126">
        <f t="shared" si="30"/>
        <v>2784</v>
      </c>
      <c r="M32" s="126">
        <f>VLOOKUP(L32,Tarifa1,1)</f>
        <v>2699.41</v>
      </c>
      <c r="N32" s="126">
        <f t="shared" si="31"/>
        <v>84.590000000000146</v>
      </c>
      <c r="O32" s="127">
        <f>VLOOKUP(L32,Tarifa1,3)</f>
        <v>0.10879999999999999</v>
      </c>
      <c r="P32" s="126">
        <f t="shared" si="32"/>
        <v>9.2033920000000151</v>
      </c>
      <c r="Q32" s="128">
        <f>VLOOKUP(L32,Tarifa1,2)</f>
        <v>158.55000000000001</v>
      </c>
      <c r="R32" s="126">
        <f t="shared" si="33"/>
        <v>167.75339200000002</v>
      </c>
      <c r="S32" s="126">
        <f>VLOOKUP(L32,Credito1,2)</f>
        <v>145.35</v>
      </c>
      <c r="T32" s="126">
        <f t="shared" si="34"/>
        <v>22.4</v>
      </c>
      <c r="U32" s="150">
        <f>-IF(T32&gt;0,0,T32)</f>
        <v>0</v>
      </c>
      <c r="V32" s="150">
        <f>IF(T32&lt;0,0,T32)</f>
        <v>22.4</v>
      </c>
      <c r="W32" s="150">
        <f>SUM(V32:V32)</f>
        <v>22.4</v>
      </c>
      <c r="X32" s="150">
        <f>J32+U32-W32</f>
        <v>2761.6</v>
      </c>
      <c r="Y32" s="74"/>
    </row>
    <row r="33" spans="1:37" s="69" customFormat="1" ht="54.95" customHeight="1" x14ac:dyDescent="0.2">
      <c r="A33" s="114"/>
      <c r="B33" s="138" t="s">
        <v>118</v>
      </c>
      <c r="C33" s="138" t="s">
        <v>156</v>
      </c>
      <c r="D33" s="139" t="s">
        <v>152</v>
      </c>
      <c r="E33" s="140" t="s">
        <v>62</v>
      </c>
      <c r="F33" s="140"/>
      <c r="G33" s="140"/>
      <c r="H33" s="141">
        <f>SUM(H34:H34)</f>
        <v>2399.5</v>
      </c>
      <c r="I33" s="141">
        <f>SUM(I34:I34)</f>
        <v>0</v>
      </c>
      <c r="J33" s="141">
        <f>SUM(J34:J34)</f>
        <v>2399.5</v>
      </c>
      <c r="K33" s="140"/>
      <c r="L33" s="140"/>
      <c r="M33" s="140"/>
      <c r="N33" s="140"/>
      <c r="O33" s="140"/>
      <c r="P33" s="140"/>
      <c r="Q33" s="143"/>
      <c r="R33" s="140"/>
      <c r="S33" s="140"/>
      <c r="T33" s="142"/>
      <c r="U33" s="141">
        <f>SUM(U34:U34)</f>
        <v>20.98</v>
      </c>
      <c r="V33" s="141">
        <f>SUM(V34:V34)</f>
        <v>0</v>
      </c>
      <c r="W33" s="141">
        <f>SUM(W34:W34)</f>
        <v>0</v>
      </c>
      <c r="X33" s="141">
        <f>SUM(X34:X34)</f>
        <v>2420.48</v>
      </c>
      <c r="Y33" s="284"/>
    </row>
    <row r="34" spans="1:37" s="69" customFormat="1" ht="54.95" customHeight="1" x14ac:dyDescent="0.2">
      <c r="A34" s="114"/>
      <c r="B34" s="114" t="s">
        <v>129</v>
      </c>
      <c r="C34" s="114" t="s">
        <v>139</v>
      </c>
      <c r="D34" s="119" t="s">
        <v>70</v>
      </c>
      <c r="E34" s="121" t="s">
        <v>87</v>
      </c>
      <c r="F34" s="131">
        <v>15</v>
      </c>
      <c r="G34" s="132">
        <v>73.040000000000006</v>
      </c>
      <c r="H34" s="117">
        <v>2399.5</v>
      </c>
      <c r="I34" s="124">
        <v>0</v>
      </c>
      <c r="J34" s="125">
        <f>SUM(H34:I34)</f>
        <v>2399.5</v>
      </c>
      <c r="K34" s="126">
        <f>IF(H34/15&lt;=SMG,0,I34/2)</f>
        <v>0</v>
      </c>
      <c r="L34" s="126">
        <f t="shared" ref="L34" si="35">H34+K34</f>
        <v>2399.5</v>
      </c>
      <c r="M34" s="126">
        <f>VLOOKUP(L34,Tarifa1,1)</f>
        <v>318.01</v>
      </c>
      <c r="N34" s="126">
        <f t="shared" ref="N34" si="36">L34-M34</f>
        <v>2081.4899999999998</v>
      </c>
      <c r="O34" s="127">
        <f>VLOOKUP(L34,Tarifa1,3)</f>
        <v>6.4000000000000001E-2</v>
      </c>
      <c r="P34" s="126">
        <f t="shared" ref="P34" si="37">N34*O34</f>
        <v>133.21535999999998</v>
      </c>
      <c r="Q34" s="128">
        <f>VLOOKUP(L34,Tarifa1,2)</f>
        <v>6.15</v>
      </c>
      <c r="R34" s="126">
        <f t="shared" ref="R34" si="38">P34+Q34</f>
        <v>139.36535999999998</v>
      </c>
      <c r="S34" s="126">
        <f>VLOOKUP(L34,Credito1,2)</f>
        <v>160.35</v>
      </c>
      <c r="T34" s="126">
        <f t="shared" ref="T34" si="39">ROUND(R34-S34,2)</f>
        <v>-20.98</v>
      </c>
      <c r="U34" s="125">
        <f>-IF(T34&gt;0,0,T34)</f>
        <v>20.98</v>
      </c>
      <c r="V34" s="125">
        <f>IF(T34&lt;0,0,T34)</f>
        <v>0</v>
      </c>
      <c r="W34" s="125">
        <f>SUM(V34:V34)</f>
        <v>0</v>
      </c>
      <c r="X34" s="125">
        <f>J34+U34-W34</f>
        <v>2420.48</v>
      </c>
      <c r="Y34" s="89"/>
    </row>
    <row r="35" spans="1:37" s="69" customFormat="1" ht="21.75" customHeight="1" x14ac:dyDescent="0.2">
      <c r="A35" s="152"/>
      <c r="B35" s="153"/>
      <c r="C35" s="153"/>
      <c r="D35" s="154"/>
      <c r="E35" s="154"/>
      <c r="F35" s="155"/>
      <c r="G35" s="156"/>
      <c r="H35" s="157"/>
      <c r="I35" s="158"/>
      <c r="J35" s="159"/>
      <c r="K35" s="160"/>
      <c r="L35" s="160"/>
      <c r="M35" s="160"/>
      <c r="N35" s="160"/>
      <c r="O35" s="161"/>
      <c r="P35" s="160"/>
      <c r="Q35" s="160"/>
      <c r="R35" s="160"/>
      <c r="S35" s="160"/>
      <c r="T35" s="160"/>
      <c r="U35" s="159"/>
      <c r="V35" s="159"/>
      <c r="W35" s="159"/>
      <c r="X35" s="159"/>
      <c r="Y35" s="76"/>
    </row>
    <row r="36" spans="1:37" s="69" customFormat="1" ht="54.75" customHeight="1" thickBot="1" x14ac:dyDescent="0.25">
      <c r="A36" s="305" t="s">
        <v>45</v>
      </c>
      <c r="B36" s="306"/>
      <c r="C36" s="306"/>
      <c r="D36" s="306"/>
      <c r="E36" s="306"/>
      <c r="F36" s="306"/>
      <c r="G36" s="307"/>
      <c r="H36" s="162">
        <f>SUM(H9+H13+H15+H17+H20+H30+H33)</f>
        <v>79956</v>
      </c>
      <c r="I36" s="162">
        <f>SUM(I9+I13+I15+I17+I20+I30+I33)</f>
        <v>0</v>
      </c>
      <c r="J36" s="162">
        <f>SUM(J9+J13+J15+J17+J20+J30+J33)</f>
        <v>79956</v>
      </c>
      <c r="K36" s="163">
        <f t="shared" ref="K36:T36" si="40">SUM(K10:K34)</f>
        <v>0</v>
      </c>
      <c r="L36" s="163">
        <f t="shared" si="40"/>
        <v>79956</v>
      </c>
      <c r="M36" s="163">
        <f t="shared" si="40"/>
        <v>57931.46</v>
      </c>
      <c r="N36" s="163">
        <f t="shared" si="40"/>
        <v>22024.54</v>
      </c>
      <c r="O36" s="163">
        <f t="shared" si="40"/>
        <v>1.6808000000000003</v>
      </c>
      <c r="P36" s="163">
        <f t="shared" si="40"/>
        <v>4264.2227920000005</v>
      </c>
      <c r="Q36" s="163">
        <f t="shared" si="40"/>
        <v>7090.6500000000005</v>
      </c>
      <c r="R36" s="163">
        <f t="shared" si="40"/>
        <v>11354.872792</v>
      </c>
      <c r="S36" s="163">
        <f t="shared" si="40"/>
        <v>611.4</v>
      </c>
      <c r="T36" s="163">
        <f t="shared" si="40"/>
        <v>10743.469999999998</v>
      </c>
      <c r="U36" s="162">
        <f>SUM(U9+U13+U15+U17+U20+U30+U33)</f>
        <v>27.6</v>
      </c>
      <c r="V36" s="162">
        <f>SUM(V9+V13+V15+V17+V20+V30+V33)</f>
        <v>10771.07</v>
      </c>
      <c r="W36" s="162">
        <f>SUM(W9+W13+W15+W17+W20+W30+W33)</f>
        <v>10771.07</v>
      </c>
      <c r="X36" s="162">
        <f>SUM(X9+X13+X15+X17+X20+X30+X33)</f>
        <v>69212.53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218</v>
      </c>
      <c r="V46" s="69" t="s">
        <v>107</v>
      </c>
    </row>
    <row r="47" spans="1:37" s="69" customFormat="1" ht="12" x14ac:dyDescent="0.2">
      <c r="D47" s="78" t="s">
        <v>369</v>
      </c>
      <c r="V47" s="78" t="s">
        <v>219</v>
      </c>
    </row>
    <row r="48" spans="1:37" s="69" customFormat="1" ht="12" x14ac:dyDescent="0.2">
      <c r="D48" s="78" t="s">
        <v>370</v>
      </c>
      <c r="E48" s="78"/>
      <c r="F48" s="78"/>
      <c r="G48" s="78"/>
      <c r="H48" s="78"/>
      <c r="I48" s="78"/>
      <c r="V48" s="78" t="s">
        <v>95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J16 J21" formulaRange="1"/>
    <ignoredError sqref="C10 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54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86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139</v>
      </c>
      <c r="D10" s="164" t="s">
        <v>216</v>
      </c>
      <c r="E10" s="164" t="s">
        <v>86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5" t="s">
        <v>45</v>
      </c>
      <c r="B12" s="306"/>
      <c r="C12" s="306"/>
      <c r="D12" s="306"/>
      <c r="E12" s="306"/>
      <c r="F12" s="306"/>
      <c r="G12" s="307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220</v>
      </c>
      <c r="V22" t="s">
        <v>107</v>
      </c>
    </row>
    <row r="23" spans="4:37" x14ac:dyDescent="0.2">
      <c r="D23" s="78" t="s">
        <v>369</v>
      </c>
      <c r="H23" s="4"/>
      <c r="V23" s="78" t="s">
        <v>221</v>
      </c>
    </row>
    <row r="24" spans="4:37" x14ac:dyDescent="0.2">
      <c r="D24" s="78" t="s">
        <v>370</v>
      </c>
      <c r="E24" s="51"/>
      <c r="F24" s="51"/>
      <c r="G24" s="51"/>
      <c r="H24" s="51"/>
      <c r="I24" s="51"/>
      <c r="V24" s="51" t="s">
        <v>95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7" zoomScaleNormal="100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364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291</v>
      </c>
      <c r="E9" s="46" t="s">
        <v>62</v>
      </c>
      <c r="F9" s="212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139</v>
      </c>
      <c r="D10" s="164" t="s">
        <v>197</v>
      </c>
      <c r="E10" s="175" t="s">
        <v>356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118</v>
      </c>
      <c r="C11" s="201" t="s">
        <v>156</v>
      </c>
      <c r="D11" s="45" t="s">
        <v>159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367</v>
      </c>
      <c r="C12" s="62" t="s">
        <v>139</v>
      </c>
      <c r="D12" s="164" t="s">
        <v>362</v>
      </c>
      <c r="E12" s="175" t="s">
        <v>363</v>
      </c>
      <c r="F12" s="165">
        <v>10</v>
      </c>
      <c r="G12" s="166">
        <f t="shared" ref="G12" si="0">H12/F12</f>
        <v>672.85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5" t="s">
        <v>45</v>
      </c>
      <c r="B14" s="306"/>
      <c r="C14" s="306"/>
      <c r="D14" s="306"/>
      <c r="E14" s="306"/>
      <c r="F14" s="306"/>
      <c r="G14" s="307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220</v>
      </c>
      <c r="V24" t="s">
        <v>107</v>
      </c>
    </row>
    <row r="25" spans="4:37" x14ac:dyDescent="0.2">
      <c r="D25" s="78" t="s">
        <v>369</v>
      </c>
      <c r="H25" s="4"/>
      <c r="V25" s="78" t="s">
        <v>221</v>
      </c>
    </row>
    <row r="26" spans="4:37" x14ac:dyDescent="0.2">
      <c r="D26" s="78" t="s">
        <v>370</v>
      </c>
      <c r="E26" s="51"/>
      <c r="F26" s="51"/>
      <c r="G26" s="51"/>
      <c r="H26" s="51"/>
      <c r="I26" s="51"/>
      <c r="V26" s="51" t="s">
        <v>95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34" zoomScale="66" zoomScaleNormal="66" workbookViewId="0">
      <selection activeCell="W3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0" t="s">
        <v>140</v>
      </c>
      <c r="D5" s="65"/>
      <c r="E5" s="65"/>
      <c r="F5" s="66" t="s">
        <v>23</v>
      </c>
      <c r="G5" s="66" t="s">
        <v>6</v>
      </c>
      <c r="H5" s="311" t="s">
        <v>1</v>
      </c>
      <c r="I5" s="312"/>
      <c r="J5" s="313"/>
      <c r="K5" s="67" t="s">
        <v>26</v>
      </c>
      <c r="L5" s="68"/>
      <c r="M5" s="314" t="s">
        <v>9</v>
      </c>
      <c r="N5" s="315"/>
      <c r="O5" s="315"/>
      <c r="P5" s="315"/>
      <c r="Q5" s="315"/>
      <c r="R5" s="316"/>
      <c r="S5" s="67" t="s">
        <v>30</v>
      </c>
      <c r="T5" s="67" t="s">
        <v>10</v>
      </c>
      <c r="U5" s="66" t="s">
        <v>54</v>
      </c>
      <c r="V5" s="317" t="s">
        <v>2</v>
      </c>
      <c r="W5" s="318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118</v>
      </c>
      <c r="C6" s="331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2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157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75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5" t="s">
        <v>99</v>
      </c>
      <c r="B9" s="246" t="s">
        <v>283</v>
      </c>
      <c r="C9" s="247" t="s">
        <v>217</v>
      </c>
      <c r="D9" s="248" t="s">
        <v>280</v>
      </c>
      <c r="E9" s="249" t="s">
        <v>332</v>
      </c>
      <c r="F9" s="250">
        <v>15</v>
      </c>
      <c r="G9" s="251">
        <f t="shared" ref="G9:G12" si="0">H9/F9</f>
        <v>647.79999999999995</v>
      </c>
      <c r="H9" s="236">
        <v>9717</v>
      </c>
      <c r="I9" s="237">
        <v>0</v>
      </c>
      <c r="J9" s="238">
        <f t="shared" ref="J9" si="1">SUM(H9:I9)</f>
        <v>9717</v>
      </c>
      <c r="K9" s="255">
        <f t="shared" ref="K9:K20" si="2">IF(H9/15&lt;=SMG,0,I9/2)</f>
        <v>0</v>
      </c>
      <c r="L9" s="255">
        <f>H9+K9</f>
        <v>9717</v>
      </c>
      <c r="M9" s="255">
        <f t="shared" ref="M9:M20" si="3">VLOOKUP(L9,Tarifa1,1)</f>
        <v>6602.71</v>
      </c>
      <c r="N9" s="255">
        <f>L9-M9</f>
        <v>3114.29</v>
      </c>
      <c r="O9" s="256">
        <f t="shared" ref="O9:O20" si="4">VLOOKUP(L9,Tarifa1,3)</f>
        <v>0.21360000000000001</v>
      </c>
      <c r="P9" s="255">
        <f>N9*O9</f>
        <v>665.21234400000003</v>
      </c>
      <c r="Q9" s="257">
        <f t="shared" ref="Q9:Q20" si="5">VLOOKUP(L9,Tarifa1,2)</f>
        <v>699.3</v>
      </c>
      <c r="R9" s="255">
        <f>P9+Q9</f>
        <v>1364.512344</v>
      </c>
      <c r="S9" s="288">
        <f t="shared" ref="S9:S20" si="6">VLOOKUP(L9,Credito1,2)</f>
        <v>0</v>
      </c>
      <c r="T9" s="255">
        <f>ROUND(R9-S9,2)</f>
        <v>1364.51</v>
      </c>
      <c r="U9" s="238">
        <f t="shared" ref="U9" si="7">-IF(T9&gt;0,0,T9)</f>
        <v>0</v>
      </c>
      <c r="V9" s="238">
        <f t="shared" ref="V9" si="8">IF(T9&lt;0,0,T9)</f>
        <v>1364.51</v>
      </c>
      <c r="W9" s="238">
        <f>SUM(V9:V9)</f>
        <v>1364.51</v>
      </c>
      <c r="X9" s="238">
        <f>J9+U9-W9</f>
        <v>8352.49</v>
      </c>
      <c r="Y9" s="258"/>
      <c r="Z9" s="188"/>
      <c r="AE9" s="189"/>
    </row>
    <row r="10" spans="1:31" s="186" customFormat="1" ht="95.1" customHeight="1" x14ac:dyDescent="0.25">
      <c r="A10" s="245"/>
      <c r="B10" s="246" t="s">
        <v>236</v>
      </c>
      <c r="C10" s="247" t="s">
        <v>139</v>
      </c>
      <c r="D10" s="248" t="s">
        <v>186</v>
      </c>
      <c r="E10" s="249" t="s">
        <v>187</v>
      </c>
      <c r="F10" s="250">
        <v>15</v>
      </c>
      <c r="G10" s="251">
        <f t="shared" ref="G10" si="9">H10/F10</f>
        <v>268.93333333333334</v>
      </c>
      <c r="H10" s="252">
        <v>4034</v>
      </c>
      <c r="I10" s="253">
        <v>0</v>
      </c>
      <c r="J10" s="254">
        <f>SUM(H10:I10)</f>
        <v>4034</v>
      </c>
      <c r="K10" s="255">
        <f t="shared" si="2"/>
        <v>0</v>
      </c>
      <c r="L10" s="255">
        <f t="shared" ref="L10:L20" si="10">H10+K10</f>
        <v>4034</v>
      </c>
      <c r="M10" s="255">
        <f t="shared" si="3"/>
        <v>2699.41</v>
      </c>
      <c r="N10" s="255">
        <f t="shared" ref="N10:N20" si="11">L10-M10</f>
        <v>1334.5900000000001</v>
      </c>
      <c r="O10" s="256">
        <f t="shared" si="4"/>
        <v>0.10879999999999999</v>
      </c>
      <c r="P10" s="255">
        <f t="shared" ref="P10:P20" si="12">N10*O10</f>
        <v>145.20339200000001</v>
      </c>
      <c r="Q10" s="257">
        <f t="shared" si="5"/>
        <v>158.55000000000001</v>
      </c>
      <c r="R10" s="255">
        <f t="shared" ref="R10:R20" si="13">P10+Q10</f>
        <v>303.75339200000002</v>
      </c>
      <c r="S10" s="288">
        <f t="shared" si="6"/>
        <v>0</v>
      </c>
      <c r="T10" s="255">
        <f t="shared" ref="T10:T20" si="14">ROUND(R10-S10,2)</f>
        <v>303.75</v>
      </c>
      <c r="U10" s="254">
        <f t="shared" ref="U10" si="15">-IF(T10&gt;0,0,T10)</f>
        <v>0</v>
      </c>
      <c r="V10" s="254">
        <f>IF(T10&lt;0,0,T10)</f>
        <v>303.75</v>
      </c>
      <c r="W10" s="254">
        <f>SUM(V10:V10)</f>
        <v>303.75</v>
      </c>
      <c r="X10" s="254">
        <f>J10+U10-W10</f>
        <v>3730.25</v>
      </c>
      <c r="Y10" s="258"/>
      <c r="Z10" s="188"/>
      <c r="AE10" s="189"/>
    </row>
    <row r="11" spans="1:31" s="186" customFormat="1" ht="95.1" customHeight="1" x14ac:dyDescent="0.25">
      <c r="A11" s="245" t="s">
        <v>100</v>
      </c>
      <c r="B11" s="246" t="s">
        <v>237</v>
      </c>
      <c r="C11" s="247" t="s">
        <v>139</v>
      </c>
      <c r="D11" s="248" t="s">
        <v>188</v>
      </c>
      <c r="E11" s="249" t="s">
        <v>191</v>
      </c>
      <c r="F11" s="250">
        <v>15</v>
      </c>
      <c r="G11" s="251">
        <f t="shared" si="0"/>
        <v>538.4</v>
      </c>
      <c r="H11" s="252">
        <v>8076</v>
      </c>
      <c r="I11" s="253">
        <v>0</v>
      </c>
      <c r="J11" s="254">
        <f>SUM(H11:I11)</f>
        <v>8076</v>
      </c>
      <c r="K11" s="255">
        <f t="shared" si="2"/>
        <v>0</v>
      </c>
      <c r="L11" s="255">
        <f t="shared" si="10"/>
        <v>8076</v>
      </c>
      <c r="M11" s="255">
        <f t="shared" si="3"/>
        <v>6602.71</v>
      </c>
      <c r="N11" s="255">
        <f t="shared" si="11"/>
        <v>1473.29</v>
      </c>
      <c r="O11" s="256">
        <f t="shared" si="4"/>
        <v>0.21360000000000001</v>
      </c>
      <c r="P11" s="255">
        <f t="shared" si="12"/>
        <v>314.69474400000001</v>
      </c>
      <c r="Q11" s="257">
        <f t="shared" si="5"/>
        <v>699.3</v>
      </c>
      <c r="R11" s="255">
        <f t="shared" si="13"/>
        <v>1013.994744</v>
      </c>
      <c r="S11" s="288">
        <f t="shared" si="6"/>
        <v>0</v>
      </c>
      <c r="T11" s="255">
        <f t="shared" si="14"/>
        <v>1013.99</v>
      </c>
      <c r="U11" s="254">
        <f t="shared" ref="U11:U13" si="16">-IF(T11&gt;0,0,T11)</f>
        <v>0</v>
      </c>
      <c r="V11" s="254">
        <f>IF(T11&lt;0,0,T11)</f>
        <v>1013.99</v>
      </c>
      <c r="W11" s="254">
        <f>SUM(V11:V11)</f>
        <v>1013.99</v>
      </c>
      <c r="X11" s="254">
        <f>J11+U11-W11</f>
        <v>7062.01</v>
      </c>
      <c r="Y11" s="258"/>
      <c r="AE11" s="190"/>
    </row>
    <row r="12" spans="1:31" s="186" customFormat="1" ht="95.1" customHeight="1" x14ac:dyDescent="0.25">
      <c r="A12" s="245" t="s">
        <v>101</v>
      </c>
      <c r="B12" s="247" t="s">
        <v>134</v>
      </c>
      <c r="C12" s="247" t="s">
        <v>139</v>
      </c>
      <c r="D12" s="248" t="s">
        <v>72</v>
      </c>
      <c r="E12" s="249" t="s">
        <v>190</v>
      </c>
      <c r="F12" s="250">
        <v>15</v>
      </c>
      <c r="G12" s="251">
        <f t="shared" si="0"/>
        <v>446.33333333333331</v>
      </c>
      <c r="H12" s="252">
        <v>6695</v>
      </c>
      <c r="I12" s="253">
        <v>0</v>
      </c>
      <c r="J12" s="254">
        <f>SUM(H12:I12)</f>
        <v>6695</v>
      </c>
      <c r="K12" s="255">
        <f t="shared" si="2"/>
        <v>0</v>
      </c>
      <c r="L12" s="255">
        <f t="shared" si="10"/>
        <v>6695</v>
      </c>
      <c r="M12" s="255">
        <f t="shared" si="3"/>
        <v>6602.71</v>
      </c>
      <c r="N12" s="255">
        <f t="shared" si="11"/>
        <v>92.289999999999964</v>
      </c>
      <c r="O12" s="256">
        <f t="shared" si="4"/>
        <v>0.21360000000000001</v>
      </c>
      <c r="P12" s="255">
        <f t="shared" si="12"/>
        <v>19.713143999999993</v>
      </c>
      <c r="Q12" s="257">
        <f t="shared" si="5"/>
        <v>699.3</v>
      </c>
      <c r="R12" s="255">
        <f t="shared" si="13"/>
        <v>719.0131439999999</v>
      </c>
      <c r="S12" s="288">
        <f t="shared" si="6"/>
        <v>0</v>
      </c>
      <c r="T12" s="255">
        <f t="shared" si="14"/>
        <v>719.01</v>
      </c>
      <c r="U12" s="254">
        <f t="shared" si="16"/>
        <v>0</v>
      </c>
      <c r="V12" s="254">
        <f t="shared" ref="V12:V13" si="17">IF(T12&lt;0,0,T12)</f>
        <v>719.01</v>
      </c>
      <c r="W12" s="254">
        <f>SUM(V12:V12)</f>
        <v>719.01</v>
      </c>
      <c r="X12" s="254">
        <f>J12+U12-W12</f>
        <v>5975.99</v>
      </c>
      <c r="Y12" s="258"/>
    </row>
    <row r="13" spans="1:31" s="186" customFormat="1" ht="95.1" customHeight="1" x14ac:dyDescent="0.25">
      <c r="A13" s="292"/>
      <c r="B13" s="246" t="s">
        <v>345</v>
      </c>
      <c r="C13" s="246"/>
      <c r="D13" s="293" t="s">
        <v>343</v>
      </c>
      <c r="E13" s="249" t="s">
        <v>344</v>
      </c>
      <c r="F13" s="250"/>
      <c r="G13" s="251"/>
      <c r="H13" s="252">
        <v>5894</v>
      </c>
      <c r="I13" s="253">
        <v>0</v>
      </c>
      <c r="J13" s="252">
        <f>H13</f>
        <v>5894</v>
      </c>
      <c r="K13" s="255">
        <f t="shared" ref="K13" si="18">IF(H13/15&lt;=SMG,0,I13/2)</f>
        <v>0</v>
      </c>
      <c r="L13" s="255">
        <f t="shared" ref="L13" si="19">H13+K13</f>
        <v>5894</v>
      </c>
      <c r="M13" s="255">
        <f t="shared" ref="M13" si="20">VLOOKUP(L13,Tarifa1,1)</f>
        <v>5514.76</v>
      </c>
      <c r="N13" s="255">
        <f t="shared" ref="N13" si="21">L13-M13</f>
        <v>379.23999999999978</v>
      </c>
      <c r="O13" s="256">
        <f t="shared" ref="O13" si="22">VLOOKUP(L13,Tarifa1,3)</f>
        <v>0.1792</v>
      </c>
      <c r="P13" s="255">
        <f t="shared" ref="P13" si="23">N13*O13</f>
        <v>67.959807999999967</v>
      </c>
      <c r="Q13" s="257">
        <f t="shared" ref="Q13" si="24">VLOOKUP(L13,Tarifa1,2)</f>
        <v>504.3</v>
      </c>
      <c r="R13" s="255">
        <f t="shared" ref="R13" si="25">P13+Q13</f>
        <v>572.25980800000002</v>
      </c>
      <c r="S13" s="288">
        <f t="shared" ref="S13" si="26">VLOOKUP(L13,Credito1,2)</f>
        <v>0</v>
      </c>
      <c r="T13" s="255">
        <f t="shared" ref="T13" si="27">ROUND(R13-S13,2)</f>
        <v>572.26</v>
      </c>
      <c r="U13" s="254">
        <f t="shared" si="16"/>
        <v>0</v>
      </c>
      <c r="V13" s="254">
        <f t="shared" si="17"/>
        <v>572.26</v>
      </c>
      <c r="W13" s="254">
        <f>SUM(V13:V13)</f>
        <v>572.26</v>
      </c>
      <c r="X13" s="254">
        <f>J13+U13-W13+I13</f>
        <v>5321.74</v>
      </c>
      <c r="Y13" s="258"/>
    </row>
    <row r="14" spans="1:31" s="186" customFormat="1" ht="95.1" customHeight="1" x14ac:dyDescent="0.25">
      <c r="A14" s="245"/>
      <c r="B14" s="247" t="s">
        <v>297</v>
      </c>
      <c r="C14" s="247" t="s">
        <v>139</v>
      </c>
      <c r="D14" s="259" t="s">
        <v>296</v>
      </c>
      <c r="E14" s="249" t="s">
        <v>73</v>
      </c>
      <c r="F14" s="250"/>
      <c r="G14" s="251"/>
      <c r="H14" s="252">
        <v>5894</v>
      </c>
      <c r="I14" s="253">
        <v>0</v>
      </c>
      <c r="J14" s="252">
        <f>H14</f>
        <v>5894</v>
      </c>
      <c r="K14" s="255">
        <f t="shared" si="2"/>
        <v>0</v>
      </c>
      <c r="L14" s="255">
        <f t="shared" si="10"/>
        <v>5894</v>
      </c>
      <c r="M14" s="255">
        <f t="shared" si="3"/>
        <v>5514.76</v>
      </c>
      <c r="N14" s="255">
        <f t="shared" si="11"/>
        <v>379.23999999999978</v>
      </c>
      <c r="O14" s="256">
        <f t="shared" si="4"/>
        <v>0.1792</v>
      </c>
      <c r="P14" s="255">
        <f t="shared" si="12"/>
        <v>67.959807999999967</v>
      </c>
      <c r="Q14" s="257">
        <f t="shared" si="5"/>
        <v>504.3</v>
      </c>
      <c r="R14" s="255">
        <f t="shared" si="13"/>
        <v>572.25980800000002</v>
      </c>
      <c r="S14" s="288">
        <f t="shared" si="6"/>
        <v>0</v>
      </c>
      <c r="T14" s="255">
        <f t="shared" si="14"/>
        <v>572.26</v>
      </c>
      <c r="U14" s="254">
        <f>-IF(T14&gt;0,0,T14)</f>
        <v>0</v>
      </c>
      <c r="V14" s="254">
        <f>IF(T14&lt;0,0,T14)</f>
        <v>572.26</v>
      </c>
      <c r="W14" s="254">
        <f>SUM(V14:V14)</f>
        <v>572.26</v>
      </c>
      <c r="X14" s="254">
        <f>J14+U14-W14+I14</f>
        <v>5321.74</v>
      </c>
      <c r="Y14" s="258"/>
      <c r="AE14" s="189"/>
    </row>
    <row r="15" spans="1:31" s="186" customFormat="1" ht="95.1" customHeight="1" x14ac:dyDescent="0.25">
      <c r="A15" s="245"/>
      <c r="B15" s="247" t="s">
        <v>319</v>
      </c>
      <c r="C15" s="247" t="s">
        <v>217</v>
      </c>
      <c r="D15" s="259" t="s">
        <v>318</v>
      </c>
      <c r="E15" s="249" t="s">
        <v>73</v>
      </c>
      <c r="F15" s="250"/>
      <c r="G15" s="251"/>
      <c r="H15" s="252">
        <v>5894</v>
      </c>
      <c r="I15" s="253">
        <v>0</v>
      </c>
      <c r="J15" s="252">
        <f>H15</f>
        <v>5894</v>
      </c>
      <c r="K15" s="255">
        <f t="shared" si="2"/>
        <v>0</v>
      </c>
      <c r="L15" s="255">
        <f t="shared" si="10"/>
        <v>5894</v>
      </c>
      <c r="M15" s="255">
        <f t="shared" si="3"/>
        <v>5514.76</v>
      </c>
      <c r="N15" s="255">
        <f t="shared" si="11"/>
        <v>379.23999999999978</v>
      </c>
      <c r="O15" s="256">
        <f t="shared" si="4"/>
        <v>0.1792</v>
      </c>
      <c r="P15" s="255">
        <f t="shared" si="12"/>
        <v>67.959807999999967</v>
      </c>
      <c r="Q15" s="257">
        <f t="shared" si="5"/>
        <v>504.3</v>
      </c>
      <c r="R15" s="255">
        <f t="shared" si="13"/>
        <v>572.25980800000002</v>
      </c>
      <c r="S15" s="288">
        <f t="shared" si="6"/>
        <v>0</v>
      </c>
      <c r="T15" s="255">
        <f t="shared" si="14"/>
        <v>572.26</v>
      </c>
      <c r="U15" s="254">
        <f t="shared" ref="U15" si="28">-IF(T15&gt;0,0,T15)</f>
        <v>0</v>
      </c>
      <c r="V15" s="254">
        <f t="shared" ref="V15" si="29">IF(T15&lt;0,0,T15)</f>
        <v>572.26</v>
      </c>
      <c r="W15" s="254">
        <f>SUM(V15:V15)</f>
        <v>572.26</v>
      </c>
      <c r="X15" s="254">
        <f>J15+U15-W15+I15</f>
        <v>5321.74</v>
      </c>
      <c r="Y15" s="258"/>
      <c r="AE15" s="189"/>
    </row>
    <row r="16" spans="1:31" s="186" customFormat="1" ht="95.1" customHeight="1" x14ac:dyDescent="0.25">
      <c r="A16" s="245"/>
      <c r="B16" s="246" t="s">
        <v>327</v>
      </c>
      <c r="C16" s="247" t="s">
        <v>139</v>
      </c>
      <c r="D16" s="249" t="s">
        <v>317</v>
      </c>
      <c r="E16" s="249" t="s">
        <v>73</v>
      </c>
      <c r="F16" s="250"/>
      <c r="G16" s="251"/>
      <c r="H16" s="252">
        <v>5894</v>
      </c>
      <c r="I16" s="253">
        <v>0</v>
      </c>
      <c r="J16" s="252">
        <f>H16</f>
        <v>5894</v>
      </c>
      <c r="K16" s="255">
        <f t="shared" si="2"/>
        <v>0</v>
      </c>
      <c r="L16" s="255">
        <f t="shared" si="10"/>
        <v>5894</v>
      </c>
      <c r="M16" s="255">
        <f t="shared" si="3"/>
        <v>5514.76</v>
      </c>
      <c r="N16" s="255">
        <f t="shared" si="11"/>
        <v>379.23999999999978</v>
      </c>
      <c r="O16" s="256">
        <f t="shared" si="4"/>
        <v>0.1792</v>
      </c>
      <c r="P16" s="255">
        <f t="shared" si="12"/>
        <v>67.959807999999967</v>
      </c>
      <c r="Q16" s="257">
        <f t="shared" si="5"/>
        <v>504.3</v>
      </c>
      <c r="R16" s="255">
        <f t="shared" si="13"/>
        <v>572.25980800000002</v>
      </c>
      <c r="S16" s="288">
        <f t="shared" si="6"/>
        <v>0</v>
      </c>
      <c r="T16" s="255">
        <f t="shared" si="14"/>
        <v>572.26</v>
      </c>
      <c r="U16" s="254">
        <f t="shared" ref="U16" si="30">-IF(T16&gt;0,0,T16)</f>
        <v>0</v>
      </c>
      <c r="V16" s="254">
        <f t="shared" ref="V16" si="31">IF(T16&lt;0,0,T16)</f>
        <v>572.26</v>
      </c>
      <c r="W16" s="254">
        <f>SUM(V16:V16)</f>
        <v>572.26</v>
      </c>
      <c r="X16" s="254">
        <f>J16+U16-W16+I16</f>
        <v>5321.74</v>
      </c>
      <c r="Y16" s="258"/>
      <c r="AE16" s="189"/>
    </row>
    <row r="17" spans="1:31" s="186" customFormat="1" ht="95.1" customHeight="1" x14ac:dyDescent="0.25">
      <c r="A17" s="245"/>
      <c r="B17" s="247" t="s">
        <v>135</v>
      </c>
      <c r="C17" s="247" t="s">
        <v>139</v>
      </c>
      <c r="D17" s="248" t="s">
        <v>74</v>
      </c>
      <c r="E17" s="249" t="s">
        <v>189</v>
      </c>
      <c r="F17" s="250">
        <v>15</v>
      </c>
      <c r="G17" s="251">
        <f>H17/F17</f>
        <v>537.4</v>
      </c>
      <c r="H17" s="252">
        <v>8061</v>
      </c>
      <c r="I17" s="253">
        <v>0</v>
      </c>
      <c r="J17" s="254">
        <f>SUM(H17:I17)</f>
        <v>8061</v>
      </c>
      <c r="K17" s="255">
        <f t="shared" si="2"/>
        <v>0</v>
      </c>
      <c r="L17" s="255">
        <f t="shared" si="10"/>
        <v>8061</v>
      </c>
      <c r="M17" s="255">
        <f t="shared" si="3"/>
        <v>6602.71</v>
      </c>
      <c r="N17" s="255">
        <f t="shared" si="11"/>
        <v>1458.29</v>
      </c>
      <c r="O17" s="256">
        <f t="shared" si="4"/>
        <v>0.21360000000000001</v>
      </c>
      <c r="P17" s="255">
        <f t="shared" si="12"/>
        <v>311.49074400000001</v>
      </c>
      <c r="Q17" s="257">
        <f t="shared" si="5"/>
        <v>699.3</v>
      </c>
      <c r="R17" s="255">
        <f t="shared" si="13"/>
        <v>1010.7907439999999</v>
      </c>
      <c r="S17" s="288">
        <f t="shared" si="6"/>
        <v>0</v>
      </c>
      <c r="T17" s="255">
        <f t="shared" si="14"/>
        <v>1010.79</v>
      </c>
      <c r="U17" s="254">
        <f>-IF(T17&gt;0,0,T17)</f>
        <v>0</v>
      </c>
      <c r="V17" s="254">
        <f>IF(T17&lt;0,0,T17)</f>
        <v>1010.79</v>
      </c>
      <c r="W17" s="254">
        <f>SUM(V17:V17)</f>
        <v>1010.79</v>
      </c>
      <c r="X17" s="254">
        <f>J17+U17-W17</f>
        <v>7050.21</v>
      </c>
      <c r="Y17" s="258"/>
      <c r="AE17" s="189"/>
    </row>
    <row r="18" spans="1:31" s="186" customFormat="1" ht="95.1" customHeight="1" x14ac:dyDescent="0.25">
      <c r="A18" s="245"/>
      <c r="B18" s="247" t="s">
        <v>334</v>
      </c>
      <c r="C18" s="247" t="s">
        <v>139</v>
      </c>
      <c r="D18" s="248" t="s">
        <v>335</v>
      </c>
      <c r="E18" s="249" t="s">
        <v>189</v>
      </c>
      <c r="F18" s="250">
        <v>15</v>
      </c>
      <c r="G18" s="251">
        <f t="shared" ref="G18" si="32">H18/F18</f>
        <v>537.4</v>
      </c>
      <c r="H18" s="252">
        <v>8061</v>
      </c>
      <c r="I18" s="253">
        <v>0</v>
      </c>
      <c r="J18" s="254">
        <f t="shared" ref="J18" si="33">SUM(H18:I18)</f>
        <v>8061</v>
      </c>
      <c r="K18" s="255">
        <f t="shared" si="2"/>
        <v>0</v>
      </c>
      <c r="L18" s="255">
        <f t="shared" si="10"/>
        <v>8061</v>
      </c>
      <c r="M18" s="255">
        <f t="shared" si="3"/>
        <v>6602.71</v>
      </c>
      <c r="N18" s="255">
        <f t="shared" si="11"/>
        <v>1458.29</v>
      </c>
      <c r="O18" s="256">
        <f t="shared" si="4"/>
        <v>0.21360000000000001</v>
      </c>
      <c r="P18" s="255">
        <f t="shared" si="12"/>
        <v>311.49074400000001</v>
      </c>
      <c r="Q18" s="257">
        <f t="shared" si="5"/>
        <v>699.3</v>
      </c>
      <c r="R18" s="255">
        <f t="shared" si="13"/>
        <v>1010.7907439999999</v>
      </c>
      <c r="S18" s="288">
        <f t="shared" si="6"/>
        <v>0</v>
      </c>
      <c r="T18" s="255">
        <f t="shared" si="14"/>
        <v>1010.79</v>
      </c>
      <c r="U18" s="254">
        <f>-IF(T18&gt;0,0,T18)</f>
        <v>0</v>
      </c>
      <c r="V18" s="254">
        <f>IF(T18&lt;0,0,T18)</f>
        <v>1010.79</v>
      </c>
      <c r="W18" s="254">
        <f>SUM(V18:V18)</f>
        <v>1010.79</v>
      </c>
      <c r="X18" s="254">
        <f>J18+U18-W18</f>
        <v>7050.21</v>
      </c>
      <c r="Y18" s="258"/>
      <c r="AE18" s="189"/>
    </row>
    <row r="19" spans="1:31" s="186" customFormat="1" ht="95.1" customHeight="1" x14ac:dyDescent="0.25">
      <c r="A19" s="245"/>
      <c r="B19" s="247" t="s">
        <v>179</v>
      </c>
      <c r="C19" s="247" t="s">
        <v>139</v>
      </c>
      <c r="D19" s="259" t="s">
        <v>177</v>
      </c>
      <c r="E19" s="249" t="s">
        <v>264</v>
      </c>
      <c r="F19" s="250">
        <v>15</v>
      </c>
      <c r="G19" s="251">
        <f t="shared" ref="G19:G34" si="34">H19/F19</f>
        <v>430</v>
      </c>
      <c r="H19" s="252">
        <v>6450</v>
      </c>
      <c r="I19" s="253">
        <v>0</v>
      </c>
      <c r="J19" s="254">
        <f t="shared" ref="J19:J34" si="35">SUM(H19:I19)</f>
        <v>6450</v>
      </c>
      <c r="K19" s="255">
        <f t="shared" si="2"/>
        <v>0</v>
      </c>
      <c r="L19" s="255">
        <f t="shared" si="10"/>
        <v>6450</v>
      </c>
      <c r="M19" s="255">
        <f t="shared" si="3"/>
        <v>5514.76</v>
      </c>
      <c r="N19" s="255">
        <f t="shared" si="11"/>
        <v>935.23999999999978</v>
      </c>
      <c r="O19" s="256">
        <f t="shared" si="4"/>
        <v>0.1792</v>
      </c>
      <c r="P19" s="255">
        <f t="shared" si="12"/>
        <v>167.59500799999995</v>
      </c>
      <c r="Q19" s="257">
        <f t="shared" si="5"/>
        <v>504.3</v>
      </c>
      <c r="R19" s="255">
        <f t="shared" si="13"/>
        <v>671.89500799999996</v>
      </c>
      <c r="S19" s="288">
        <f t="shared" si="6"/>
        <v>0</v>
      </c>
      <c r="T19" s="255">
        <f t="shared" si="14"/>
        <v>671.9</v>
      </c>
      <c r="U19" s="254">
        <f t="shared" ref="U19" si="36">-IF(T19&gt;0,0,T19)</f>
        <v>0</v>
      </c>
      <c r="V19" s="254">
        <f t="shared" ref="V19:V34" si="37">IF(T19&lt;0,0,T19)</f>
        <v>671.9</v>
      </c>
      <c r="W19" s="254">
        <f>SUM(V19:V19)</f>
        <v>671.9</v>
      </c>
      <c r="X19" s="254">
        <f>J19+U19-W19</f>
        <v>5778.1</v>
      </c>
      <c r="Y19" s="258"/>
      <c r="AE19" s="189"/>
    </row>
    <row r="20" spans="1:31" s="186" customFormat="1" ht="95.1" customHeight="1" x14ac:dyDescent="0.25">
      <c r="A20" s="245"/>
      <c r="B20" s="247" t="s">
        <v>325</v>
      </c>
      <c r="C20" s="247" t="s">
        <v>139</v>
      </c>
      <c r="D20" s="259" t="s">
        <v>326</v>
      </c>
      <c r="E20" s="249" t="s">
        <v>264</v>
      </c>
      <c r="F20" s="250"/>
      <c r="G20" s="251"/>
      <c r="H20" s="252">
        <v>6450</v>
      </c>
      <c r="I20" s="253">
        <v>0</v>
      </c>
      <c r="J20" s="254">
        <f>SUM(H20:I20)</f>
        <v>6450</v>
      </c>
      <c r="K20" s="255">
        <f t="shared" si="2"/>
        <v>0</v>
      </c>
      <c r="L20" s="255">
        <f t="shared" si="10"/>
        <v>6450</v>
      </c>
      <c r="M20" s="255">
        <f t="shared" si="3"/>
        <v>5514.76</v>
      </c>
      <c r="N20" s="255">
        <f t="shared" si="11"/>
        <v>935.23999999999978</v>
      </c>
      <c r="O20" s="256">
        <f t="shared" si="4"/>
        <v>0.1792</v>
      </c>
      <c r="P20" s="255">
        <f t="shared" si="12"/>
        <v>167.59500799999995</v>
      </c>
      <c r="Q20" s="257">
        <f t="shared" si="5"/>
        <v>504.3</v>
      </c>
      <c r="R20" s="255">
        <f t="shared" si="13"/>
        <v>671.89500799999996</v>
      </c>
      <c r="S20" s="288">
        <f t="shared" si="6"/>
        <v>0</v>
      </c>
      <c r="T20" s="255">
        <f t="shared" si="14"/>
        <v>671.9</v>
      </c>
      <c r="U20" s="254">
        <f>-IF(T20&gt;0,0,T20)</f>
        <v>0</v>
      </c>
      <c r="V20" s="254">
        <f>IF(T20&lt;0,0,T20)</f>
        <v>671.9</v>
      </c>
      <c r="W20" s="254">
        <f>SUM(V20:V20)</f>
        <v>671.9</v>
      </c>
      <c r="X20" s="254">
        <f>J20+U20-W20</f>
        <v>5778.1</v>
      </c>
      <c r="Y20" s="258"/>
      <c r="AE20" s="189"/>
    </row>
    <row r="21" spans="1:31" s="186" customFormat="1" ht="95.1" customHeight="1" x14ac:dyDescent="0.25">
      <c r="A21" s="265"/>
      <c r="B21" s="266"/>
      <c r="C21" s="266"/>
      <c r="D21" s="267"/>
      <c r="E21" s="268"/>
      <c r="F21" s="269"/>
      <c r="G21" s="270"/>
      <c r="H21" s="271"/>
      <c r="I21" s="272"/>
      <c r="J21" s="273"/>
      <c r="K21" s="274"/>
      <c r="L21" s="274"/>
      <c r="M21" s="274"/>
      <c r="N21" s="274"/>
      <c r="O21" s="275"/>
      <c r="P21" s="274"/>
      <c r="Q21" s="276"/>
      <c r="R21" s="274"/>
      <c r="S21" s="274"/>
      <c r="T21" s="274"/>
      <c r="U21" s="273"/>
      <c r="V21" s="273"/>
      <c r="W21" s="273"/>
      <c r="X21" s="273"/>
      <c r="Y21" s="262"/>
      <c r="AE21" s="189"/>
    </row>
    <row r="22" spans="1:31" s="186" customFormat="1" ht="95.1" customHeight="1" x14ac:dyDescent="0.25">
      <c r="A22" s="265"/>
      <c r="B22" s="266"/>
      <c r="C22" s="266"/>
      <c r="D22" s="267"/>
      <c r="E22" s="268"/>
      <c r="F22" s="269"/>
      <c r="G22" s="270"/>
      <c r="H22" s="271"/>
      <c r="I22" s="272"/>
      <c r="J22" s="273"/>
      <c r="K22" s="274"/>
      <c r="L22" s="274"/>
      <c r="M22" s="274"/>
      <c r="N22" s="274"/>
      <c r="O22" s="275"/>
      <c r="P22" s="274"/>
      <c r="Q22" s="276"/>
      <c r="R22" s="274"/>
      <c r="S22" s="274"/>
      <c r="T22" s="274"/>
      <c r="U22" s="273"/>
      <c r="V22" s="273"/>
      <c r="W22" s="273"/>
      <c r="X22" s="273"/>
      <c r="Y22" s="262"/>
      <c r="AE22" s="189"/>
    </row>
    <row r="23" spans="1:31" s="186" customFormat="1" ht="24" customHeight="1" x14ac:dyDescent="0.25">
      <c r="A23" s="265"/>
      <c r="B23" s="308" t="s">
        <v>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189"/>
    </row>
    <row r="24" spans="1:31" s="186" customFormat="1" ht="23.25" customHeight="1" x14ac:dyDescent="0.25">
      <c r="A24" s="265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189"/>
    </row>
    <row r="25" spans="1:31" s="186" customFormat="1" ht="23.25" customHeight="1" x14ac:dyDescent="0.25">
      <c r="A25" s="265"/>
      <c r="B25" s="309" t="s">
        <v>374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89"/>
    </row>
    <row r="26" spans="1:31" s="186" customFormat="1" ht="18.75" customHeight="1" x14ac:dyDescent="0.25">
      <c r="A26" s="265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189"/>
    </row>
    <row r="27" spans="1:31" s="186" customFormat="1" ht="17.25" customHeight="1" x14ac:dyDescent="0.25">
      <c r="A27" s="265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20.25" customHeight="1" x14ac:dyDescent="0.25">
      <c r="A28" s="265"/>
      <c r="B28" s="65"/>
      <c r="C28" s="65"/>
      <c r="D28" s="65"/>
      <c r="E28" s="65"/>
      <c r="F28" s="66" t="s">
        <v>23</v>
      </c>
      <c r="G28" s="66" t="s">
        <v>6</v>
      </c>
      <c r="H28" s="311" t="s">
        <v>1</v>
      </c>
      <c r="I28" s="312"/>
      <c r="J28" s="313"/>
      <c r="K28" s="67" t="s">
        <v>26</v>
      </c>
      <c r="L28" s="68"/>
      <c r="M28" s="314" t="s">
        <v>9</v>
      </c>
      <c r="N28" s="315"/>
      <c r="O28" s="315"/>
      <c r="P28" s="315"/>
      <c r="Q28" s="315"/>
      <c r="R28" s="316"/>
      <c r="S28" s="67" t="s">
        <v>30</v>
      </c>
      <c r="T28" s="67" t="s">
        <v>10</v>
      </c>
      <c r="U28" s="66" t="s">
        <v>54</v>
      </c>
      <c r="V28" s="317" t="s">
        <v>2</v>
      </c>
      <c r="W28" s="318"/>
      <c r="X28" s="66" t="s">
        <v>0</v>
      </c>
      <c r="Y28" s="65"/>
      <c r="Z28" s="118"/>
      <c r="AE28" s="189"/>
    </row>
    <row r="29" spans="1:31" s="186" customFormat="1" ht="37.5" customHeight="1" x14ac:dyDescent="0.25">
      <c r="A29" s="265"/>
      <c r="B29" s="64" t="s">
        <v>118</v>
      </c>
      <c r="C29" s="64" t="s">
        <v>140</v>
      </c>
      <c r="D29" s="70" t="s">
        <v>22</v>
      </c>
      <c r="E29" s="70"/>
      <c r="F29" s="71" t="s">
        <v>24</v>
      </c>
      <c r="G29" s="70" t="s">
        <v>25</v>
      </c>
      <c r="H29" s="66" t="s">
        <v>6</v>
      </c>
      <c r="I29" s="66" t="s">
        <v>59</v>
      </c>
      <c r="J29" s="66" t="s">
        <v>28</v>
      </c>
      <c r="K29" s="72" t="s">
        <v>27</v>
      </c>
      <c r="L29" s="68" t="s">
        <v>32</v>
      </c>
      <c r="M29" s="68" t="s">
        <v>12</v>
      </c>
      <c r="N29" s="68" t="s">
        <v>34</v>
      </c>
      <c r="O29" s="68" t="s">
        <v>36</v>
      </c>
      <c r="P29" s="68" t="s">
        <v>37</v>
      </c>
      <c r="Q29" s="68" t="s">
        <v>14</v>
      </c>
      <c r="R29" s="68" t="s">
        <v>10</v>
      </c>
      <c r="S29" s="72" t="s">
        <v>40</v>
      </c>
      <c r="T29" s="72" t="s">
        <v>41</v>
      </c>
      <c r="U29" s="70" t="s">
        <v>31</v>
      </c>
      <c r="V29" s="66" t="s">
        <v>3</v>
      </c>
      <c r="W29" s="66" t="s">
        <v>7</v>
      </c>
      <c r="X29" s="70" t="s">
        <v>4</v>
      </c>
      <c r="Y29" s="70" t="s">
        <v>58</v>
      </c>
      <c r="Z29" s="118"/>
      <c r="AE29" s="189"/>
    </row>
    <row r="30" spans="1:31" s="186" customFormat="1" ht="18.75" customHeight="1" x14ac:dyDescent="0.25">
      <c r="A30" s="265"/>
      <c r="B30" s="79"/>
      <c r="C30" s="79"/>
      <c r="D30" s="79"/>
      <c r="E30" s="79"/>
      <c r="F30" s="79"/>
      <c r="G30" s="79"/>
      <c r="H30" s="79" t="s">
        <v>47</v>
      </c>
      <c r="I30" s="79" t="s">
        <v>60</v>
      </c>
      <c r="J30" s="79" t="s">
        <v>29</v>
      </c>
      <c r="K30" s="81" t="s">
        <v>43</v>
      </c>
      <c r="L30" s="67" t="s">
        <v>33</v>
      </c>
      <c r="M30" s="67" t="s">
        <v>13</v>
      </c>
      <c r="N30" s="67" t="s">
        <v>35</v>
      </c>
      <c r="O30" s="67" t="s">
        <v>35</v>
      </c>
      <c r="P30" s="67" t="s">
        <v>38</v>
      </c>
      <c r="Q30" s="67" t="s">
        <v>15</v>
      </c>
      <c r="R30" s="67" t="s">
        <v>39</v>
      </c>
      <c r="S30" s="72" t="s">
        <v>19</v>
      </c>
      <c r="T30" s="73" t="s">
        <v>157</v>
      </c>
      <c r="U30" s="79" t="s">
        <v>53</v>
      </c>
      <c r="V30" s="79"/>
      <c r="W30" s="79" t="s">
        <v>44</v>
      </c>
      <c r="X30" s="79" t="s">
        <v>5</v>
      </c>
      <c r="Y30" s="75"/>
      <c r="Z30" s="118"/>
      <c r="AE30" s="189"/>
    </row>
    <row r="31" spans="1:31" s="186" customFormat="1" ht="18" customHeight="1" x14ac:dyDescent="0.25">
      <c r="A31" s="265"/>
      <c r="B31" s="82"/>
      <c r="C31" s="82"/>
      <c r="D31" s="84" t="s">
        <v>75</v>
      </c>
      <c r="E31" s="82" t="s">
        <v>62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6"/>
      <c r="U31" s="82"/>
      <c r="V31" s="82"/>
      <c r="W31" s="82"/>
      <c r="X31" s="82"/>
      <c r="Y31" s="87"/>
      <c r="AE31" s="189"/>
    </row>
    <row r="32" spans="1:31" s="186" customFormat="1" ht="94.5" customHeight="1" x14ac:dyDescent="0.25">
      <c r="A32" s="265"/>
      <c r="B32" s="247" t="s">
        <v>282</v>
      </c>
      <c r="C32" s="247" t="s">
        <v>139</v>
      </c>
      <c r="D32" s="259" t="s">
        <v>271</v>
      </c>
      <c r="E32" s="249" t="s">
        <v>264</v>
      </c>
      <c r="F32" s="250"/>
      <c r="G32" s="251"/>
      <c r="H32" s="252">
        <v>8061</v>
      </c>
      <c r="I32" s="253">
        <v>0</v>
      </c>
      <c r="J32" s="254">
        <f t="shared" ref="J32:J33" si="38">SUM(H32:I32)</f>
        <v>8061</v>
      </c>
      <c r="K32" s="255">
        <f t="shared" ref="K32:K33" si="39">IF(H32/15&lt;=SMG,0,I32/2)</f>
        <v>0</v>
      </c>
      <c r="L32" s="255">
        <f t="shared" ref="L32:L33" si="40">H32+K32</f>
        <v>8061</v>
      </c>
      <c r="M32" s="255">
        <f t="shared" ref="M32:M33" si="41">VLOOKUP(L32,Tarifa1,1)</f>
        <v>6602.71</v>
      </c>
      <c r="N32" s="255">
        <f t="shared" ref="N32:N33" si="42">L32-M32</f>
        <v>1458.29</v>
      </c>
      <c r="O32" s="256">
        <f t="shared" ref="O32:O33" si="43">VLOOKUP(L32,Tarifa1,3)</f>
        <v>0.21360000000000001</v>
      </c>
      <c r="P32" s="255">
        <f t="shared" ref="P32:P33" si="44">N32*O32</f>
        <v>311.49074400000001</v>
      </c>
      <c r="Q32" s="257">
        <f t="shared" ref="Q32:Q33" si="45">VLOOKUP(L32,Tarifa1,2)</f>
        <v>699.3</v>
      </c>
      <c r="R32" s="255">
        <f t="shared" ref="R32:R33" si="46">P32+Q32</f>
        <v>1010.7907439999999</v>
      </c>
      <c r="S32" s="288">
        <f t="shared" ref="S32:S33" si="47">VLOOKUP(L32,Credito1,2)</f>
        <v>0</v>
      </c>
      <c r="T32" s="255">
        <f t="shared" ref="T32:T33" si="48">ROUND(R32-S32,2)</f>
        <v>1010.79</v>
      </c>
      <c r="U32" s="254">
        <f>-IF(T32&gt;0,0,T32)</f>
        <v>0</v>
      </c>
      <c r="V32" s="254">
        <f>IF(T32&lt;0,0,T32)</f>
        <v>1010.79</v>
      </c>
      <c r="W32" s="254">
        <f>SUM(V32:V32)</f>
        <v>1010.79</v>
      </c>
      <c r="X32" s="254">
        <f>J32+U32-W32</f>
        <v>7050.21</v>
      </c>
      <c r="Y32" s="258"/>
      <c r="AE32" s="189"/>
    </row>
    <row r="33" spans="1:31" s="186" customFormat="1" ht="95.1" customHeight="1" x14ac:dyDescent="0.25">
      <c r="A33" s="245"/>
      <c r="B33" s="247" t="s">
        <v>294</v>
      </c>
      <c r="C33" s="247" t="s">
        <v>139</v>
      </c>
      <c r="D33" s="259" t="s">
        <v>295</v>
      </c>
      <c r="E33" s="249" t="s">
        <v>264</v>
      </c>
      <c r="F33" s="250"/>
      <c r="G33" s="251"/>
      <c r="H33" s="252">
        <v>8061</v>
      </c>
      <c r="I33" s="253">
        <v>1679.36</v>
      </c>
      <c r="J33" s="254">
        <f t="shared" si="38"/>
        <v>9740.36</v>
      </c>
      <c r="K33" s="255">
        <f t="shared" si="39"/>
        <v>839.68</v>
      </c>
      <c r="L33" s="255">
        <f t="shared" si="40"/>
        <v>8900.68</v>
      </c>
      <c r="M33" s="255">
        <f t="shared" si="41"/>
        <v>6602.71</v>
      </c>
      <c r="N33" s="255">
        <f t="shared" si="42"/>
        <v>2297.9700000000003</v>
      </c>
      <c r="O33" s="256">
        <f t="shared" si="43"/>
        <v>0.21360000000000001</v>
      </c>
      <c r="P33" s="255">
        <f t="shared" si="44"/>
        <v>490.84639200000009</v>
      </c>
      <c r="Q33" s="257">
        <f t="shared" si="45"/>
        <v>699.3</v>
      </c>
      <c r="R33" s="255">
        <f t="shared" si="46"/>
        <v>1190.1463920000001</v>
      </c>
      <c r="S33" s="288">
        <f t="shared" si="47"/>
        <v>0</v>
      </c>
      <c r="T33" s="255">
        <f t="shared" si="48"/>
        <v>1190.1500000000001</v>
      </c>
      <c r="U33" s="254">
        <f>-IF(T33&gt;0,0,T33)</f>
        <v>0</v>
      </c>
      <c r="V33" s="254">
        <f>IF(T33&lt;0,0,T33)</f>
        <v>1190.1500000000001</v>
      </c>
      <c r="W33" s="254">
        <f>SUM(V33:V33)</f>
        <v>1190.1500000000001</v>
      </c>
      <c r="X33" s="254">
        <f>J33+U33-W33</f>
        <v>8550.2100000000009</v>
      </c>
      <c r="Y33" s="258"/>
      <c r="AE33" s="189"/>
    </row>
    <row r="34" spans="1:31" s="186" customFormat="1" ht="95.1" customHeight="1" x14ac:dyDescent="0.25">
      <c r="A34" s="245"/>
      <c r="B34" s="247" t="s">
        <v>284</v>
      </c>
      <c r="C34" s="247" t="s">
        <v>139</v>
      </c>
      <c r="D34" s="259" t="s">
        <v>265</v>
      </c>
      <c r="E34" s="249" t="s">
        <v>266</v>
      </c>
      <c r="F34" s="250">
        <v>15</v>
      </c>
      <c r="G34" s="251">
        <f t="shared" si="34"/>
        <v>292.36666666666667</v>
      </c>
      <c r="H34" s="252">
        <v>4385.5</v>
      </c>
      <c r="I34" s="253">
        <v>0</v>
      </c>
      <c r="J34" s="254">
        <f t="shared" si="35"/>
        <v>4385.5</v>
      </c>
      <c r="K34" s="255">
        <f t="shared" ref="K34:K35" si="49">IF(H34/15&lt;=SMG,0,I34/2)</f>
        <v>0</v>
      </c>
      <c r="L34" s="255">
        <f t="shared" ref="L34:L35" si="50">H34+K34</f>
        <v>4385.5</v>
      </c>
      <c r="M34" s="255">
        <f t="shared" ref="M34:M35" si="51">VLOOKUP(L34,Tarifa1,1)</f>
        <v>2699.41</v>
      </c>
      <c r="N34" s="255">
        <f t="shared" ref="N34:N35" si="52">L34-M34</f>
        <v>1686.0900000000001</v>
      </c>
      <c r="O34" s="256">
        <f t="shared" ref="O34:O35" si="53">VLOOKUP(L34,Tarifa1,3)</f>
        <v>0.10879999999999999</v>
      </c>
      <c r="P34" s="255">
        <f t="shared" ref="P34:P35" si="54">N34*O34</f>
        <v>183.44659200000001</v>
      </c>
      <c r="Q34" s="257">
        <f t="shared" ref="Q34:Q35" si="55">VLOOKUP(L34,Tarifa1,2)</f>
        <v>158.55000000000001</v>
      </c>
      <c r="R34" s="255">
        <f t="shared" ref="R34:R35" si="56">P34+Q34</f>
        <v>341.99659200000002</v>
      </c>
      <c r="S34" s="288">
        <f t="shared" ref="S34:S35" si="57">VLOOKUP(L34,Credito1,2)</f>
        <v>0</v>
      </c>
      <c r="T34" s="255">
        <f t="shared" ref="T34:T35" si="58">ROUND(R34-S34,2)</f>
        <v>342</v>
      </c>
      <c r="U34" s="254">
        <f>-IF(T34&gt;0,0,T34)</f>
        <v>0</v>
      </c>
      <c r="V34" s="254">
        <f t="shared" si="37"/>
        <v>342</v>
      </c>
      <c r="W34" s="254">
        <f>SUM(V34:V34)</f>
        <v>342</v>
      </c>
      <c r="X34" s="254">
        <f>J34+U34-W34</f>
        <v>4043.5</v>
      </c>
      <c r="Y34" s="258"/>
      <c r="AE34" s="189"/>
    </row>
    <row r="35" spans="1:31" s="186" customFormat="1" ht="95.1" customHeight="1" x14ac:dyDescent="0.25">
      <c r="A35" s="245"/>
      <c r="B35" s="247" t="s">
        <v>285</v>
      </c>
      <c r="C35" s="247" t="s">
        <v>139</v>
      </c>
      <c r="D35" s="259" t="s">
        <v>267</v>
      </c>
      <c r="E35" s="249" t="s">
        <v>268</v>
      </c>
      <c r="F35" s="250"/>
      <c r="G35" s="251"/>
      <c r="H35" s="252">
        <v>4659</v>
      </c>
      <c r="I35" s="253">
        <v>0</v>
      </c>
      <c r="J35" s="254">
        <f>SUM(H35:I35)</f>
        <v>4659</v>
      </c>
      <c r="K35" s="255">
        <f t="shared" si="49"/>
        <v>0</v>
      </c>
      <c r="L35" s="255">
        <f t="shared" si="50"/>
        <v>4659</v>
      </c>
      <c r="M35" s="255">
        <f t="shared" si="51"/>
        <v>2699.41</v>
      </c>
      <c r="N35" s="255">
        <f t="shared" si="52"/>
        <v>1959.5900000000001</v>
      </c>
      <c r="O35" s="256">
        <f t="shared" si="53"/>
        <v>0.10879999999999999</v>
      </c>
      <c r="P35" s="255">
        <f t="shared" si="54"/>
        <v>213.20339200000001</v>
      </c>
      <c r="Q35" s="257">
        <f t="shared" si="55"/>
        <v>158.55000000000001</v>
      </c>
      <c r="R35" s="255">
        <f t="shared" si="56"/>
        <v>371.75339200000002</v>
      </c>
      <c r="S35" s="288">
        <f t="shared" si="57"/>
        <v>0</v>
      </c>
      <c r="T35" s="255">
        <f t="shared" si="58"/>
        <v>371.75</v>
      </c>
      <c r="U35" s="254">
        <f>-IF(T35&gt;0,0,T35)</f>
        <v>0</v>
      </c>
      <c r="V35" s="254">
        <f>IF(T35&lt;0,0,T35)</f>
        <v>371.75</v>
      </c>
      <c r="W35" s="254">
        <f>SUM(V35:V35)</f>
        <v>371.75</v>
      </c>
      <c r="X35" s="254">
        <f>J35+U35-W35</f>
        <v>4287.25</v>
      </c>
      <c r="Y35" s="258"/>
      <c r="AE35" s="189"/>
    </row>
    <row r="36" spans="1:31" s="69" customFormat="1" ht="39" customHeight="1" thickBot="1" x14ac:dyDescent="0.3">
      <c r="A36" s="327" t="s">
        <v>45</v>
      </c>
      <c r="B36" s="328"/>
      <c r="C36" s="328"/>
      <c r="D36" s="328"/>
      <c r="E36" s="328"/>
      <c r="F36" s="328"/>
      <c r="G36" s="329"/>
      <c r="H36" s="260">
        <f t="shared" ref="H36:X36" si="59">SUM(H9:H35)</f>
        <v>106286.5</v>
      </c>
      <c r="I36" s="260">
        <f t="shared" si="59"/>
        <v>1679.36</v>
      </c>
      <c r="J36" s="260">
        <f t="shared" si="59"/>
        <v>107965.86</v>
      </c>
      <c r="K36" s="261">
        <f t="shared" si="59"/>
        <v>839.68</v>
      </c>
      <c r="L36" s="261">
        <f t="shared" si="59"/>
        <v>107126.18</v>
      </c>
      <c r="M36" s="261">
        <f t="shared" si="59"/>
        <v>87405.760000000024</v>
      </c>
      <c r="N36" s="261">
        <f t="shared" si="59"/>
        <v>19720.420000000002</v>
      </c>
      <c r="O36" s="261">
        <f t="shared" si="59"/>
        <v>2.8967999999999998</v>
      </c>
      <c r="P36" s="261">
        <f t="shared" si="59"/>
        <v>3573.8214800000001</v>
      </c>
      <c r="Q36" s="261">
        <f t="shared" si="59"/>
        <v>8396.5500000000011</v>
      </c>
      <c r="R36" s="261">
        <f t="shared" si="59"/>
        <v>11970.37148</v>
      </c>
      <c r="S36" s="261">
        <f t="shared" si="59"/>
        <v>0</v>
      </c>
      <c r="T36" s="261">
        <f t="shared" si="59"/>
        <v>11970.37</v>
      </c>
      <c r="U36" s="260">
        <f t="shared" si="59"/>
        <v>0</v>
      </c>
      <c r="V36" s="260">
        <f t="shared" si="59"/>
        <v>11970.37</v>
      </c>
      <c r="W36" s="260">
        <f t="shared" si="59"/>
        <v>11970.37</v>
      </c>
      <c r="X36" s="260">
        <f t="shared" si="59"/>
        <v>95995.49</v>
      </c>
      <c r="Y36" s="262"/>
    </row>
    <row r="37" spans="1:31" s="69" customFormat="1" ht="39" customHeight="1" thickTop="1" x14ac:dyDescent="0.25">
      <c r="A37" s="229"/>
      <c r="B37" s="229"/>
      <c r="C37" s="229"/>
      <c r="D37" s="229"/>
      <c r="E37" s="229"/>
      <c r="F37" s="229"/>
      <c r="G37" s="229"/>
      <c r="H37" s="230"/>
      <c r="I37" s="230"/>
      <c r="J37" s="230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0"/>
      <c r="V37" s="230"/>
      <c r="W37" s="230"/>
      <c r="X37" s="230"/>
    </row>
    <row r="38" spans="1:31" s="69" customFormat="1" ht="39" customHeight="1" x14ac:dyDescent="0.25">
      <c r="A38" s="229"/>
      <c r="B38" s="229"/>
      <c r="C38" s="229"/>
      <c r="D38" s="229"/>
      <c r="E38" s="229"/>
      <c r="F38" s="229"/>
      <c r="G38" s="229"/>
      <c r="H38" s="230"/>
      <c r="I38" s="230"/>
      <c r="J38" s="230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0"/>
      <c r="V38" s="230"/>
      <c r="W38" s="230"/>
      <c r="X38" s="230"/>
    </row>
    <row r="39" spans="1:31" s="69" customFormat="1" ht="39" customHeight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12" x14ac:dyDescent="0.2"/>
    <row r="41" spans="1:31" s="69" customFormat="1" ht="12" x14ac:dyDescent="0.2"/>
    <row r="42" spans="1:31" s="69" customFormat="1" ht="14.25" x14ac:dyDescent="0.2">
      <c r="B42" s="186"/>
      <c r="C42" s="186"/>
      <c r="D42" s="186" t="s">
        <v>371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 t="s">
        <v>107</v>
      </c>
      <c r="W42" s="186"/>
      <c r="X42" s="186"/>
    </row>
    <row r="43" spans="1:31" s="69" customFormat="1" ht="15" x14ac:dyDescent="0.25">
      <c r="B43" s="186"/>
      <c r="C43" s="186"/>
      <c r="D43" s="295" t="s">
        <v>369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91" t="s">
        <v>219</v>
      </c>
      <c r="W43" s="186"/>
      <c r="X43" s="186"/>
    </row>
    <row r="44" spans="1:31" s="69" customFormat="1" ht="15" x14ac:dyDescent="0.25">
      <c r="B44" s="186"/>
      <c r="C44" s="186"/>
      <c r="D44" s="295" t="s">
        <v>370</v>
      </c>
      <c r="E44" s="191"/>
      <c r="F44" s="191"/>
      <c r="G44" s="191"/>
      <c r="H44" s="191"/>
      <c r="I44" s="191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91" t="s">
        <v>95</v>
      </c>
      <c r="W44" s="191"/>
      <c r="X44" s="191"/>
      <c r="Y44" s="78"/>
    </row>
    <row r="45" spans="1:31" s="69" customFormat="1" ht="14.25" x14ac:dyDescent="0.2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</row>
  </sheetData>
  <mergeCells count="14">
    <mergeCell ref="C5:C7"/>
    <mergeCell ref="A1:Y1"/>
    <mergeCell ref="A2:Y2"/>
    <mergeCell ref="A3:Y3"/>
    <mergeCell ref="H5:J5"/>
    <mergeCell ref="M5:R5"/>
    <mergeCell ref="V5:W5"/>
    <mergeCell ref="H28:J28"/>
    <mergeCell ref="M28:R28"/>
    <mergeCell ref="V28:W28"/>
    <mergeCell ref="A36:G3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0" zoomScale="82" zoomScaleNormal="82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25" s="69" customFormat="1" ht="24" x14ac:dyDescent="0.2">
      <c r="A7" s="70" t="s">
        <v>125</v>
      </c>
      <c r="B7" s="64" t="s">
        <v>118</v>
      </c>
      <c r="C7" s="64" t="s">
        <v>156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157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76</v>
      </c>
      <c r="E9" s="192" t="s">
        <v>62</v>
      </c>
      <c r="F9" s="192"/>
      <c r="G9" s="192"/>
      <c r="H9" s="193">
        <f>SUM(H10:H27)</f>
        <v>40019.5</v>
      </c>
      <c r="I9" s="193">
        <f>SUM(I10:I27)</f>
        <v>0</v>
      </c>
      <c r="J9" s="193">
        <f>SUM(J10:J27)</f>
        <v>40019.5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1313.23</v>
      </c>
      <c r="W9" s="193">
        <f>SUM(W10:W27)</f>
        <v>1313.23</v>
      </c>
      <c r="X9" s="193">
        <f>SUM(X10:X27)</f>
        <v>38706.270000000004</v>
      </c>
      <c r="Y9" s="195"/>
    </row>
    <row r="10" spans="1:25" s="4" customFormat="1" ht="67.5" customHeight="1" x14ac:dyDescent="0.2">
      <c r="A10" s="59"/>
      <c r="B10" s="114" t="s">
        <v>286</v>
      </c>
      <c r="C10" s="114" t="s">
        <v>139</v>
      </c>
      <c r="D10" s="119" t="s">
        <v>279</v>
      </c>
      <c r="E10" s="119" t="s">
        <v>278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89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120</v>
      </c>
      <c r="C11" s="114" t="s">
        <v>139</v>
      </c>
      <c r="D11" s="119" t="s">
        <v>77</v>
      </c>
      <c r="E11" s="119" t="s">
        <v>78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89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330</v>
      </c>
      <c r="C12" s="114" t="s">
        <v>139</v>
      </c>
      <c r="D12" s="119" t="s">
        <v>331</v>
      </c>
      <c r="E12" s="119" t="s">
        <v>278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89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338</v>
      </c>
      <c r="C13" s="114" t="s">
        <v>139</v>
      </c>
      <c r="D13" s="119" t="s">
        <v>333</v>
      </c>
      <c r="E13" s="119" t="s">
        <v>78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89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165</v>
      </c>
      <c r="C14" s="114" t="s">
        <v>139</v>
      </c>
      <c r="D14" s="122" t="s">
        <v>164</v>
      </c>
      <c r="E14" s="119" t="s">
        <v>119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89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287</v>
      </c>
      <c r="C15" s="114" t="s">
        <v>139</v>
      </c>
      <c r="D15" s="122" t="s">
        <v>276</v>
      </c>
      <c r="E15" s="119" t="s">
        <v>277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89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306</v>
      </c>
      <c r="C16" s="114" t="s">
        <v>139</v>
      </c>
      <c r="D16" s="122" t="s">
        <v>307</v>
      </c>
      <c r="E16" s="121" t="s">
        <v>308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89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171</v>
      </c>
      <c r="C17" s="114" t="s">
        <v>139</v>
      </c>
      <c r="D17" s="119" t="s">
        <v>169</v>
      </c>
      <c r="E17" s="119" t="s">
        <v>170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89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238</v>
      </c>
      <c r="C18" s="114" t="s">
        <v>139</v>
      </c>
      <c r="D18" s="119" t="s">
        <v>192</v>
      </c>
      <c r="E18" s="119" t="s">
        <v>81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89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288</v>
      </c>
      <c r="C19" s="114" t="s">
        <v>139</v>
      </c>
      <c r="D19" s="119" t="s">
        <v>274</v>
      </c>
      <c r="E19" s="119" t="s">
        <v>275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89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7"/>
      <c r="C20" s="227"/>
      <c r="D20" s="278"/>
      <c r="E20" s="278"/>
      <c r="F20" s="279"/>
      <c r="G20" s="280"/>
      <c r="H20" s="281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31" s="4" customFormat="1" ht="20.25" customHeight="1" x14ac:dyDescent="0.2">
      <c r="A21" s="227"/>
      <c r="B21" s="277"/>
      <c r="C21" s="227"/>
      <c r="D21" s="278"/>
      <c r="E21" s="278"/>
      <c r="F21" s="279"/>
      <c r="G21" s="280"/>
      <c r="H21" s="281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</row>
    <row r="22" spans="1:31" s="4" customFormat="1" ht="28.5" customHeight="1" x14ac:dyDescent="0.25">
      <c r="A22" s="227"/>
      <c r="B22" s="308" t="s">
        <v>91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31" s="4" customFormat="1" ht="23.25" customHeight="1" x14ac:dyDescent="0.25">
      <c r="A23" s="227"/>
      <c r="B23" s="308" t="s">
        <v>66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31" s="4" customFormat="1" ht="23.25" customHeight="1" x14ac:dyDescent="0.2">
      <c r="A24" s="227"/>
      <c r="B24" s="309" t="s">
        <v>374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328</v>
      </c>
      <c r="C26" s="114" t="s">
        <v>139</v>
      </c>
      <c r="D26" s="121" t="s">
        <v>94</v>
      </c>
      <c r="E26" s="121" t="s">
        <v>299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89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351</v>
      </c>
      <c r="C27" s="114" t="s">
        <v>139</v>
      </c>
      <c r="D27" s="119" t="s">
        <v>298</v>
      </c>
      <c r="E27" s="119" t="s">
        <v>193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89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118</v>
      </c>
      <c r="C28" s="196" t="s">
        <v>156</v>
      </c>
      <c r="D28" s="192" t="s">
        <v>153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98</v>
      </c>
      <c r="B29" s="137" t="s">
        <v>239</v>
      </c>
      <c r="C29" s="114" t="s">
        <v>139</v>
      </c>
      <c r="D29" s="119" t="s">
        <v>196</v>
      </c>
      <c r="E29" s="121" t="s">
        <v>194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89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289</v>
      </c>
      <c r="C30" s="114" t="s">
        <v>139</v>
      </c>
      <c r="D30" s="119" t="s">
        <v>272</v>
      </c>
      <c r="E30" s="121" t="s">
        <v>273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89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118</v>
      </c>
      <c r="C31" s="196" t="s">
        <v>156</v>
      </c>
      <c r="D31" s="192" t="s">
        <v>155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123</v>
      </c>
      <c r="C32" s="114" t="s">
        <v>139</v>
      </c>
      <c r="D32" s="119" t="s">
        <v>80</v>
      </c>
      <c r="E32" s="121" t="s">
        <v>158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89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323</v>
      </c>
      <c r="C33" s="114" t="s">
        <v>139</v>
      </c>
      <c r="D33" s="119" t="s">
        <v>322</v>
      </c>
      <c r="E33" s="121" t="s">
        <v>324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89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99</v>
      </c>
      <c r="B34" s="196" t="s">
        <v>118</v>
      </c>
      <c r="C34" s="196" t="s">
        <v>156</v>
      </c>
      <c r="D34" s="192" t="s">
        <v>154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100</v>
      </c>
      <c r="B35" s="114" t="s">
        <v>122</v>
      </c>
      <c r="C35" s="114" t="s">
        <v>139</v>
      </c>
      <c r="D35" s="119" t="s">
        <v>79</v>
      </c>
      <c r="E35" s="121" t="s">
        <v>195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89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5" t="s">
        <v>45</v>
      </c>
      <c r="B37" s="306"/>
      <c r="C37" s="306"/>
      <c r="D37" s="306"/>
      <c r="E37" s="306"/>
      <c r="F37" s="306"/>
      <c r="G37" s="307"/>
      <c r="H37" s="162">
        <f>SUM(H9+H28+H31+H34)</f>
        <v>57616</v>
      </c>
      <c r="I37" s="162">
        <f>SUM(I9+I28+I31+I34)</f>
        <v>0</v>
      </c>
      <c r="J37" s="162">
        <f>SUM(J9+J28+J31+J34)</f>
        <v>57616</v>
      </c>
      <c r="K37" s="163">
        <f t="shared" ref="K37:T37" si="59">SUM(K10:K36)</f>
        <v>0</v>
      </c>
      <c r="L37" s="163">
        <f t="shared" si="59"/>
        <v>62998.5</v>
      </c>
      <c r="M37" s="163">
        <f t="shared" si="59"/>
        <v>48570.64</v>
      </c>
      <c r="N37" s="163">
        <f t="shared" si="59"/>
        <v>14427.86</v>
      </c>
      <c r="O37" s="163">
        <f t="shared" si="59"/>
        <v>2.0287999999999999</v>
      </c>
      <c r="P37" s="163">
        <f t="shared" si="59"/>
        <v>1388.4433919999997</v>
      </c>
      <c r="Q37" s="163">
        <f t="shared" si="59"/>
        <v>2930.1</v>
      </c>
      <c r="R37" s="163">
        <f t="shared" si="59"/>
        <v>4318.5433919999996</v>
      </c>
      <c r="S37" s="163">
        <f t="shared" si="59"/>
        <v>2175.8999999999996</v>
      </c>
      <c r="T37" s="163">
        <f t="shared" si="59"/>
        <v>2142.6500000000005</v>
      </c>
      <c r="U37" s="162">
        <f>SUM(U9+U28+U31+U34)</f>
        <v>20.98</v>
      </c>
      <c r="V37" s="162">
        <f>SUM(V9+V28+V31+V34)</f>
        <v>2140.5600000000004</v>
      </c>
      <c r="W37" s="162">
        <f>SUM(W9+W28+W31+W34)</f>
        <v>2140.5600000000004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222</v>
      </c>
      <c r="V40" s="4" t="s">
        <v>223</v>
      </c>
    </row>
    <row r="41" spans="1:37" s="4" customFormat="1" x14ac:dyDescent="0.2">
      <c r="D41" s="78" t="s">
        <v>369</v>
      </c>
      <c r="V41" s="51" t="s">
        <v>219</v>
      </c>
    </row>
    <row r="42" spans="1:37" s="4" customFormat="1" x14ac:dyDescent="0.2">
      <c r="D42" s="78" t="s">
        <v>370</v>
      </c>
      <c r="E42" s="51"/>
      <c r="F42" s="51"/>
      <c r="G42" s="51"/>
      <c r="H42" s="51"/>
      <c r="I42" s="51"/>
      <c r="V42" s="51" t="s">
        <v>95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22" zoomScale="86" zoomScaleNormal="86" workbookViewId="0">
      <selection activeCell="W2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0" t="s">
        <v>156</v>
      </c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118</v>
      </c>
      <c r="C7" s="331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2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157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118</v>
      </c>
      <c r="C9" s="201" t="s">
        <v>156</v>
      </c>
      <c r="D9" s="45" t="s">
        <v>202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98</v>
      </c>
      <c r="B10" s="136" t="s">
        <v>240</v>
      </c>
      <c r="C10" s="62" t="s">
        <v>139</v>
      </c>
      <c r="D10" s="175" t="s">
        <v>233</v>
      </c>
      <c r="E10" s="175" t="s">
        <v>263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89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99</v>
      </c>
      <c r="B11" s="62" t="s">
        <v>136</v>
      </c>
      <c r="C11" s="62" t="s">
        <v>139</v>
      </c>
      <c r="D11" s="164" t="s">
        <v>108</v>
      </c>
      <c r="E11" s="175" t="s">
        <v>198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89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118</v>
      </c>
      <c r="C12" s="201" t="s">
        <v>156</v>
      </c>
      <c r="D12" s="45" t="s">
        <v>258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256</v>
      </c>
      <c r="C13" s="62" t="s">
        <v>139</v>
      </c>
      <c r="D13" s="174" t="s">
        <v>257</v>
      </c>
      <c r="E13" s="175" t="s">
        <v>259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89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118</v>
      </c>
      <c r="C14" s="201" t="s">
        <v>156</v>
      </c>
      <c r="D14" s="45" t="s">
        <v>314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315</v>
      </c>
      <c r="C15" s="62" t="s">
        <v>139</v>
      </c>
      <c r="D15" s="174" t="s">
        <v>312</v>
      </c>
      <c r="E15" s="175" t="s">
        <v>313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89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118</v>
      </c>
      <c r="C16" s="201" t="s">
        <v>156</v>
      </c>
      <c r="D16" s="45" t="s">
        <v>160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101</v>
      </c>
      <c r="B17" s="210">
        <v>185</v>
      </c>
      <c r="C17" s="62" t="s">
        <v>139</v>
      </c>
      <c r="D17" s="211" t="s">
        <v>214</v>
      </c>
      <c r="E17" s="175" t="s">
        <v>110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89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290</v>
      </c>
      <c r="C18" s="62" t="s">
        <v>139</v>
      </c>
      <c r="D18" s="174" t="s">
        <v>269</v>
      </c>
      <c r="E18" s="175" t="s">
        <v>270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89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320</v>
      </c>
      <c r="C19" s="62" t="s">
        <v>217</v>
      </c>
      <c r="D19" s="174" t="s">
        <v>316</v>
      </c>
      <c r="E19" s="175" t="s">
        <v>270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89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118</v>
      </c>
      <c r="C20" s="201" t="s">
        <v>156</v>
      </c>
      <c r="D20" s="45" t="s">
        <v>161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102</v>
      </c>
      <c r="B21" s="62" t="s">
        <v>137</v>
      </c>
      <c r="C21" s="62" t="s">
        <v>139</v>
      </c>
      <c r="D21" s="174" t="s">
        <v>109</v>
      </c>
      <c r="E21" s="175" t="s">
        <v>111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89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241</v>
      </c>
      <c r="C22" s="62" t="s">
        <v>139</v>
      </c>
      <c r="D22" s="176" t="s">
        <v>200</v>
      </c>
      <c r="E22" s="175" t="s">
        <v>199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89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08" t="s">
        <v>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88"/>
    </row>
    <row r="24" spans="1:31" s="69" customFormat="1" ht="25.5" customHeight="1" x14ac:dyDescent="0.25">
      <c r="A24" s="228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88"/>
    </row>
    <row r="25" spans="1:31" s="69" customFormat="1" ht="23.25" customHeight="1" x14ac:dyDescent="0.2">
      <c r="A25" s="228"/>
      <c r="B25" s="309" t="s">
        <v>375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305</v>
      </c>
      <c r="C27" s="62" t="s">
        <v>139</v>
      </c>
      <c r="D27" s="176" t="s">
        <v>300</v>
      </c>
      <c r="E27" s="175" t="s">
        <v>301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89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118</v>
      </c>
      <c r="C28" s="201" t="s">
        <v>156</v>
      </c>
      <c r="D28" s="45" t="s">
        <v>162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103</v>
      </c>
      <c r="B29" s="62" t="s">
        <v>138</v>
      </c>
      <c r="C29" s="62" t="s">
        <v>139</v>
      </c>
      <c r="D29" s="176" t="s">
        <v>114</v>
      </c>
      <c r="E29" s="175" t="s">
        <v>117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89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118</v>
      </c>
      <c r="C30" s="201" t="s">
        <v>156</v>
      </c>
      <c r="D30" s="45" t="s">
        <v>166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172</v>
      </c>
      <c r="C31" s="62" t="s">
        <v>139</v>
      </c>
      <c r="D31" s="164" t="s">
        <v>167</v>
      </c>
      <c r="E31" s="175" t="s">
        <v>168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89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118</v>
      </c>
      <c r="C32" s="201" t="s">
        <v>156</v>
      </c>
      <c r="D32" s="45" t="s">
        <v>201</v>
      </c>
      <c r="E32" s="45" t="s">
        <v>62</v>
      </c>
      <c r="F32" s="45"/>
      <c r="G32" s="45"/>
      <c r="H32" s="197">
        <f>SUM(H33)</f>
        <v>5060.7299999999996</v>
      </c>
      <c r="I32" s="197">
        <f>SUM(I33)</f>
        <v>0</v>
      </c>
      <c r="J32" s="197">
        <f>SUM(J33)</f>
        <v>5060.7299999999996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431.67</v>
      </c>
      <c r="W32" s="197">
        <f>SUM(W33)</f>
        <v>431.67</v>
      </c>
      <c r="X32" s="197">
        <f>SUM(X33)</f>
        <v>4629.0599999999995</v>
      </c>
      <c r="Y32" s="199"/>
    </row>
    <row r="33" spans="1:37" s="69" customFormat="1" ht="69.95" customHeight="1" x14ac:dyDescent="0.2">
      <c r="A33" s="202"/>
      <c r="B33" s="136" t="s">
        <v>242</v>
      </c>
      <c r="C33" s="62" t="s">
        <v>139</v>
      </c>
      <c r="D33" s="164" t="s">
        <v>204</v>
      </c>
      <c r="E33" s="175" t="s">
        <v>205</v>
      </c>
      <c r="F33" s="165">
        <v>15</v>
      </c>
      <c r="G33" s="166">
        <f>H33/F33</f>
        <v>337.38199999999995</v>
      </c>
      <c r="H33" s="167">
        <v>5060.7299999999996</v>
      </c>
      <c r="I33" s="168">
        <v>0</v>
      </c>
      <c r="J33" s="169">
        <f>SUM(H33:I33)</f>
        <v>5060.7299999999996</v>
      </c>
      <c r="K33" s="170">
        <f>IF(H33/15&lt;=SMG,0,I33/2)</f>
        <v>0</v>
      </c>
      <c r="L33" s="170">
        <f t="shared" ref="L33" si="55">H33+K33</f>
        <v>5060.7299999999996</v>
      </c>
      <c r="M33" s="170">
        <f>VLOOKUP(L33,Tarifa1,1)</f>
        <v>4744.0600000000004</v>
      </c>
      <c r="N33" s="170">
        <f t="shared" ref="N33" si="56">L33-M33</f>
        <v>316.66999999999916</v>
      </c>
      <c r="O33" s="171">
        <f>VLOOKUP(L33,Tarifa1,3)</f>
        <v>0.16</v>
      </c>
      <c r="P33" s="170">
        <f t="shared" ref="P33" si="57">N33*O33</f>
        <v>50.667199999999866</v>
      </c>
      <c r="Q33" s="172">
        <f>VLOOKUP(L33,Tarifa1,2)</f>
        <v>381</v>
      </c>
      <c r="R33" s="170">
        <f t="shared" ref="R33" si="58">P33+Q33</f>
        <v>431.66719999999987</v>
      </c>
      <c r="S33" s="289">
        <f>VLOOKUP(L33,Credito1,2)</f>
        <v>0</v>
      </c>
      <c r="T33" s="170">
        <f t="shared" ref="T33" si="59">ROUND(R33-S33,2)</f>
        <v>431.67</v>
      </c>
      <c r="U33" s="169">
        <f>-IF(T33&gt;0,0,T33)</f>
        <v>0</v>
      </c>
      <c r="V33" s="169">
        <f>IF(T33&lt;0,0,T33)</f>
        <v>431.67</v>
      </c>
      <c r="W33" s="169">
        <f>SUM(V33:V33)</f>
        <v>431.67</v>
      </c>
      <c r="X33" s="169">
        <f>J33+U33-W33</f>
        <v>4629.0599999999995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3" t="s">
        <v>45</v>
      </c>
      <c r="B35" s="333"/>
      <c r="C35" s="333"/>
      <c r="D35" s="333"/>
      <c r="E35" s="333"/>
      <c r="F35" s="333"/>
      <c r="G35" s="333"/>
      <c r="H35" s="205">
        <f>H9+H12+H16+H20+H28+H30+H32+H14</f>
        <v>70246.23</v>
      </c>
      <c r="I35" s="205">
        <f>I9+I12+I16+I20+I28+I30+I32+I14</f>
        <v>0</v>
      </c>
      <c r="J35" s="205">
        <f>J9+J12+J16+J20+J28+J30+J32+J14</f>
        <v>70246.23</v>
      </c>
      <c r="K35" s="206">
        <f t="shared" ref="K35:T35" si="60">SUM(K10:K34)</f>
        <v>0</v>
      </c>
      <c r="L35" s="206">
        <f t="shared" si="60"/>
        <v>70246.23</v>
      </c>
      <c r="M35" s="206">
        <f t="shared" si="60"/>
        <v>62470.18</v>
      </c>
      <c r="N35" s="206">
        <f t="shared" si="60"/>
        <v>7776.0499999999984</v>
      </c>
      <c r="O35" s="206">
        <f t="shared" si="60"/>
        <v>2.1280000000000001</v>
      </c>
      <c r="P35" s="206">
        <f t="shared" si="60"/>
        <v>1080.8697599999996</v>
      </c>
      <c r="Q35" s="206">
        <f t="shared" si="60"/>
        <v>5583.0000000000009</v>
      </c>
      <c r="R35" s="206">
        <f t="shared" si="60"/>
        <v>6663.8697599999996</v>
      </c>
      <c r="S35" s="206">
        <f t="shared" si="60"/>
        <v>125.1</v>
      </c>
      <c r="T35" s="206">
        <f t="shared" si="60"/>
        <v>6538.79</v>
      </c>
      <c r="U35" s="205">
        <f>U9+U12+U16+U20+U28+U30+U32+U14</f>
        <v>0</v>
      </c>
      <c r="V35" s="205">
        <f>V9+V12+V16+V20+V28+V30+V32+V14</f>
        <v>6538.79</v>
      </c>
      <c r="W35" s="205">
        <f>W9+W12+W16+W20+W28+W30+W32+W14</f>
        <v>6538.79</v>
      </c>
      <c r="X35" s="205">
        <f>X9+X12+X16+X20+X28+X30+X32+X14</f>
        <v>63707.439999999995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222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224</v>
      </c>
      <c r="W45" s="4"/>
      <c r="X45" s="4"/>
    </row>
    <row r="46" spans="1:37" s="69" customFormat="1" x14ac:dyDescent="0.2">
      <c r="D46" s="78" t="s">
        <v>369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219</v>
      </c>
      <c r="W46" s="4"/>
      <c r="X46" s="4"/>
    </row>
    <row r="47" spans="1:37" s="69" customFormat="1" x14ac:dyDescent="0.2">
      <c r="D47" s="78" t="s">
        <v>370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95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33.7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133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97</v>
      </c>
      <c r="B10" s="114" t="s">
        <v>131</v>
      </c>
      <c r="C10" s="114" t="s">
        <v>139</v>
      </c>
      <c r="D10" s="119" t="s">
        <v>116</v>
      </c>
      <c r="E10" s="119" t="s">
        <v>82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89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99</v>
      </c>
      <c r="B11" s="114" t="s">
        <v>121</v>
      </c>
      <c r="C11" s="114" t="s">
        <v>139</v>
      </c>
      <c r="D11" s="119" t="s">
        <v>83</v>
      </c>
      <c r="E11" s="119" t="s">
        <v>88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89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J11+U11-W11+I11</f>
        <v>8177.91</v>
      </c>
      <c r="Y11" s="120"/>
    </row>
    <row r="12" spans="1:25" s="4" customFormat="1" ht="75" customHeight="1" x14ac:dyDescent="0.2">
      <c r="A12" s="59" t="s">
        <v>100</v>
      </c>
      <c r="B12" s="114" t="s">
        <v>132</v>
      </c>
      <c r="C12" s="114" t="s">
        <v>139</v>
      </c>
      <c r="D12" s="119" t="s">
        <v>112</v>
      </c>
      <c r="E12" s="119" t="s">
        <v>88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89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5" t="s">
        <v>45</v>
      </c>
      <c r="B14" s="306"/>
      <c r="C14" s="306"/>
      <c r="D14" s="306"/>
      <c r="E14" s="306"/>
      <c r="F14" s="306"/>
      <c r="G14" s="307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225</v>
      </c>
      <c r="V21" t="s">
        <v>107</v>
      </c>
    </row>
    <row r="22" spans="4:37" x14ac:dyDescent="0.2">
      <c r="D22" s="78" t="s">
        <v>369</v>
      </c>
      <c r="H22" s="4"/>
      <c r="V22" s="78" t="s">
        <v>226</v>
      </c>
    </row>
    <row r="23" spans="4:37" x14ac:dyDescent="0.2">
      <c r="D23" s="78" t="s">
        <v>370</v>
      </c>
      <c r="E23" s="51"/>
      <c r="F23" s="51"/>
      <c r="G23" s="51"/>
      <c r="H23" s="51"/>
      <c r="I23" s="51"/>
      <c r="V23" s="51" t="s">
        <v>227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6" workbookViewId="0">
      <selection activeCell="V16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1"/>
      <c r="J6" s="24" t="s">
        <v>26</v>
      </c>
      <c r="K6" s="25"/>
      <c r="L6" s="322" t="s">
        <v>9</v>
      </c>
      <c r="M6" s="323"/>
      <c r="N6" s="323"/>
      <c r="O6" s="323"/>
      <c r="P6" s="323"/>
      <c r="Q6" s="324"/>
      <c r="R6" s="24" t="s">
        <v>30</v>
      </c>
      <c r="S6" s="24" t="s">
        <v>10</v>
      </c>
      <c r="T6" s="23" t="s">
        <v>54</v>
      </c>
      <c r="U6" s="325" t="s">
        <v>2</v>
      </c>
      <c r="V6" s="326"/>
      <c r="W6" s="23" t="s">
        <v>0</v>
      </c>
      <c r="X6" s="42"/>
    </row>
    <row r="7" spans="1:25" ht="33.75" customHeight="1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97</v>
      </c>
      <c r="B10" s="137" t="s">
        <v>243</v>
      </c>
      <c r="C10" s="114" t="s">
        <v>139</v>
      </c>
      <c r="D10" s="119" t="s">
        <v>210</v>
      </c>
      <c r="E10" s="119" t="s">
        <v>85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98</v>
      </c>
      <c r="B11" s="137" t="s">
        <v>244</v>
      </c>
      <c r="C11" s="114" t="s">
        <v>139</v>
      </c>
      <c r="D11" s="119" t="s">
        <v>206</v>
      </c>
      <c r="E11" s="119" t="s">
        <v>85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99</v>
      </c>
      <c r="B12" s="137" t="s">
        <v>245</v>
      </c>
      <c r="C12" s="114" t="s">
        <v>139</v>
      </c>
      <c r="D12" s="119" t="s">
        <v>209</v>
      </c>
      <c r="E12" s="119" t="s">
        <v>85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100</v>
      </c>
      <c r="B13" s="137" t="s">
        <v>366</v>
      </c>
      <c r="C13" s="114" t="s">
        <v>139</v>
      </c>
      <c r="D13" s="119" t="s">
        <v>365</v>
      </c>
      <c r="E13" s="121" t="s">
        <v>368</v>
      </c>
      <c r="F13" s="131">
        <v>10</v>
      </c>
      <c r="G13" s="135">
        <f t="shared" si="7"/>
        <v>834.2</v>
      </c>
      <c r="H13" s="117">
        <v>8342</v>
      </c>
      <c r="I13" s="125">
        <f t="shared" ref="I13" si="17">SUM(H13:H13)</f>
        <v>8342</v>
      </c>
      <c r="J13" s="170">
        <v>0</v>
      </c>
      <c r="K13" s="170">
        <f t="shared" ref="K13" si="18">I13+J13</f>
        <v>8342</v>
      </c>
      <c r="L13" s="170">
        <f t="shared" ref="L13" si="19">VLOOKUP(K13,Tarifa1,1)</f>
        <v>6602.71</v>
      </c>
      <c r="M13" s="170">
        <f t="shared" ref="M13" si="20">K13-L13</f>
        <v>1739.29</v>
      </c>
      <c r="N13" s="171">
        <f t="shared" ref="N13" si="21">VLOOKUP(K13,Tarifa1,3)</f>
        <v>0.21360000000000001</v>
      </c>
      <c r="O13" s="170">
        <f t="shared" ref="O13" si="22">M13*N13</f>
        <v>371.51234400000004</v>
      </c>
      <c r="P13" s="172">
        <f t="shared" ref="P13" si="23">VLOOKUP(K13,Tarifa1,2)</f>
        <v>699.3</v>
      </c>
      <c r="Q13" s="170">
        <f t="shared" ref="Q13" si="24">O13+P13</f>
        <v>1070.8123439999999</v>
      </c>
      <c r="R13" s="170">
        <f t="shared" ref="R13" si="25">VLOOKUP(K13,Credito1,2)</f>
        <v>0</v>
      </c>
      <c r="S13" s="170">
        <f t="shared" ref="S13" si="26">ROUND(Q13-R13,2)</f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101</v>
      </c>
      <c r="B14" s="137" t="s">
        <v>352</v>
      </c>
      <c r="C14" s="137" t="s">
        <v>139</v>
      </c>
      <c r="D14" s="122" t="s">
        <v>342</v>
      </c>
      <c r="E14" s="122" t="s">
        <v>85</v>
      </c>
      <c r="F14" s="149">
        <v>15</v>
      </c>
      <c r="G14" s="285">
        <f t="shared" si="7"/>
        <v>556.13333333333333</v>
      </c>
      <c r="H14" s="117">
        <v>8342</v>
      </c>
      <c r="I14" s="125">
        <f t="shared" ref="I14" si="2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28">-IF(S14&gt;0,0,S14)</f>
        <v>0</v>
      </c>
      <c r="U14" s="125">
        <f t="shared" ref="U14" si="2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102</v>
      </c>
      <c r="B15" s="137" t="s">
        <v>247</v>
      </c>
      <c r="C15" s="114" t="s">
        <v>139</v>
      </c>
      <c r="D15" s="119" t="s">
        <v>207</v>
      </c>
      <c r="E15" s="119" t="s">
        <v>85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103</v>
      </c>
      <c r="B16" s="137" t="s">
        <v>248</v>
      </c>
      <c r="C16" s="114" t="s">
        <v>139</v>
      </c>
      <c r="D16" s="119" t="s">
        <v>208</v>
      </c>
      <c r="E16" s="119" t="s">
        <v>85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104</v>
      </c>
      <c r="B17" s="137" t="s">
        <v>249</v>
      </c>
      <c r="C17" s="114" t="s">
        <v>139</v>
      </c>
      <c r="D17" s="119" t="s">
        <v>211</v>
      </c>
      <c r="E17" s="119" t="s">
        <v>85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105</v>
      </c>
      <c r="B18" s="137" t="s">
        <v>250</v>
      </c>
      <c r="C18" s="114" t="s">
        <v>139</v>
      </c>
      <c r="D18" s="119" t="s">
        <v>212</v>
      </c>
      <c r="E18" s="119" t="s">
        <v>85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5" t="s">
        <v>45</v>
      </c>
      <c r="B20" s="306"/>
      <c r="C20" s="306"/>
      <c r="D20" s="306"/>
      <c r="E20" s="306"/>
      <c r="F20" s="306"/>
      <c r="G20" s="307"/>
      <c r="H20" s="39">
        <f>SUM(H10:H19)</f>
        <v>75078</v>
      </c>
      <c r="I20" s="39">
        <f>SUM(I10:I19)</f>
        <v>75078</v>
      </c>
      <c r="J20" s="40">
        <f t="shared" ref="J20:S20" si="30">SUM(J10:J19)</f>
        <v>0</v>
      </c>
      <c r="K20" s="40">
        <f t="shared" si="30"/>
        <v>75078</v>
      </c>
      <c r="L20" s="40">
        <f t="shared" si="30"/>
        <v>59424.39</v>
      </c>
      <c r="M20" s="40">
        <f t="shared" si="30"/>
        <v>15653.610000000004</v>
      </c>
      <c r="N20" s="40">
        <f t="shared" si="30"/>
        <v>1.9224000000000001</v>
      </c>
      <c r="O20" s="40">
        <f t="shared" si="30"/>
        <v>3343.611096000001</v>
      </c>
      <c r="P20" s="40">
        <f t="shared" si="30"/>
        <v>6293.7000000000007</v>
      </c>
      <c r="Q20" s="40">
        <f t="shared" si="30"/>
        <v>9637.3110959999995</v>
      </c>
      <c r="R20" s="40">
        <f t="shared" si="30"/>
        <v>0</v>
      </c>
      <c r="S20" s="40">
        <f t="shared" si="3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369</v>
      </c>
      <c r="H26" s="4"/>
    </row>
    <row r="27" spans="1:37" x14ac:dyDescent="0.2">
      <c r="D27" s="78" t="s">
        <v>370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2021-06-16T14:45:08Z</cp:lastPrinted>
  <dcterms:created xsi:type="dcterms:W3CDTF">2000-05-05T04:08:27Z</dcterms:created>
  <dcterms:modified xsi:type="dcterms:W3CDTF">2023-09-14T19:50:01Z</dcterms:modified>
</cp:coreProperties>
</file>