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1986803E-AB30-45A8-96D7-C46CFC270C7A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33" l="1"/>
  <c r="L13" i="133" s="1"/>
  <c r="J13" i="133"/>
  <c r="Q13" i="133" l="1"/>
  <c r="M13" i="133"/>
  <c r="N13" i="133" s="1"/>
  <c r="S13" i="133"/>
  <c r="O13" i="133"/>
  <c r="I22" i="135"/>
  <c r="J22" i="135" s="1"/>
  <c r="H22" i="135"/>
  <c r="K10" i="133"/>
  <c r="L10" i="133" s="1"/>
  <c r="J10" i="133"/>
  <c r="P13" i="133" l="1"/>
  <c r="R13" i="133" s="1"/>
  <c r="T13" i="133" s="1"/>
  <c r="O22" i="135"/>
  <c r="K22" i="135"/>
  <c r="L22" i="135" s="1"/>
  <c r="Q22" i="135"/>
  <c r="M22" i="135"/>
  <c r="O10" i="133"/>
  <c r="S10" i="133"/>
  <c r="M10" i="133"/>
  <c r="N10" i="133" s="1"/>
  <c r="Q10" i="133"/>
  <c r="K34" i="120"/>
  <c r="L34" i="120" s="1"/>
  <c r="J34" i="120"/>
  <c r="K33" i="120"/>
  <c r="L33" i="120" s="1"/>
  <c r="J33" i="120"/>
  <c r="N22" i="135" l="1"/>
  <c r="P22" i="135" s="1"/>
  <c r="R22" i="135"/>
  <c r="T22" i="135" s="1"/>
  <c r="U22" i="135" s="1"/>
  <c r="V13" i="133"/>
  <c r="W13" i="133" s="1"/>
  <c r="U13" i="133"/>
  <c r="S22" i="135"/>
  <c r="P10" i="133"/>
  <c r="R10" i="133" s="1"/>
  <c r="T10" i="133" s="1"/>
  <c r="V10" i="133" s="1"/>
  <c r="W10" i="133" s="1"/>
  <c r="Q34" i="120"/>
  <c r="S34" i="120"/>
  <c r="O34" i="120"/>
  <c r="M34" i="120"/>
  <c r="N34" i="120" s="1"/>
  <c r="S33" i="120"/>
  <c r="O33" i="120"/>
  <c r="Q33" i="120"/>
  <c r="M33" i="120"/>
  <c r="N33" i="120" s="1"/>
  <c r="P33" i="120" s="1"/>
  <c r="R33" i="120" s="1"/>
  <c r="T33" i="120" s="1"/>
  <c r="I21" i="135"/>
  <c r="J21" i="135" s="1"/>
  <c r="H21" i="135"/>
  <c r="K11" i="133"/>
  <c r="L11" i="133" s="1"/>
  <c r="J11" i="133"/>
  <c r="G11" i="133"/>
  <c r="V22" i="135" l="1"/>
  <c r="P34" i="120"/>
  <c r="R34" i="120" s="1"/>
  <c r="T34" i="120" s="1"/>
  <c r="U34" i="120" s="1"/>
  <c r="X13" i="133"/>
  <c r="U10" i="133"/>
  <c r="X10" i="133" s="1"/>
  <c r="V33" i="120"/>
  <c r="W33" i="120" s="1"/>
  <c r="U33" i="120"/>
  <c r="Q21" i="135"/>
  <c r="M21" i="135"/>
  <c r="O21" i="135"/>
  <c r="K21" i="135"/>
  <c r="L21" i="135" s="1"/>
  <c r="S11" i="133"/>
  <c r="O11" i="133"/>
  <c r="Q11" i="133"/>
  <c r="M11" i="133"/>
  <c r="N11" i="133" s="1"/>
  <c r="V34" i="120" l="1"/>
  <c r="W34" i="120" s="1"/>
  <c r="N21" i="135"/>
  <c r="P21" i="135" s="1"/>
  <c r="R21" i="135" s="1"/>
  <c r="P11" i="133"/>
  <c r="R11" i="133" s="1"/>
  <c r="T11" i="133" s="1"/>
  <c r="V11" i="133" s="1"/>
  <c r="W11" i="133" s="1"/>
  <c r="X33" i="120"/>
  <c r="X34" i="120"/>
  <c r="U11" i="133"/>
  <c r="K27" i="121"/>
  <c r="L27" i="121" s="1"/>
  <c r="J27" i="121"/>
  <c r="T21" i="135" l="1"/>
  <c r="U21" i="135" s="1"/>
  <c r="S21" i="135"/>
  <c r="V21" i="135" s="1"/>
  <c r="X11" i="133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2" i="133" l="1"/>
  <c r="L12" i="133" s="1"/>
  <c r="K14" i="133"/>
  <c r="L14" i="133" s="1"/>
  <c r="K15" i="133"/>
  <c r="L15" i="133" s="1"/>
  <c r="M15" i="133" s="1"/>
  <c r="K16" i="133"/>
  <c r="L16" i="133" s="1"/>
  <c r="I10" i="135"/>
  <c r="J10" i="135" s="1"/>
  <c r="I11" i="135"/>
  <c r="J11" i="135" s="1"/>
  <c r="K11" i="135" s="1"/>
  <c r="I12" i="135"/>
  <c r="I13" i="135"/>
  <c r="J13" i="135" s="1"/>
  <c r="K13" i="135" s="1"/>
  <c r="I14" i="135"/>
  <c r="I15" i="135"/>
  <c r="J15" i="135" s="1"/>
  <c r="K15" i="135" s="1"/>
  <c r="I16" i="135"/>
  <c r="J16" i="135" s="1"/>
  <c r="I17" i="135"/>
  <c r="J17" i="135" s="1"/>
  <c r="K17" i="135" s="1"/>
  <c r="I18" i="135"/>
  <c r="J18" i="135" s="1"/>
  <c r="I19" i="135"/>
  <c r="I20" i="135"/>
  <c r="J20" i="135" s="1"/>
  <c r="I9" i="135"/>
  <c r="J9" i="135" s="1"/>
  <c r="K11" i="132"/>
  <c r="K12" i="132"/>
  <c r="L12" i="132" s="1"/>
  <c r="M12" i="132" s="1"/>
  <c r="K13" i="132"/>
  <c r="L13" i="132" s="1"/>
  <c r="O13" i="132" s="1"/>
  <c r="K10" i="132"/>
  <c r="L10" i="132" s="1"/>
  <c r="K11" i="118"/>
  <c r="K12" i="118"/>
  <c r="K10" i="118"/>
  <c r="L10" i="118" s="1"/>
  <c r="S10" i="118" s="1"/>
  <c r="K33" i="123"/>
  <c r="L33" i="123" s="1"/>
  <c r="K31" i="123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L17" i="123" s="1"/>
  <c r="K15" i="123"/>
  <c r="K13" i="123"/>
  <c r="K11" i="123"/>
  <c r="L11" i="123" s="1"/>
  <c r="K10" i="123"/>
  <c r="L10" i="123" s="1"/>
  <c r="K35" i="121"/>
  <c r="L35" i="121" s="1"/>
  <c r="K33" i="121"/>
  <c r="K32" i="121"/>
  <c r="L32" i="121" s="1"/>
  <c r="K30" i="121"/>
  <c r="L30" i="121" s="1"/>
  <c r="K29" i="121"/>
  <c r="K26" i="121"/>
  <c r="K11" i="121"/>
  <c r="L11" i="121" s="1"/>
  <c r="O11" i="121" s="1"/>
  <c r="K12" i="121"/>
  <c r="L12" i="121" s="1"/>
  <c r="M12" i="121" s="1"/>
  <c r="K13" i="12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5" i="120"/>
  <c r="L35" i="120" s="1"/>
  <c r="M35" i="120" s="1"/>
  <c r="K36" i="120"/>
  <c r="L36" i="120" s="1"/>
  <c r="K10" i="120"/>
  <c r="L10" i="120" s="1"/>
  <c r="K11" i="120"/>
  <c r="L11" i="120" s="1"/>
  <c r="M11" i="120" s="1"/>
  <c r="K12" i="120"/>
  <c r="L12" i="120" s="1"/>
  <c r="K13" i="120"/>
  <c r="L13" i="120" s="1"/>
  <c r="M13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K19" i="120"/>
  <c r="L19" i="120" s="1"/>
  <c r="M19" i="120" s="1"/>
  <c r="K20" i="120"/>
  <c r="L20" i="120" s="1"/>
  <c r="K21" i="120"/>
  <c r="L21" i="120" s="1"/>
  <c r="M21" i="120" s="1"/>
  <c r="K9" i="120"/>
  <c r="L9" i="120" s="1"/>
  <c r="K12" i="134"/>
  <c r="L12" i="134" s="1"/>
  <c r="K10" i="134"/>
  <c r="L10" i="134" s="1"/>
  <c r="K10" i="127"/>
  <c r="L10" i="127" s="1"/>
  <c r="S10" i="127" s="1"/>
  <c r="L34" i="119"/>
  <c r="M34" i="119" s="1"/>
  <c r="L32" i="119"/>
  <c r="M32" i="119" s="1"/>
  <c r="L31" i="119"/>
  <c r="L21" i="119"/>
  <c r="M21" i="119" s="1"/>
  <c r="L19" i="119"/>
  <c r="M19" i="119" s="1"/>
  <c r="L18" i="119"/>
  <c r="M18" i="119" s="1"/>
  <c r="L16" i="119"/>
  <c r="L14" i="119"/>
  <c r="M14" i="119" s="1"/>
  <c r="L11" i="119"/>
  <c r="M11" i="119" s="1"/>
  <c r="L12" i="119"/>
  <c r="M12" i="119" s="1"/>
  <c r="L10" i="119"/>
  <c r="M10" i="119" s="1"/>
  <c r="J19" i="135"/>
  <c r="K19" i="135" s="1"/>
  <c r="J14" i="135"/>
  <c r="J12" i="135"/>
  <c r="L11" i="132"/>
  <c r="L11" i="118"/>
  <c r="L31" i="123"/>
  <c r="L18" i="123"/>
  <c r="L13" i="123"/>
  <c r="L29" i="121"/>
  <c r="L13" i="121"/>
  <c r="O13" i="121" s="1"/>
  <c r="L12" i="118"/>
  <c r="M12" i="118" s="1"/>
  <c r="L15" i="123"/>
  <c r="S15" i="123" s="1"/>
  <c r="L33" i="121"/>
  <c r="L26" i="121"/>
  <c r="S26" i="121" s="1"/>
  <c r="M31" i="119"/>
  <c r="M16" i="119"/>
  <c r="Q26" i="121" l="1"/>
  <c r="O12" i="133"/>
  <c r="S12" i="133"/>
  <c r="M12" i="133"/>
  <c r="N12" i="133" s="1"/>
  <c r="Q12" i="133"/>
  <c r="O14" i="133"/>
  <c r="S14" i="133"/>
  <c r="M14" i="133"/>
  <c r="N14" i="133" s="1"/>
  <c r="Q14" i="133"/>
  <c r="O16" i="133"/>
  <c r="S16" i="133"/>
  <c r="M16" i="133"/>
  <c r="N16" i="133" s="1"/>
  <c r="Q16" i="133"/>
  <c r="S15" i="133"/>
  <c r="O15" i="133"/>
  <c r="N15" i="133"/>
  <c r="Q15" i="133"/>
  <c r="O11" i="118"/>
  <c r="M11" i="118"/>
  <c r="N11" i="118" s="1"/>
  <c r="P11" i="118" s="1"/>
  <c r="Q13" i="132"/>
  <c r="O36" i="120"/>
  <c r="M36" i="120"/>
  <c r="N36" i="120" s="1"/>
  <c r="Q36" i="120"/>
  <c r="O11" i="132"/>
  <c r="Q11" i="132"/>
  <c r="M11" i="132"/>
  <c r="N11" i="132" s="1"/>
  <c r="Q11" i="118"/>
  <c r="M13" i="132"/>
  <c r="N13" i="132" s="1"/>
  <c r="P13" i="132" s="1"/>
  <c r="M26" i="121"/>
  <c r="N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19" i="135"/>
  <c r="M19" i="135"/>
  <c r="Q17" i="135"/>
  <c r="M15" i="135"/>
  <c r="Q13" i="135"/>
  <c r="L19" i="135"/>
  <c r="L17" i="135"/>
  <c r="L15" i="135"/>
  <c r="L13" i="135"/>
  <c r="L11" i="135"/>
  <c r="M17" i="135"/>
  <c r="Q15" i="135"/>
  <c r="M13" i="135"/>
  <c r="Q11" i="135"/>
  <c r="M11" i="135"/>
  <c r="O19" i="135"/>
  <c r="O17" i="135"/>
  <c r="O15" i="135"/>
  <c r="O13" i="135"/>
  <c r="O11" i="135"/>
  <c r="O9" i="135"/>
  <c r="K9" i="135"/>
  <c r="L9" i="135" s="1"/>
  <c r="Q9" i="135"/>
  <c r="M9" i="135"/>
  <c r="S12" i="132"/>
  <c r="O12" i="132"/>
  <c r="N12" i="132"/>
  <c r="S13" i="132"/>
  <c r="Q12" i="132"/>
  <c r="S11" i="132"/>
  <c r="M10" i="132"/>
  <c r="N10" i="132" s="1"/>
  <c r="S10" i="132"/>
  <c r="O10" i="132"/>
  <c r="Q10" i="132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P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5" i="120"/>
  <c r="O35" i="120"/>
  <c r="N35" i="120"/>
  <c r="S36" i="120"/>
  <c r="Q35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3" i="120"/>
  <c r="O13" i="120"/>
  <c r="S11" i="120"/>
  <c r="O11" i="120"/>
  <c r="N21" i="120"/>
  <c r="N19" i="120"/>
  <c r="N17" i="120"/>
  <c r="N15" i="120"/>
  <c r="P15" i="120" s="1"/>
  <c r="N13" i="120"/>
  <c r="N11" i="120"/>
  <c r="Q21" i="120"/>
  <c r="Q19" i="120"/>
  <c r="Q17" i="120"/>
  <c r="Q15" i="120"/>
  <c r="Q13" i="120"/>
  <c r="Q11" i="120"/>
  <c r="Q9" i="120"/>
  <c r="M9" i="120"/>
  <c r="N9" i="120" s="1"/>
  <c r="S9" i="120"/>
  <c r="O9" i="120"/>
  <c r="S12" i="134"/>
  <c r="O12" i="134"/>
  <c r="Q12" i="134"/>
  <c r="M12" i="134"/>
  <c r="N12" i="134" s="1"/>
  <c r="O10" i="134"/>
  <c r="M10" i="134"/>
  <c r="N10" i="134" s="1"/>
  <c r="P10" i="134" s="1"/>
  <c r="S10" i="134"/>
  <c r="Q10" i="134"/>
  <c r="M10" i="127"/>
  <c r="N10" i="127" s="1"/>
  <c r="Q10" i="127"/>
  <c r="O10" i="127"/>
  <c r="T34" i="119"/>
  <c r="P34" i="119"/>
  <c r="R34" i="119"/>
  <c r="N34" i="119"/>
  <c r="O34" i="119" s="1"/>
  <c r="T32" i="119"/>
  <c r="P32" i="119"/>
  <c r="R32" i="119"/>
  <c r="N32" i="119"/>
  <c r="O32" i="119" s="1"/>
  <c r="P31" i="119"/>
  <c r="T31" i="119"/>
  <c r="R31" i="119"/>
  <c r="N31" i="119"/>
  <c r="O31" i="119" s="1"/>
  <c r="R21" i="119"/>
  <c r="T21" i="119"/>
  <c r="P21" i="119"/>
  <c r="N21" i="119"/>
  <c r="O21" i="119" s="1"/>
  <c r="T19" i="119"/>
  <c r="P19" i="119"/>
  <c r="R19" i="119"/>
  <c r="N19" i="119"/>
  <c r="O19" i="119" s="1"/>
  <c r="T18" i="119"/>
  <c r="P18" i="119"/>
  <c r="R18" i="119"/>
  <c r="N18" i="119"/>
  <c r="O18" i="119" s="1"/>
  <c r="T16" i="119"/>
  <c r="P16" i="119"/>
  <c r="R16" i="119"/>
  <c r="N16" i="119"/>
  <c r="O16" i="119" s="1"/>
  <c r="T14" i="119"/>
  <c r="P14" i="119"/>
  <c r="R14" i="119"/>
  <c r="N14" i="119"/>
  <c r="O14" i="119" s="1"/>
  <c r="N12" i="119"/>
  <c r="O12" i="119" s="1"/>
  <c r="R12" i="119"/>
  <c r="P12" i="119"/>
  <c r="T12" i="119"/>
  <c r="P11" i="119"/>
  <c r="T11" i="119"/>
  <c r="N11" i="119"/>
  <c r="O11" i="119" s="1"/>
  <c r="R11" i="119"/>
  <c r="R10" i="119"/>
  <c r="N10" i="119"/>
  <c r="O10" i="119" s="1"/>
  <c r="T10" i="119"/>
  <c r="P10" i="119"/>
  <c r="N14" i="135" l="1"/>
  <c r="P14" i="133"/>
  <c r="R14" i="133" s="1"/>
  <c r="T14" i="133" s="1"/>
  <c r="P12" i="133"/>
  <c r="R12" i="133" s="1"/>
  <c r="T12" i="133" s="1"/>
  <c r="P15" i="133"/>
  <c r="R15" i="133" s="1"/>
  <c r="T15" i="133" s="1"/>
  <c r="P14" i="135"/>
  <c r="P16" i="133"/>
  <c r="R16" i="133" s="1"/>
  <c r="T16" i="133" s="1"/>
  <c r="R13" i="132"/>
  <c r="R11" i="118"/>
  <c r="T11" i="118" s="1"/>
  <c r="P22" i="123"/>
  <c r="P18" i="123"/>
  <c r="R18" i="123" s="1"/>
  <c r="T18" i="123" s="1"/>
  <c r="T13" i="132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6" i="120"/>
  <c r="R36" i="120" s="1"/>
  <c r="T36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2" i="134"/>
  <c r="R12" i="134" s="1"/>
  <c r="T12" i="134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1" i="132"/>
  <c r="R11" i="132" s="1"/>
  <c r="T11" i="132" s="1"/>
  <c r="Q14" i="119"/>
  <c r="S14" i="119" s="1"/>
  <c r="U14" i="119" s="1"/>
  <c r="Q16" i="119"/>
  <c r="S16" i="119" s="1"/>
  <c r="U16" i="119" s="1"/>
  <c r="Q18" i="119"/>
  <c r="S18" i="119" s="1"/>
  <c r="U18" i="119" s="1"/>
  <c r="Q32" i="119"/>
  <c r="S32" i="119" s="1"/>
  <c r="U32" i="119" s="1"/>
  <c r="Q31" i="119"/>
  <c r="S31" i="119" s="1"/>
  <c r="U31" i="119" s="1"/>
  <c r="N10" i="135"/>
  <c r="P10" i="135" s="1"/>
  <c r="R10" i="135" s="1"/>
  <c r="R14" i="135"/>
  <c r="R10" i="134"/>
  <c r="T10" i="134" s="1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P10" i="132"/>
  <c r="R10" i="132" s="1"/>
  <c r="T10" i="132" s="1"/>
  <c r="N18" i="135"/>
  <c r="P18" i="135" s="1"/>
  <c r="R18" i="135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5" i="120"/>
  <c r="R35" i="120" s="1"/>
  <c r="T35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2" i="132"/>
  <c r="R12" i="132" s="1"/>
  <c r="T12" i="132" s="1"/>
  <c r="P10" i="118"/>
  <c r="R10" i="118" s="1"/>
  <c r="T10" i="118" s="1"/>
  <c r="R27" i="123"/>
  <c r="T27" i="123" s="1"/>
  <c r="R22" i="123"/>
  <c r="T22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13" i="120"/>
  <c r="R13" i="120" s="1"/>
  <c r="T13" i="120" s="1"/>
  <c r="P21" i="120"/>
  <c r="R21" i="120" s="1"/>
  <c r="T21" i="120" s="1"/>
  <c r="R15" i="120"/>
  <c r="T15" i="120" s="1"/>
  <c r="Q11" i="119"/>
  <c r="S11" i="119" s="1"/>
  <c r="U11" i="119" s="1"/>
  <c r="Q21" i="119"/>
  <c r="S21" i="119" s="1"/>
  <c r="U21" i="119" s="1"/>
  <c r="P10" i="127"/>
  <c r="R10" i="127" s="1"/>
  <c r="T10" i="127" s="1"/>
  <c r="Q19" i="119"/>
  <c r="S19" i="119" s="1"/>
  <c r="U19" i="119" s="1"/>
  <c r="Q10" i="119"/>
  <c r="S10" i="119" s="1"/>
  <c r="U10" i="119" s="1"/>
  <c r="Q34" i="119"/>
  <c r="S34" i="119" s="1"/>
  <c r="U34" i="119" s="1"/>
  <c r="Q12" i="119"/>
  <c r="S12" i="119" s="1"/>
  <c r="U12" i="119" s="1"/>
  <c r="W12" i="119" s="1"/>
  <c r="J13" i="120" l="1"/>
  <c r="V13" i="120" l="1"/>
  <c r="W13" i="120" s="1"/>
  <c r="U13" i="120"/>
  <c r="X13" i="120" l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6" i="133"/>
  <c r="U21" i="120" l="1"/>
  <c r="X21" i="120" s="1"/>
  <c r="J15" i="121"/>
  <c r="V16" i="133" l="1"/>
  <c r="W16" i="133" s="1"/>
  <c r="T19" i="135"/>
  <c r="U19" i="135" s="1"/>
  <c r="S19" i="135"/>
  <c r="J18" i="123"/>
  <c r="V19" i="135" l="1"/>
  <c r="U16" i="133"/>
  <c r="X16" i="133" s="1"/>
  <c r="U18" i="123" l="1"/>
  <c r="U15" i="121"/>
  <c r="V15" i="121"/>
  <c r="W15" i="121" s="1"/>
  <c r="J33" i="119"/>
  <c r="I33" i="119"/>
  <c r="J27" i="123"/>
  <c r="K34" i="119"/>
  <c r="K33" i="119" s="1"/>
  <c r="J15" i="133"/>
  <c r="G15" i="133"/>
  <c r="V18" i="123" l="1"/>
  <c r="W18" i="123" s="1"/>
  <c r="X18" i="123" s="1"/>
  <c r="X15" i="121"/>
  <c r="W34" i="119" l="1"/>
  <c r="V27" i="123"/>
  <c r="W27" i="123" s="1"/>
  <c r="V15" i="133"/>
  <c r="W15" i="133" s="1"/>
  <c r="J19" i="120"/>
  <c r="G19" i="120"/>
  <c r="J13" i="121"/>
  <c r="J14" i="121"/>
  <c r="V34" i="119" l="1"/>
  <c r="V33" i="119" s="1"/>
  <c r="U27" i="123"/>
  <c r="X27" i="123" s="1"/>
  <c r="U15" i="133"/>
  <c r="X15" i="133" s="1"/>
  <c r="X34" i="119"/>
  <c r="X33" i="119" s="1"/>
  <c r="W33" i="119"/>
  <c r="V13" i="121"/>
  <c r="W13" i="121" s="1"/>
  <c r="U13" i="121"/>
  <c r="J9" i="120"/>
  <c r="J16" i="121"/>
  <c r="U19" i="120" l="1"/>
  <c r="X13" i="121"/>
  <c r="Y34" i="119"/>
  <c r="Y33" i="119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8" i="135" l="1"/>
  <c r="H17" i="135"/>
  <c r="S18" i="135" l="1"/>
  <c r="T17" i="135"/>
  <c r="U17" i="135" s="1"/>
  <c r="S17" i="135" l="1"/>
  <c r="V17" i="135" s="1"/>
  <c r="T18" i="135"/>
  <c r="U18" i="135" s="1"/>
  <c r="V18" i="135" s="1"/>
  <c r="K10" i="124"/>
  <c r="L10" i="124" s="1"/>
  <c r="I31" i="121"/>
  <c r="H31" i="121"/>
  <c r="O10" i="124" l="1"/>
  <c r="M10" i="124"/>
  <c r="N10" i="124" s="1"/>
  <c r="P10" i="124" s="1"/>
  <c r="S10" i="124"/>
  <c r="Q10" i="124"/>
  <c r="K31" i="121"/>
  <c r="L31" i="121"/>
  <c r="R10" i="124" l="1"/>
  <c r="T10" i="124" s="1"/>
  <c r="M31" i="121"/>
  <c r="Q31" i="121"/>
  <c r="S31" i="121"/>
  <c r="N31" i="121" l="1"/>
  <c r="J33" i="121" l="1"/>
  <c r="F23" i="135" l="1"/>
  <c r="G23" i="135"/>
  <c r="V33" i="121" l="1"/>
  <c r="W33" i="121" s="1"/>
  <c r="U33" i="121"/>
  <c r="H16" i="135"/>
  <c r="J16" i="120"/>
  <c r="X33" i="121" l="1"/>
  <c r="J14" i="133"/>
  <c r="J12" i="133" l="1"/>
  <c r="J19" i="121" l="1"/>
  <c r="J15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P13" i="131"/>
  <c r="L13" i="131"/>
  <c r="M13" i="131" s="1"/>
  <c r="N13" i="131"/>
  <c r="R13" i="131"/>
  <c r="R10" i="131"/>
  <c r="L10" i="131"/>
  <c r="M10" i="131" s="1"/>
  <c r="O10" i="131" s="1"/>
  <c r="P10" i="131"/>
  <c r="N10" i="131"/>
  <c r="L15" i="131"/>
  <c r="M15" i="131" s="1"/>
  <c r="N15" i="131"/>
  <c r="P15" i="131"/>
  <c r="R15" i="131"/>
  <c r="J13" i="123"/>
  <c r="I37" i="120"/>
  <c r="G18" i="120"/>
  <c r="J11" i="132"/>
  <c r="S12" i="131" l="1"/>
  <c r="O13" i="131"/>
  <c r="Q13" i="131" s="1"/>
  <c r="S13" i="131" s="1"/>
  <c r="Q10" i="131"/>
  <c r="O15" i="131"/>
  <c r="Q15" i="131" s="1"/>
  <c r="S15" i="131" s="1"/>
  <c r="O16" i="131"/>
  <c r="Q16" i="131" s="1"/>
  <c r="S16" i="131" s="1"/>
  <c r="O18" i="131"/>
  <c r="Q18" i="131" s="1"/>
  <c r="S18" i="131" s="1"/>
  <c r="S10" i="131"/>
  <c r="Q11" i="131"/>
  <c r="S11" i="131" s="1"/>
  <c r="O17" i="131"/>
  <c r="Q17" i="131" s="1"/>
  <c r="S17" i="131" s="1"/>
  <c r="J18" i="120"/>
  <c r="J10" i="132"/>
  <c r="J12" i="132"/>
  <c r="I9" i="121" l="1"/>
  <c r="J30" i="119"/>
  <c r="I30" i="119"/>
  <c r="I20" i="123" l="1"/>
  <c r="J14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5" i="120"/>
  <c r="G35" i="120"/>
  <c r="U10" i="120" l="1"/>
  <c r="X10" i="120" s="1"/>
  <c r="J11" i="121"/>
  <c r="G20" i="120"/>
  <c r="J20" i="120"/>
  <c r="K18" i="119" l="1"/>
  <c r="K14" i="119" l="1"/>
  <c r="K32" i="119" l="1"/>
  <c r="H28" i="121"/>
  <c r="H20" i="123"/>
  <c r="H16" i="123"/>
  <c r="H9" i="121" l="1"/>
  <c r="J29" i="121" l="1"/>
  <c r="J28" i="121" s="1"/>
  <c r="G17" i="120" l="1"/>
  <c r="J17" i="120" l="1"/>
  <c r="J10" i="124"/>
  <c r="J12" i="123"/>
  <c r="G13" i="123"/>
  <c r="I12" i="123"/>
  <c r="H12" i="123"/>
  <c r="J17" i="119" l="1"/>
  <c r="I17" i="119"/>
  <c r="K19" i="119"/>
  <c r="J29" i="123" l="1"/>
  <c r="W19" i="119" l="1"/>
  <c r="X19" i="119" s="1"/>
  <c r="V19" i="119"/>
  <c r="Y19" i="119" l="1"/>
  <c r="J17" i="123"/>
  <c r="J16" i="123" l="1"/>
  <c r="J22" i="123" l="1"/>
  <c r="J20" i="123" s="1"/>
  <c r="J26" i="121" l="1"/>
  <c r="G33" i="123" l="1"/>
  <c r="I32" i="123"/>
  <c r="H32" i="123"/>
  <c r="G14" i="133" l="1"/>
  <c r="Q17" i="133"/>
  <c r="M17" i="133"/>
  <c r="K17" i="133"/>
  <c r="I17" i="133"/>
  <c r="U32" i="123" l="1"/>
  <c r="J32" i="123"/>
  <c r="G16" i="133"/>
  <c r="H17" i="133"/>
  <c r="N17" i="133" l="1"/>
  <c r="V32" i="123"/>
  <c r="J17" i="133"/>
  <c r="L17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J9" i="119" l="1"/>
  <c r="I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J20" i="119" l="1"/>
  <c r="I20" i="119"/>
  <c r="J15" i="119"/>
  <c r="I15" i="119"/>
  <c r="J13" i="119"/>
  <c r="I13" i="119"/>
  <c r="K12" i="119"/>
  <c r="I36" i="119" l="1"/>
  <c r="J36" i="119"/>
  <c r="Q15" i="132" l="1"/>
  <c r="M15" i="132"/>
  <c r="K15" i="132"/>
  <c r="I15" i="132"/>
  <c r="G10" i="132"/>
  <c r="H15" i="132" l="1"/>
  <c r="J15" i="132" l="1"/>
  <c r="S15" i="132"/>
  <c r="N15" i="132"/>
  <c r="L15" i="132"/>
  <c r="K17" i="119" l="1"/>
  <c r="K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L12" i="127"/>
  <c r="L12" i="124"/>
  <c r="H14" i="118"/>
  <c r="L35" i="123"/>
  <c r="L37" i="121"/>
  <c r="L14" i="118" l="1"/>
  <c r="L36" i="119" l="1"/>
  <c r="K31" i="119"/>
  <c r="K30" i="119" s="1"/>
  <c r="K16" i="119"/>
  <c r="K10" i="119"/>
  <c r="K15" i="119" l="1"/>
  <c r="K11" i="119"/>
  <c r="K9" i="119" s="1"/>
  <c r="K21" i="119"/>
  <c r="K20" i="119" s="1"/>
  <c r="K36" i="119" l="1"/>
  <c r="M36" i="119"/>
  <c r="O12" i="124" l="1"/>
  <c r="Q12" i="127"/>
  <c r="Q12" i="124"/>
  <c r="O12" i="127"/>
  <c r="S12" i="127"/>
  <c r="S14" i="135" l="1"/>
  <c r="S11" i="135"/>
  <c r="U21" i="123"/>
  <c r="T13" i="131"/>
  <c r="S12" i="135"/>
  <c r="V13" i="123"/>
  <c r="U18" i="131"/>
  <c r="V18" i="131" s="1"/>
  <c r="Q23" i="135"/>
  <c r="V10" i="124"/>
  <c r="W10" i="124" s="1"/>
  <c r="U10" i="124"/>
  <c r="S12" i="124"/>
  <c r="U22" i="123"/>
  <c r="V22" i="123"/>
  <c r="W22" i="123" s="1"/>
  <c r="V29" i="121"/>
  <c r="U29" i="121"/>
  <c r="U35" i="120"/>
  <c r="V35" i="120"/>
  <c r="W35" i="120" s="1"/>
  <c r="S14" i="134"/>
  <c r="U12" i="133"/>
  <c r="V12" i="133"/>
  <c r="W12" i="133" s="1"/>
  <c r="W16" i="119"/>
  <c r="X16" i="119" s="1"/>
  <c r="V16" i="119"/>
  <c r="U12" i="131"/>
  <c r="V12" i="131" s="1"/>
  <c r="U10" i="123"/>
  <c r="V29" i="123"/>
  <c r="W29" i="123" s="1"/>
  <c r="U29" i="123"/>
  <c r="W14" i="119"/>
  <c r="X14" i="119" s="1"/>
  <c r="V14" i="119"/>
  <c r="V30" i="121"/>
  <c r="W30" i="121" s="1"/>
  <c r="U30" i="121"/>
  <c r="V14" i="120"/>
  <c r="W14" i="120" s="1"/>
  <c r="U14" i="120"/>
  <c r="V14" i="133"/>
  <c r="W14" i="133" s="1"/>
  <c r="U14" i="133"/>
  <c r="V16" i="120"/>
  <c r="W16" i="120" s="1"/>
  <c r="U16" i="120"/>
  <c r="V20" i="120"/>
  <c r="W20" i="120" s="1"/>
  <c r="T15" i="131"/>
  <c r="U17" i="123"/>
  <c r="V17" i="123"/>
  <c r="W17" i="123" s="1"/>
  <c r="U36" i="120"/>
  <c r="V36" i="120"/>
  <c r="W36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W18" i="119"/>
  <c r="X18" i="119" s="1"/>
  <c r="V18" i="119"/>
  <c r="U11" i="131"/>
  <c r="V11" i="131" s="1"/>
  <c r="T11" i="131"/>
  <c r="S15" i="135"/>
  <c r="T15" i="135"/>
  <c r="U15" i="135" s="1"/>
  <c r="M23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W32" i="119"/>
  <c r="X32" i="119" s="1"/>
  <c r="V32" i="119"/>
  <c r="U10" i="121"/>
  <c r="V10" i="121"/>
  <c r="W10" i="121" s="1"/>
  <c r="V12" i="132"/>
  <c r="W12" i="132" s="1"/>
  <c r="U12" i="132"/>
  <c r="U13" i="132"/>
  <c r="V13" i="132"/>
  <c r="W13" i="132" s="1"/>
  <c r="O31" i="121"/>
  <c r="O37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11" i="132"/>
  <c r="W11" i="132" s="1"/>
  <c r="U11" i="132"/>
  <c r="S17" i="133"/>
  <c r="V31" i="123"/>
  <c r="U31" i="123"/>
  <c r="U11" i="118"/>
  <c r="O17" i="133"/>
  <c r="U11" i="123"/>
  <c r="U17" i="121"/>
  <c r="V17" i="121"/>
  <c r="O15" i="132"/>
  <c r="X12" i="119"/>
  <c r="V12" i="119"/>
  <c r="R20" i="131"/>
  <c r="U18" i="121"/>
  <c r="V18" i="121"/>
  <c r="W18" i="121" s="1"/>
  <c r="N20" i="131"/>
  <c r="U12" i="118"/>
  <c r="Q37" i="120"/>
  <c r="O35" i="123"/>
  <c r="T36" i="119"/>
  <c r="S35" i="123"/>
  <c r="Q37" i="121"/>
  <c r="M37" i="120"/>
  <c r="M35" i="123"/>
  <c r="S14" i="118"/>
  <c r="P36" i="119"/>
  <c r="Q14" i="118"/>
  <c r="V12" i="120"/>
  <c r="W12" i="120" s="1"/>
  <c r="M12" i="127"/>
  <c r="M12" i="124"/>
  <c r="Q35" i="123"/>
  <c r="S37" i="121"/>
  <c r="N36" i="119"/>
  <c r="R36" i="119"/>
  <c r="O14" i="118"/>
  <c r="M14" i="118"/>
  <c r="M37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20" i="120"/>
  <c r="X20" i="120" s="1"/>
  <c r="X17" i="123"/>
  <c r="T12" i="131"/>
  <c r="W12" i="131" s="1"/>
  <c r="X10" i="124"/>
  <c r="X12" i="133"/>
  <c r="X35" i="120"/>
  <c r="X22" i="123"/>
  <c r="X11" i="121"/>
  <c r="X26" i="121"/>
  <c r="X10" i="121"/>
  <c r="W16" i="131"/>
  <c r="W10" i="131"/>
  <c r="X17" i="120"/>
  <c r="W11" i="131"/>
  <c r="X14" i="133"/>
  <c r="X30" i="121"/>
  <c r="X29" i="123"/>
  <c r="Y16" i="119"/>
  <c r="U28" i="121"/>
  <c r="V10" i="134"/>
  <c r="U10" i="134"/>
  <c r="T14" i="134"/>
  <c r="W29" i="121"/>
  <c r="W28" i="121" s="1"/>
  <c r="V28" i="121"/>
  <c r="V10" i="135"/>
  <c r="Y18" i="119"/>
  <c r="X15" i="120"/>
  <c r="X16" i="120"/>
  <c r="X14" i="120"/>
  <c r="Y14" i="119"/>
  <c r="W17" i="131"/>
  <c r="W13" i="123"/>
  <c r="W12" i="123" s="1"/>
  <c r="V12" i="123"/>
  <c r="V15" i="135"/>
  <c r="X18" i="120"/>
  <c r="U14" i="123"/>
  <c r="U20" i="123"/>
  <c r="V16" i="135"/>
  <c r="W15" i="123"/>
  <c r="W14" i="123" s="1"/>
  <c r="V14" i="123"/>
  <c r="N23" i="135"/>
  <c r="V14" i="135"/>
  <c r="V13" i="135"/>
  <c r="X11" i="132"/>
  <c r="X10" i="132"/>
  <c r="X12" i="132"/>
  <c r="Y32" i="119"/>
  <c r="P31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7" i="133"/>
  <c r="V11" i="120"/>
  <c r="Y12" i="119"/>
  <c r="W28" i="123"/>
  <c r="V28" i="123"/>
  <c r="O20" i="131"/>
  <c r="R15" i="132"/>
  <c r="W17" i="119"/>
  <c r="V17" i="119"/>
  <c r="P15" i="132"/>
  <c r="U28" i="123"/>
  <c r="V12" i="118"/>
  <c r="W12" i="118" s="1"/>
  <c r="X12" i="118" s="1"/>
  <c r="V11" i="119"/>
  <c r="W11" i="119"/>
  <c r="N35" i="123"/>
  <c r="U12" i="120"/>
  <c r="O36" i="119"/>
  <c r="V21" i="119"/>
  <c r="V20" i="119" s="1"/>
  <c r="W21" i="119"/>
  <c r="V15" i="119"/>
  <c r="N37" i="121"/>
  <c r="N12" i="127"/>
  <c r="V31" i="119"/>
  <c r="V30" i="119" s="1"/>
  <c r="W31" i="119"/>
  <c r="W30" i="119" s="1"/>
  <c r="N14" i="118"/>
  <c r="N12" i="124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7" i="133"/>
  <c r="X31" i="123"/>
  <c r="X30" i="123" s="1"/>
  <c r="X28" i="123"/>
  <c r="V13" i="119"/>
  <c r="X17" i="119"/>
  <c r="T15" i="132"/>
  <c r="Q20" i="131"/>
  <c r="X13" i="119"/>
  <c r="W13" i="119"/>
  <c r="W35" i="121"/>
  <c r="W34" i="121" s="1"/>
  <c r="V34" i="121"/>
  <c r="X15" i="119"/>
  <c r="W15" i="119"/>
  <c r="X21" i="119"/>
  <c r="X20" i="119" s="1"/>
  <c r="W20" i="119"/>
  <c r="X31" i="119"/>
  <c r="X30" i="119" s="1"/>
  <c r="X11" i="119"/>
  <c r="X12" i="120"/>
  <c r="P12" i="124"/>
  <c r="P14" i="118"/>
  <c r="P12" i="127"/>
  <c r="P37" i="121"/>
  <c r="P35" i="123"/>
  <c r="Q36" i="119"/>
  <c r="X10" i="134" l="1"/>
  <c r="X9" i="134" s="1"/>
  <c r="X14" i="134" s="1"/>
  <c r="T9" i="135"/>
  <c r="S9" i="135"/>
  <c r="R23" i="135"/>
  <c r="T31" i="121"/>
  <c r="V32" i="121"/>
  <c r="U32" i="121"/>
  <c r="X11" i="120"/>
  <c r="T17" i="133"/>
  <c r="Y17" i="119"/>
  <c r="X35" i="121"/>
  <c r="X34" i="121" s="1"/>
  <c r="V15" i="132"/>
  <c r="W15" i="132"/>
  <c r="U15" i="132"/>
  <c r="S20" i="131"/>
  <c r="Y13" i="119"/>
  <c r="Y15" i="119"/>
  <c r="Y21" i="119"/>
  <c r="Y20" i="119" s="1"/>
  <c r="Y31" i="119"/>
  <c r="Y30" i="119" s="1"/>
  <c r="Y11" i="119"/>
  <c r="R37" i="121"/>
  <c r="R35" i="123"/>
  <c r="R12" i="127"/>
  <c r="R14" i="118"/>
  <c r="S36" i="119"/>
  <c r="R12" i="124"/>
  <c r="S23" i="135" l="1"/>
  <c r="T23" i="135"/>
  <c r="U9" i="135"/>
  <c r="U23" i="135" s="1"/>
  <c r="V31" i="121"/>
  <c r="V37" i="121" s="1"/>
  <c r="W32" i="121"/>
  <c r="W31" i="121" s="1"/>
  <c r="U31" i="121"/>
  <c r="U37" i="121" s="1"/>
  <c r="W17" i="133"/>
  <c r="V17" i="133"/>
  <c r="U17" i="133"/>
  <c r="X15" i="132"/>
  <c r="V20" i="131"/>
  <c r="U20" i="131"/>
  <c r="T20" i="131"/>
  <c r="U10" i="127"/>
  <c r="V10" i="127"/>
  <c r="T12" i="127"/>
  <c r="W10" i="119"/>
  <c r="W9" i="119" s="1"/>
  <c r="W36" i="119" s="1"/>
  <c r="U36" i="119"/>
  <c r="V10" i="119"/>
  <c r="V9" i="119" s="1"/>
  <c r="V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7" i="133"/>
  <c r="W20" i="131"/>
  <c r="W37" i="121"/>
  <c r="V12" i="124"/>
  <c r="W12" i="124"/>
  <c r="U12" i="127"/>
  <c r="V12" i="127"/>
  <c r="W10" i="127"/>
  <c r="W12" i="127" s="1"/>
  <c r="U12" i="124"/>
  <c r="X10" i="119"/>
  <c r="X9" i="119" s="1"/>
  <c r="X36" i="119" s="1"/>
  <c r="W9" i="123"/>
  <c r="W35" i="123" s="1"/>
  <c r="W10" i="118"/>
  <c r="W14" i="118" s="1"/>
  <c r="X12" i="124" l="1"/>
  <c r="X37" i="121"/>
  <c r="X10" i="127"/>
  <c r="X12" i="127" s="1"/>
  <c r="Y10" i="119"/>
  <c r="Y9" i="119" s="1"/>
  <c r="Y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<sst xmlns="http://schemas.openxmlformats.org/spreadsheetml/2006/main" count="1328" uniqueCount="393">
  <si>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</si>
  <si>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</si>
  <si>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</si>
  <si>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</si>
  <si>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</si>
  <si>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</si>
  <si>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</si>
  <si>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</si>
  <si>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</si>
  <si>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</si>
  <si>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</si>
  <si>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</si>
  <si>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</si>
  <si>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</si>
  <si>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</si>
  <si>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</si>
  <si>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</si>
  <si>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</si>
  <si>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</si>
  <si>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</si>
  <si>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</si>
  <si>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</si>
  <si>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</si>
  <si>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</si>
  <si>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</si>
  <si>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</si>
  <si>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</si>
  <si>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</si>
  <si>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</si>
  <si>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</si>
  <si>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</si>
  <si>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</si>
  <si>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</si>
  <si>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</si>
  <si>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</si>
  <si>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</si>
  <si>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</si>
  <si>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</si>
  <si>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</si>
  <si>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</si>
  <si>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</si>
  <si>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</si>
  <si>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</si>
  <si>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</si>
  <si>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</si>
  <si>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</si>
  <si>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</si>
  <si>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</si>
  <si>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</si>
  <si>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</si>
  <si>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</si>
  <si>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</si>
  <si>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</si>
  <si>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</si>
  <si>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</si>
  <si>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</si>
  <si>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</si>
  <si>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</si>
  <si>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</si>
  <si>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</si>
  <si>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</si>
  <si>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</si>
  <si>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</si>
  <si>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</si>
  <si>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</si>
  <si>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</si>
  <si>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</si>
  <si>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</si>
  <si>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</si>
  <si>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</si>
  <si>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</si>
  <si>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</si>
  <si>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</si>
  <si>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</si>
  <si>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</si>
  <si>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</si>
  <si>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</si>
  <si>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</si>
  <si>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</si>
  <si>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</si>
  <si>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</si>
  <si>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</si>
  <si>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</si>
  <si>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</si>
  <si>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</si>
  <si>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</si>
  <si>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</si>
  <si>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</si>
  <si>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</si>
  <si>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</si>
  <si>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</si>
  <si>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</si>
  <si>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</si>
  <si>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</si>
  <si>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</si>
  <si>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</si>
  <si>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</si>
  <si>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</si>
  <si>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</si>
  <si>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</si>
  <si>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</si>
  <si>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</si>
  <si>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</si>
  <si>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</si>
  <si>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</si>
  <si>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</si>
  <si>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</si>
  <si>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</si>
  <si>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</si>
  <si>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</si>
  <si>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</si>
  <si>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</si>
  <si>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</si>
  <si>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</si>
  <si>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</si>
  <si>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</si>
  <si>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</si>
  <si>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</si>
  <si>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</si>
  <si>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</si>
  <si>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</si>
  <si>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</si>
  <si>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</si>
  <si>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</si>
  <si>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</si>
  <si>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</si>
  <si>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</si>
  <si>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</si>
  <si>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PELG8902233V7</t>
  </si>
  <si>
    <t>009</t>
  </si>
  <si>
    <t>SASS90022203B3</t>
  </si>
  <si>
    <t>011</t>
  </si>
  <si>
    <t>AELJ550607TWA</t>
  </si>
  <si>
    <t>016</t>
  </si>
  <si>
    <t>CACX570514UF0</t>
  </si>
  <si>
    <t>096</t>
  </si>
  <si>
    <t>OOVL880419UZ9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</si>
  <si>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</si>
  <si>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</si>
  <si>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</si>
  <si>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</si>
  <si>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</si>
  <si>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</si>
  <si>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</si>
  <si>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</si>
  <si>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</si>
  <si>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</si>
  <si>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</si>
  <si>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</si>
  <si>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</si>
  <si>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</si>
  <si>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</si>
  <si>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</si>
  <si>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</si>
  <si>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</si>
  <si>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</si>
  <si>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</si>
  <si>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</si>
  <si>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</si>
  <si>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</si>
  <si>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</si>
  <si>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</si>
  <si>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</si>
  <si>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</si>
  <si>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</si>
  <si>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</si>
  <si>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</si>
  <si>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</si>
  <si>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</si>
  <si>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</si>
  <si>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</si>
  <si>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</si>
  <si>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</si>
  <si>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</si>
  <si>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</si>
  <si>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</si>
  <si>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</si>
  <si>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</si>
  <si>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</si>
  <si>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</si>
  <si>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</si>
  <si>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</si>
  <si>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</si>
  <si>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</si>
  <si>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</si>
  <si>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</si>
  <si>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</si>
  <si>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</si>
  <si>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</si>
  <si>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</si>
  <si>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</si>
  <si>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</si>
  <si>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</si>
  <si>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</si>
  <si>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</si>
  <si>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</si>
  <si>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</si>
  <si>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</si>
  <si>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</si>
  <si>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</si>
  <si>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</si>
  <si>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</si>
  <si>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</si>
  <si>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</si>
  <si>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</si>
  <si>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</si>
  <si>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</si>
  <si>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</si>
  <si>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</si>
  <si>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</si>
  <si>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</si>
  <si>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</si>
  <si>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</si>
  <si>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</si>
  <si>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</si>
  <si>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</si>
  <si>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</si>
  <si>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</si>
  <si>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</si>
  <si>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</si>
  <si>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</si>
  <si>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</si>
  <si>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</si>
  <si>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</si>
  <si>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</si>
  <si>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</si>
  <si>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</si>
  <si>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</si>
  <si>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</si>
  <si>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</si>
  <si>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</si>
  <si>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</si>
  <si>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</si>
  <si>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</si>
  <si>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</si>
  <si>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</si>
  <si>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</si>
  <si>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</si>
  <si>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</si>
  <si>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</si>
  <si>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SOCG8710244C0</t>
  </si>
  <si>
    <t>VICF940917FW7</t>
  </si>
  <si>
    <t>GACG750625B70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</si>
  <si>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</si>
  <si>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</si>
  <si>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</si>
  <si>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</si>
  <si>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</si>
  <si>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</si>
  <si>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</si>
  <si>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</si>
  <si>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</si>
  <si>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</si>
  <si>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</si>
  <si>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</si>
  <si>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</si>
  <si>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</si>
  <si>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</si>
  <si>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</si>
  <si>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</si>
  <si>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</si>
  <si>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</si>
  <si>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</si>
  <si>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</si>
  <si>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</si>
  <si>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</si>
  <si>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</si>
  <si>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</si>
  <si>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</si>
  <si>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</si>
  <si>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</si>
  <si>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</si>
  <si>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</si>
  <si>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</si>
  <si>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</si>
  <si>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</si>
  <si>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</si>
  <si>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</si>
  <si>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</si>
  <si>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</si>
  <si>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</si>
  <si>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</si>
  <si>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</si>
  <si>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</si>
  <si>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</si>
  <si>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</si>
  <si>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</si>
  <si>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</si>
  <si>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</si>
  <si>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</si>
  <si>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</si>
  <si>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</si>
  <si>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</si>
  <si>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</si>
  <si>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</si>
  <si>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</si>
  <si>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</si>
  <si>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</si>
  <si>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</si>
  <si>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</si>
  <si>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</si>
  <si>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</si>
  <si>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</si>
  <si>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</si>
  <si>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</si>
  <si>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</si>
  <si>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</si>
  <si>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</si>
  <si>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</si>
  <si>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</si>
  <si>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</si>
  <si>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</si>
  <si>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</si>
  <si>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</si>
  <si>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</si>
  <si>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</si>
  <si>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</si>
  <si>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</si>
  <si>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</si>
  <si>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</si>
  <si>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</si>
  <si>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</si>
  <si>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</si>
  <si>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RAAA950903SL2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</si>
  <si>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</si>
  <si>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</si>
  <si>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</si>
  <si>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</si>
  <si>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</si>
  <si>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</si>
  <si>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</si>
  <si>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</si>
  <si>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</si>
  <si>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</si>
  <si>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</si>
  <si>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</si>
  <si>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</si>
  <si>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</si>
  <si>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</si>
  <si>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</si>
  <si>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</si>
  <si>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</si>
  <si>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</si>
  <si>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</si>
  <si>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</si>
  <si>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</si>
  <si>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</si>
  <si>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</si>
  <si>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</si>
  <si>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</si>
  <si>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</si>
  <si>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</si>
  <si>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</si>
  <si>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</si>
  <si>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</si>
  <si>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</si>
  <si>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</si>
  <si>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</si>
  <si>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</si>
  <si>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</si>
  <si>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</si>
  <si>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</si>
  <si>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</si>
  <si>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</si>
  <si>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</si>
  <si>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</si>
  <si>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</si>
  <si>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</si>
  <si>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</si>
  <si>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</si>
  <si>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</si>
  <si>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258</t>
  </si>
  <si>
    <t>259</t>
  </si>
  <si>
    <t>MEDICO MUNICIPAL</t>
  </si>
  <si>
    <t>LUIS EDUARDO SEDANO ORTIZ</t>
  </si>
  <si>
    <t>TITULAR DEL ORGANO INTERNO DE CONTROL</t>
  </si>
  <si>
    <t>PRESIDENTE MUNICIPAL INTERINO</t>
  </si>
  <si>
    <t>GUILLERMINA GARCIA VASTRO</t>
  </si>
  <si>
    <t>SUELDO  DEL 01 AL 15 DE MARZO DE 2021</t>
  </si>
  <si>
    <t>ROGELIO RAMIREZ CONTRERAS</t>
  </si>
  <si>
    <t>SECRETARIO GENERAL INTERINO</t>
  </si>
  <si>
    <t>262</t>
  </si>
  <si>
    <t>ERIDANI OROZCO VILLALOBOS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</si>
  <si>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</si>
  <si>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</si>
  <si>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</si>
  <si>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</si>
  <si>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</si>
  <si>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</si>
  <si>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>RACR6812109N0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</si>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</sst>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43" fontId="32" fillId="0" borderId="4" xfId="2" applyFont="1" applyBorder="1" applyAlignment="1" applyProtection="1">
      <alignment horizontal="right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165" fontId="30" fillId="3" borderId="4" xfId="2" applyNumberFormat="1" applyFont="1" applyFill="1" applyBorder="1" applyAlignment="1" applyProtection="1">
      <alignment horizontal="right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3" t="s">
        <v>363</v>
      </c>
    </row>
    <row r="3" spans="1:9" x14ac:dyDescent="0.2">
      <c r="B3" s="8" t="s">
        <v>49</v>
      </c>
      <c r="C3" s="7"/>
      <c r="D3" s="7"/>
      <c r="E3" s="7"/>
      <c r="F3" s="7"/>
      <c r="G3" s="7"/>
      <c r="I3" s="292">
        <v>141.69999999999999</v>
      </c>
    </row>
    <row r="4" spans="1:9" x14ac:dyDescent="0.2">
      <c r="B4" s="19" t="s">
        <v>361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2" t="s">
        <v>11</v>
      </c>
      <c r="C7" s="302"/>
      <c r="D7" s="302"/>
      <c r="E7" s="7"/>
      <c r="F7" s="303" t="s">
        <v>50</v>
      </c>
      <c r="G7" s="304"/>
      <c r="I7" s="293" t="s">
        <v>364</v>
      </c>
    </row>
    <row r="8" spans="1:9" ht="14.25" customHeight="1" x14ac:dyDescent="0.2">
      <c r="B8" s="305" t="s">
        <v>10</v>
      </c>
      <c r="C8" s="305"/>
      <c r="D8" s="305"/>
      <c r="E8" s="7"/>
      <c r="F8" s="306" t="s">
        <v>51</v>
      </c>
      <c r="G8" s="307"/>
      <c r="I8" s="292">
        <v>89.62</v>
      </c>
    </row>
    <row r="9" spans="1:9" ht="8.25" customHeight="1" x14ac:dyDescent="0.2">
      <c r="B9" s="299"/>
      <c r="C9" s="299"/>
      <c r="D9" s="299"/>
      <c r="E9" s="7"/>
      <c r="F9" s="300"/>
      <c r="G9" s="30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362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3" t="s">
        <v>55</v>
      </c>
      <c r="G32" s="304"/>
    </row>
    <row r="33" spans="2:7" x14ac:dyDescent="0.2">
      <c r="E33" s="7"/>
      <c r="F33" s="306" t="s">
        <v>56</v>
      </c>
      <c r="G33" s="307"/>
    </row>
    <row r="34" spans="2:7" ht="5.25" customHeight="1" x14ac:dyDescent="0.2">
      <c r="E34" s="7"/>
      <c r="F34" s="300"/>
      <c r="G34" s="301"/>
    </row>
    <row r="35" spans="2:7" x14ac:dyDescent="0.2">
      <c r="B35" s="302" t="s">
        <v>11</v>
      </c>
      <c r="C35" s="302"/>
      <c r="D35" s="302"/>
      <c r="E35" s="7"/>
      <c r="F35" s="9" t="s">
        <v>17</v>
      </c>
      <c r="G35" s="9" t="s">
        <v>18</v>
      </c>
    </row>
    <row r="36" spans="2:7" x14ac:dyDescent="0.2">
      <c r="B36" s="305" t="s">
        <v>10</v>
      </c>
      <c r="C36" s="305"/>
      <c r="D36" s="305"/>
      <c r="E36" s="7"/>
      <c r="F36" s="9"/>
      <c r="G36" s="9" t="s">
        <v>19</v>
      </c>
    </row>
    <row r="37" spans="2:7" x14ac:dyDescent="0.2">
      <c r="B37" s="299"/>
      <c r="C37" s="299"/>
      <c r="D37" s="299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9" t="s">
        <v>84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5" s="186" customFormat="1" ht="88.5" customHeight="1" x14ac:dyDescent="0.2">
      <c r="A10" s="60" t="s">
        <v>97</v>
      </c>
      <c r="B10" s="136" t="s">
        <v>260</v>
      </c>
      <c r="C10" s="62" t="s">
        <v>145</v>
      </c>
      <c r="D10" s="164" t="s">
        <v>219</v>
      </c>
      <c r="E10" s="164" t="s">
        <v>63</v>
      </c>
      <c r="F10" s="165">
        <v>15</v>
      </c>
      <c r="G10" s="166">
        <f>H10/F10</f>
        <v>933.73333333333335</v>
      </c>
      <c r="H10" s="167">
        <v>14006</v>
      </c>
      <c r="I10" s="168">
        <v>0</v>
      </c>
      <c r="J10" s="169">
        <f>SUM(H10:I10)</f>
        <v>14006</v>
      </c>
      <c r="K10" s="170">
        <f>I10/2</f>
        <v>0</v>
      </c>
      <c r="L10" s="170">
        <f>H10+K10</f>
        <v>14006</v>
      </c>
      <c r="M10" s="170">
        <f t="shared" ref="M10" si="0">VLOOKUP(L10,Tarifa1,1)</f>
        <v>13316.71</v>
      </c>
      <c r="N10" s="170">
        <f>L10-M10</f>
        <v>689.29000000000087</v>
      </c>
      <c r="O10" s="171">
        <f t="shared" ref="O10" si="1">VLOOKUP(L10,Tarifa1,3)</f>
        <v>0.23519999999999999</v>
      </c>
      <c r="P10" s="170">
        <f>N10*O10</f>
        <v>162.12100800000019</v>
      </c>
      <c r="Q10" s="172">
        <f t="shared" ref="Q10" si="2">VLOOKUP(L10,Tarifa1,2)</f>
        <v>2133.3000000000002</v>
      </c>
      <c r="R10" s="170">
        <f>P10+Q10</f>
        <v>2295.4210080000003</v>
      </c>
      <c r="S10" s="170">
        <f t="shared" ref="S10" si="3">VLOOKUP(L10,Credito1,2)</f>
        <v>0</v>
      </c>
      <c r="T10" s="170">
        <f>R10-S10</f>
        <v>2295.4210080000003</v>
      </c>
      <c r="U10" s="169">
        <f>-IF(T10&gt;0,0,T10)</f>
        <v>0</v>
      </c>
      <c r="V10" s="169">
        <f>IF(T10&lt;0,0,T10)</f>
        <v>2295.4210080000003</v>
      </c>
      <c r="W10" s="169">
        <f>SUM(V10:V10)</f>
        <v>2295.4210080000003</v>
      </c>
      <c r="X10" s="169">
        <f>J10+U10-W10</f>
        <v>11710.578991999999</v>
      </c>
      <c r="Y10" s="185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8" t="s">
        <v>45</v>
      </c>
      <c r="B12" s="309"/>
      <c r="C12" s="309"/>
      <c r="D12" s="309"/>
      <c r="E12" s="309"/>
      <c r="F12" s="309"/>
      <c r="G12" s="310"/>
      <c r="H12" s="39">
        <f t="shared" ref="H12:X12" si="4">SUM(H10:H11)</f>
        <v>14006</v>
      </c>
      <c r="I12" s="39">
        <f t="shared" si="4"/>
        <v>0</v>
      </c>
      <c r="J12" s="39">
        <f t="shared" si="4"/>
        <v>14006</v>
      </c>
      <c r="K12" s="40">
        <f t="shared" si="4"/>
        <v>0</v>
      </c>
      <c r="L12" s="40">
        <f t="shared" si="4"/>
        <v>14006</v>
      </c>
      <c r="M12" s="40">
        <f t="shared" si="4"/>
        <v>13316.71</v>
      </c>
      <c r="N12" s="40">
        <f t="shared" si="4"/>
        <v>689.29000000000087</v>
      </c>
      <c r="O12" s="40">
        <f t="shared" si="4"/>
        <v>0.23519999999999999</v>
      </c>
      <c r="P12" s="40">
        <f t="shared" si="4"/>
        <v>162.12100800000019</v>
      </c>
      <c r="Q12" s="40">
        <f t="shared" si="4"/>
        <v>2133.3000000000002</v>
      </c>
      <c r="R12" s="40">
        <f t="shared" si="4"/>
        <v>2295.4210080000003</v>
      </c>
      <c r="S12" s="40">
        <f t="shared" si="4"/>
        <v>0</v>
      </c>
      <c r="T12" s="40">
        <f t="shared" si="4"/>
        <v>2295.4210080000003</v>
      </c>
      <c r="U12" s="39">
        <f t="shared" si="4"/>
        <v>0</v>
      </c>
      <c r="V12" s="39">
        <f t="shared" si="4"/>
        <v>2295.4210080000003</v>
      </c>
      <c r="W12" s="39">
        <f t="shared" si="4"/>
        <v>2295.4210080000003</v>
      </c>
      <c r="X12" s="39">
        <f t="shared" si="4"/>
        <v>11710.578991999999</v>
      </c>
    </row>
    <row r="13" spans="1:25" ht="13.5" thickTop="1" x14ac:dyDescent="0.2"/>
    <row r="23" spans="4:37" ht="14.25" x14ac:dyDescent="0.2">
      <c r="D23" s="186" t="s">
        <v>271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 t="s">
        <v>272</v>
      </c>
      <c r="W23" s="186"/>
      <c r="X23" s="186"/>
      <c r="Y23" s="186"/>
    </row>
    <row r="24" spans="4:37" ht="15" x14ac:dyDescent="0.25">
      <c r="D24" s="78" t="s">
        <v>390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91" t="s">
        <v>234</v>
      </c>
      <c r="W24" s="186"/>
      <c r="X24" s="186"/>
      <c r="Y24" s="186"/>
    </row>
    <row r="25" spans="4:37" ht="15" x14ac:dyDescent="0.25">
      <c r="D25" s="78" t="s">
        <v>391</v>
      </c>
      <c r="E25" s="191"/>
      <c r="F25" s="191"/>
      <c r="G25" s="191"/>
      <c r="H25" s="191"/>
      <c r="I25" s="19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91" t="s">
        <v>95</v>
      </c>
      <c r="W25" s="191"/>
      <c r="X25" s="191"/>
      <c r="Y25" s="191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98</v>
      </c>
      <c r="B10" s="62" t="s">
        <v>149</v>
      </c>
      <c r="C10" s="62" t="s">
        <v>145</v>
      </c>
      <c r="D10" s="174" t="s">
        <v>150</v>
      </c>
      <c r="E10" s="164" t="s">
        <v>148</v>
      </c>
      <c r="F10" s="165">
        <v>15</v>
      </c>
      <c r="G10" s="166">
        <f>H10/F10</f>
        <v>250.4</v>
      </c>
      <c r="H10" s="167">
        <v>3756</v>
      </c>
      <c r="I10" s="168">
        <v>0</v>
      </c>
      <c r="J10" s="169">
        <f>SUM(H10:I10)</f>
        <v>3756</v>
      </c>
      <c r="K10" s="170">
        <f>IF(H10/15&lt;=SMG,0,I10/2)</f>
        <v>0</v>
      </c>
      <c r="L10" s="170">
        <f t="shared" ref="L10" si="0">H10+K10</f>
        <v>3756</v>
      </c>
      <c r="M10" s="170">
        <f>VLOOKUP(L10,Tarifa1,1)</f>
        <v>2699.41</v>
      </c>
      <c r="N10" s="170">
        <f t="shared" ref="N10" si="1">L10-M10</f>
        <v>1056.5900000000001</v>
      </c>
      <c r="O10" s="171">
        <f>VLOOKUP(L10,Tarifa1,3)</f>
        <v>0.10879999999999999</v>
      </c>
      <c r="P10" s="170">
        <f t="shared" ref="P10" si="2">N10*O10</f>
        <v>114.95699200000001</v>
      </c>
      <c r="Q10" s="172">
        <f>VLOOKUP(L10,Tarifa1,2)</f>
        <v>158.55000000000001</v>
      </c>
      <c r="R10" s="170">
        <f t="shared" ref="R10" si="3">P10+Q10</f>
        <v>273.50699200000003</v>
      </c>
      <c r="S10" s="291">
        <f>VLOOKUP(L10,Credito1,2)</f>
        <v>0</v>
      </c>
      <c r="T10" s="170">
        <f t="shared" ref="T10" si="4">ROUND(R10-S10,2)</f>
        <v>273.51</v>
      </c>
      <c r="U10" s="169">
        <f>-IF(T10&gt;0,0,T10)</f>
        <v>0</v>
      </c>
      <c r="V10" s="173">
        <f>IF(T10&lt;0,0,T10)</f>
        <v>273.51</v>
      </c>
      <c r="W10" s="169">
        <f>SUM(V10:V10)</f>
        <v>273.51</v>
      </c>
      <c r="X10" s="169">
        <f>J10+U10-W10</f>
        <v>3482.49</v>
      </c>
      <c r="Y10" s="185"/>
    </row>
    <row r="11" spans="1:25" s="186" customFormat="1" ht="69.95" customHeight="1" x14ac:dyDescent="0.2">
      <c r="A11" s="60" t="s">
        <v>99</v>
      </c>
      <c r="B11" s="62" t="s">
        <v>151</v>
      </c>
      <c r="C11" s="62" t="s">
        <v>145</v>
      </c>
      <c r="D11" s="174" t="s">
        <v>152</v>
      </c>
      <c r="E11" s="164" t="s">
        <v>148</v>
      </c>
      <c r="F11" s="165">
        <v>7</v>
      </c>
      <c r="G11" s="166">
        <v>208.2</v>
      </c>
      <c r="H11" s="167">
        <v>3756</v>
      </c>
      <c r="I11" s="168">
        <v>0</v>
      </c>
      <c r="J11" s="169">
        <f>SUM(H11:I11)</f>
        <v>3756</v>
      </c>
      <c r="K11" s="170">
        <f>IF(H11/15&lt;=SMG,0,I11/2)</f>
        <v>0</v>
      </c>
      <c r="L11" s="170">
        <f t="shared" ref="L11:L13" si="5">H11+K11</f>
        <v>3756</v>
      </c>
      <c r="M11" s="170">
        <f>VLOOKUP(L11,Tarifa1,1)</f>
        <v>2699.41</v>
      </c>
      <c r="N11" s="170">
        <f t="shared" ref="N11:N13" si="6">L11-M11</f>
        <v>1056.5900000000001</v>
      </c>
      <c r="O11" s="171">
        <f>VLOOKUP(L11,Tarifa1,3)</f>
        <v>0.10879999999999999</v>
      </c>
      <c r="P11" s="170">
        <f t="shared" ref="P11:P13" si="7">N11*O11</f>
        <v>114.95699200000001</v>
      </c>
      <c r="Q11" s="172">
        <f>VLOOKUP(L11,Tarifa1,2)</f>
        <v>158.55000000000001</v>
      </c>
      <c r="R11" s="170">
        <f t="shared" ref="R11:R13" si="8">P11+Q11</f>
        <v>273.50699200000003</v>
      </c>
      <c r="S11" s="291">
        <f>VLOOKUP(L11,Credito1,2)</f>
        <v>0</v>
      </c>
      <c r="T11" s="170">
        <f t="shared" ref="T11:T13" si="9">ROUND(R11-S11,2)</f>
        <v>273.51</v>
      </c>
      <c r="U11" s="169">
        <f>-IF(T11&gt;0,0,T11)</f>
        <v>0</v>
      </c>
      <c r="V11" s="173">
        <f>IF(T11&lt;0,0,T11)</f>
        <v>273.51</v>
      </c>
      <c r="W11" s="169">
        <f>SUM(V11:V11)</f>
        <v>273.51</v>
      </c>
      <c r="X11" s="169">
        <f>J11+U11-W11</f>
        <v>3482.49</v>
      </c>
      <c r="Y11" s="185"/>
    </row>
    <row r="12" spans="1:25" s="186" customFormat="1" ht="69.95" customHeight="1" x14ac:dyDescent="0.2">
      <c r="A12" s="123"/>
      <c r="B12" s="208" t="s">
        <v>265</v>
      </c>
      <c r="C12" s="62" t="s">
        <v>145</v>
      </c>
      <c r="D12" s="209" t="s">
        <v>221</v>
      </c>
      <c r="E12" s="164" t="s">
        <v>148</v>
      </c>
      <c r="F12" s="165">
        <v>7</v>
      </c>
      <c r="G12" s="166">
        <v>208.2</v>
      </c>
      <c r="H12" s="167">
        <v>3756</v>
      </c>
      <c r="I12" s="168">
        <v>0</v>
      </c>
      <c r="J12" s="169">
        <f>SUM(H12:I12)</f>
        <v>3756</v>
      </c>
      <c r="K12" s="170">
        <f>IF(H12/15&lt;=SMG,0,I12/2)</f>
        <v>0</v>
      </c>
      <c r="L12" s="170">
        <f t="shared" si="5"/>
        <v>3756</v>
      </c>
      <c r="M12" s="170">
        <f>VLOOKUP(L12,Tarifa1,1)</f>
        <v>2699.41</v>
      </c>
      <c r="N12" s="170">
        <f t="shared" si="6"/>
        <v>1056.5900000000001</v>
      </c>
      <c r="O12" s="171">
        <f>VLOOKUP(L12,Tarifa1,3)</f>
        <v>0.10879999999999999</v>
      </c>
      <c r="P12" s="170">
        <f t="shared" si="7"/>
        <v>114.95699200000001</v>
      </c>
      <c r="Q12" s="172">
        <f>VLOOKUP(L12,Tarifa1,2)</f>
        <v>158.55000000000001</v>
      </c>
      <c r="R12" s="170">
        <f t="shared" si="8"/>
        <v>273.50699200000003</v>
      </c>
      <c r="S12" s="291">
        <f>VLOOKUP(L12,Credito1,2)</f>
        <v>0</v>
      </c>
      <c r="T12" s="170">
        <f t="shared" si="9"/>
        <v>273.51</v>
      </c>
      <c r="U12" s="169">
        <f>-IF(T12&gt;0,0,T12)</f>
        <v>0</v>
      </c>
      <c r="V12" s="173">
        <f>IF(T12&lt;0,0,T12)</f>
        <v>273.51</v>
      </c>
      <c r="W12" s="169">
        <f>SUM(V12:V12)</f>
        <v>273.51</v>
      </c>
      <c r="X12" s="169">
        <f>J12+U12-W12</f>
        <v>3482.49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145</v>
      </c>
      <c r="D13" s="211" t="s">
        <v>270</v>
      </c>
      <c r="E13" s="164" t="s">
        <v>148</v>
      </c>
      <c r="F13" s="165">
        <v>7</v>
      </c>
      <c r="G13" s="166">
        <v>208.2</v>
      </c>
      <c r="H13" s="167">
        <v>3756</v>
      </c>
      <c r="I13" s="168">
        <v>0</v>
      </c>
      <c r="J13" s="169">
        <f>SUM(H13:I13)</f>
        <v>3756</v>
      </c>
      <c r="K13" s="170">
        <f>IF(H13/15&lt;=SMG,0,I13/2)</f>
        <v>0</v>
      </c>
      <c r="L13" s="170">
        <f t="shared" si="5"/>
        <v>3756</v>
      </c>
      <c r="M13" s="170">
        <f>VLOOKUP(L13,Tarifa1,1)</f>
        <v>2699.41</v>
      </c>
      <c r="N13" s="170">
        <f t="shared" si="6"/>
        <v>1056.5900000000001</v>
      </c>
      <c r="O13" s="171">
        <f>VLOOKUP(L13,Tarifa1,3)</f>
        <v>0.10879999999999999</v>
      </c>
      <c r="P13" s="170">
        <f t="shared" si="7"/>
        <v>114.95699200000001</v>
      </c>
      <c r="Q13" s="172">
        <f>VLOOKUP(L13,Tarifa1,2)</f>
        <v>158.55000000000001</v>
      </c>
      <c r="R13" s="170">
        <f t="shared" si="8"/>
        <v>273.50699200000003</v>
      </c>
      <c r="S13" s="291">
        <f>VLOOKUP(L13,Credito1,2)</f>
        <v>0</v>
      </c>
      <c r="T13" s="170">
        <f t="shared" si="9"/>
        <v>273.51</v>
      </c>
      <c r="U13" s="169">
        <f>-IF(T13&gt;0,0,T13)</f>
        <v>0</v>
      </c>
      <c r="V13" s="173">
        <f>IF(T13&lt;0,0,T13)</f>
        <v>273.51</v>
      </c>
      <c r="W13" s="169">
        <f>SUM(V13:V13)</f>
        <v>273.51</v>
      </c>
      <c r="X13" s="169">
        <f>J13+U13-W13</f>
        <v>3482.49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8" t="s">
        <v>45</v>
      </c>
      <c r="B15" s="309"/>
      <c r="C15" s="309"/>
      <c r="D15" s="309"/>
      <c r="E15" s="309"/>
      <c r="F15" s="309"/>
      <c r="G15" s="310"/>
      <c r="H15" s="39">
        <f>SUM(H10:H14)</f>
        <v>15024</v>
      </c>
      <c r="I15" s="39">
        <f>SUM(I10:I14)</f>
        <v>0</v>
      </c>
      <c r="J15" s="39">
        <f>SUM(J10:J14)</f>
        <v>15024</v>
      </c>
      <c r="K15" s="40">
        <f t="shared" ref="K15:T15" si="10">SUM(K10:K14)</f>
        <v>0</v>
      </c>
      <c r="L15" s="40">
        <f t="shared" si="10"/>
        <v>15024</v>
      </c>
      <c r="M15" s="40">
        <f t="shared" si="10"/>
        <v>10797.64</v>
      </c>
      <c r="N15" s="40">
        <f t="shared" si="10"/>
        <v>4226.3600000000006</v>
      </c>
      <c r="O15" s="40">
        <f t="shared" si="10"/>
        <v>0.43519999999999998</v>
      </c>
      <c r="P15" s="40">
        <f t="shared" si="10"/>
        <v>459.82796800000006</v>
      </c>
      <c r="Q15" s="40">
        <f t="shared" si="10"/>
        <v>634.20000000000005</v>
      </c>
      <c r="R15" s="40">
        <f t="shared" si="10"/>
        <v>1094.0279680000001</v>
      </c>
      <c r="S15" s="40">
        <f t="shared" si="10"/>
        <v>0</v>
      </c>
      <c r="T15" s="40">
        <f t="shared" si="10"/>
        <v>1094.04</v>
      </c>
      <c r="U15" s="39">
        <f>SUM(U10:U14)</f>
        <v>0</v>
      </c>
      <c r="V15" s="39">
        <f>SUM(V10:V14)</f>
        <v>1094.04</v>
      </c>
      <c r="W15" s="39">
        <f>SUM(W10:W14)</f>
        <v>1094.04</v>
      </c>
      <c r="X15" s="39">
        <f>SUM(X10:X14)</f>
        <v>13929.96</v>
      </c>
    </row>
    <row r="16" spans="1:25" ht="13.5" thickTop="1" x14ac:dyDescent="0.2"/>
    <row r="24" spans="4:25" x14ac:dyDescent="0.2">
      <c r="D24" s="4" t="s">
        <v>236</v>
      </c>
      <c r="V24" s="4" t="s">
        <v>229</v>
      </c>
    </row>
    <row r="25" spans="4:25" x14ac:dyDescent="0.2">
      <c r="D25" s="78" t="s">
        <v>390</v>
      </c>
      <c r="H25" s="4"/>
      <c r="V25" s="78" t="s">
        <v>237</v>
      </c>
    </row>
    <row r="26" spans="4:25" x14ac:dyDescent="0.2">
      <c r="D26" s="78" t="s">
        <v>391</v>
      </c>
      <c r="E26" s="51"/>
      <c r="F26" s="51"/>
      <c r="G26" s="51"/>
      <c r="H26" s="51"/>
      <c r="I26" s="51"/>
      <c r="V26" s="51" t="s">
        <v>235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2" zoomScale="80" zoomScaleNormal="80" workbookViewId="0">
      <selection activeCell="U12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4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4"/>
    </row>
    <row r="3" spans="1:25" ht="15" x14ac:dyDescent="0.2">
      <c r="A3" s="50" t="s">
        <v>325</v>
      </c>
      <c r="B3" s="312" t="s">
        <v>378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2" t="s">
        <v>1</v>
      </c>
      <c r="G5" s="323"/>
      <c r="H5" s="324"/>
      <c r="I5" s="24" t="s">
        <v>26</v>
      </c>
      <c r="J5" s="25"/>
      <c r="K5" s="325" t="s">
        <v>9</v>
      </c>
      <c r="L5" s="326"/>
      <c r="M5" s="326"/>
      <c r="N5" s="326"/>
      <c r="O5" s="326"/>
      <c r="P5" s="327"/>
      <c r="Q5" s="24" t="s">
        <v>30</v>
      </c>
      <c r="R5" s="24" t="s">
        <v>10</v>
      </c>
      <c r="S5" s="23" t="s">
        <v>54</v>
      </c>
      <c r="T5" s="328" t="s">
        <v>2</v>
      </c>
      <c r="U5" s="329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146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169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97</v>
      </c>
      <c r="B9" s="234" t="s">
        <v>186</v>
      </c>
      <c r="C9" s="234" t="s">
        <v>145</v>
      </c>
      <c r="D9" s="235" t="s">
        <v>71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0" si="1">IF(F9/15&lt;=SMG,0,G9/2)</f>
        <v>0</v>
      </c>
      <c r="J9" s="240">
        <f t="shared" ref="J9" si="2">F9+I9</f>
        <v>9702</v>
      </c>
      <c r="K9" s="240">
        <f t="shared" ref="K9:K20" si="3">VLOOKUP(J9,Tarifa1,1)</f>
        <v>6602.71</v>
      </c>
      <c r="L9" s="240">
        <f t="shared" ref="L9" si="4">J9-K9</f>
        <v>3099.29</v>
      </c>
      <c r="M9" s="241">
        <f t="shared" ref="M9:M20" si="5">VLOOKUP(J9,Tarifa1,3)</f>
        <v>0.21360000000000001</v>
      </c>
      <c r="N9" s="240">
        <f t="shared" ref="N9" si="6">L9*M9</f>
        <v>662.00834400000008</v>
      </c>
      <c r="O9" s="242">
        <f t="shared" ref="O9:O20" si="7">VLOOKUP(J9,Tarifa1,2)</f>
        <v>699.3</v>
      </c>
      <c r="P9" s="240">
        <f t="shared" ref="P9" si="8">N9+O9</f>
        <v>1361.308344</v>
      </c>
      <c r="Q9" s="240">
        <f t="shared" ref="Q9:Q20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304</v>
      </c>
      <c r="C10" s="234" t="s">
        <v>145</v>
      </c>
      <c r="D10" s="235" t="s">
        <v>92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0" si="13">F10+I10</f>
        <v>7926</v>
      </c>
      <c r="K10" s="240">
        <f t="shared" si="3"/>
        <v>6602.71</v>
      </c>
      <c r="L10" s="240">
        <f t="shared" ref="L10:L20" si="14">J10-K10</f>
        <v>1323.29</v>
      </c>
      <c r="M10" s="241">
        <f t="shared" si="5"/>
        <v>0.21360000000000001</v>
      </c>
      <c r="N10" s="240">
        <f t="shared" ref="N10:N20" si="15">L10*M10</f>
        <v>282.65474399999999</v>
      </c>
      <c r="O10" s="242">
        <f t="shared" si="7"/>
        <v>699.3</v>
      </c>
      <c r="P10" s="240">
        <f t="shared" ref="P10:P20" si="16">N10+O10</f>
        <v>981.95474399999989</v>
      </c>
      <c r="Q10" s="240">
        <f t="shared" si="9"/>
        <v>0</v>
      </c>
      <c r="R10" s="240">
        <f t="shared" ref="R10:R20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324</v>
      </c>
      <c r="C11" s="234" t="s">
        <v>145</v>
      </c>
      <c r="D11" s="235" t="s">
        <v>92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125</v>
      </c>
      <c r="C12" s="234" t="s">
        <v>145</v>
      </c>
      <c r="D12" s="235" t="s">
        <v>93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292</v>
      </c>
      <c r="C13" s="234" t="s">
        <v>145</v>
      </c>
      <c r="D13" s="235" t="s">
        <v>93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303</v>
      </c>
      <c r="C14" s="234" t="s">
        <v>145</v>
      </c>
      <c r="D14" s="235" t="s">
        <v>93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313</v>
      </c>
      <c r="C15" s="234" t="s">
        <v>145</v>
      </c>
      <c r="D15" s="235" t="s">
        <v>93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335</v>
      </c>
      <c r="C16" s="234" t="s">
        <v>145</v>
      </c>
      <c r="D16" s="235" t="s">
        <v>93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343</v>
      </c>
      <c r="C17" s="234" t="s">
        <v>145</v>
      </c>
      <c r="D17" s="235" t="s">
        <v>93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1" si="24">-IF(R17&gt;0,0,R17)</f>
        <v>0</v>
      </c>
      <c r="T17" s="239">
        <f t="shared" ref="T17:T21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344</v>
      </c>
      <c r="C18" s="234" t="s">
        <v>145</v>
      </c>
      <c r="D18" s="235" t="s">
        <v>93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370</v>
      </c>
      <c r="C19" s="234" t="s">
        <v>145</v>
      </c>
      <c r="D19" s="235" t="s">
        <v>93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368</v>
      </c>
      <c r="C20" s="234" t="s">
        <v>145</v>
      </c>
      <c r="D20" s="235" t="s">
        <v>93</v>
      </c>
      <c r="E20" s="236">
        <v>15</v>
      </c>
      <c r="F20" s="237">
        <v>7185.5</v>
      </c>
      <c r="G20" s="238">
        <v>0</v>
      </c>
      <c r="H20" s="239">
        <f t="shared" ref="H20:H22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369</v>
      </c>
      <c r="C21" s="234" t="s">
        <v>145</v>
      </c>
      <c r="D21" s="235" t="s">
        <v>93</v>
      </c>
      <c r="E21" s="236">
        <v>15</v>
      </c>
      <c r="F21" s="237">
        <v>7185.5</v>
      </c>
      <c r="G21" s="238">
        <v>0</v>
      </c>
      <c r="H21" s="239">
        <f t="shared" si="27"/>
        <v>7185.5</v>
      </c>
      <c r="I21" s="240">
        <f t="shared" ref="I21:I22" si="28">IF(F21/15&lt;=SMG,0,G21/2)</f>
        <v>0</v>
      </c>
      <c r="J21" s="240">
        <f t="shared" ref="J21:J22" si="29">F21+I21</f>
        <v>7185.5</v>
      </c>
      <c r="K21" s="240">
        <f t="shared" ref="K21:K22" si="30">VLOOKUP(J21,Tarifa1,1)</f>
        <v>6602.71</v>
      </c>
      <c r="L21" s="240">
        <f t="shared" ref="L21:L22" si="31">J21-K21</f>
        <v>582.79</v>
      </c>
      <c r="M21" s="241">
        <f t="shared" ref="M21:M22" si="32">VLOOKUP(J21,Tarifa1,3)</f>
        <v>0.21360000000000001</v>
      </c>
      <c r="N21" s="240">
        <f t="shared" ref="N21:N22" si="33">L21*M21</f>
        <v>124.48394399999999</v>
      </c>
      <c r="O21" s="242">
        <f t="shared" ref="O21:O22" si="34">VLOOKUP(J21,Tarifa1,2)</f>
        <v>699.3</v>
      </c>
      <c r="P21" s="240">
        <f t="shared" ref="P21:P22" si="35">N21+O21</f>
        <v>823.78394399999991</v>
      </c>
      <c r="Q21" s="240">
        <f t="shared" ref="Q21:Q22" si="36">VLOOKUP(J21,Credito1,2)</f>
        <v>0</v>
      </c>
      <c r="R21" s="240">
        <f t="shared" ref="R21:R22" si="37">ROUND(P21-Q21,2)</f>
        <v>823.78</v>
      </c>
      <c r="S21" s="239">
        <f t="shared" si="24"/>
        <v>0</v>
      </c>
      <c r="T21" s="239">
        <f t="shared" si="25"/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65.099999999999994" customHeight="1" x14ac:dyDescent="0.2">
      <c r="A22" s="264"/>
      <c r="B22" s="234" t="s">
        <v>371</v>
      </c>
      <c r="C22" s="234" t="s">
        <v>145</v>
      </c>
      <c r="D22" s="235" t="s">
        <v>93</v>
      </c>
      <c r="E22" s="236"/>
      <c r="F22" s="237">
        <v>7185.5</v>
      </c>
      <c r="G22" s="238">
        <v>0</v>
      </c>
      <c r="H22" s="239">
        <f t="shared" si="27"/>
        <v>7185.5</v>
      </c>
      <c r="I22" s="240">
        <f t="shared" si="28"/>
        <v>0</v>
      </c>
      <c r="J22" s="240">
        <f t="shared" si="29"/>
        <v>7185.5</v>
      </c>
      <c r="K22" s="240">
        <f t="shared" si="30"/>
        <v>6602.71</v>
      </c>
      <c r="L22" s="240">
        <f t="shared" si="31"/>
        <v>582.79</v>
      </c>
      <c r="M22" s="241">
        <f t="shared" si="32"/>
        <v>0.21360000000000001</v>
      </c>
      <c r="N22" s="240">
        <f t="shared" si="33"/>
        <v>124.48394399999999</v>
      </c>
      <c r="O22" s="242">
        <f t="shared" si="34"/>
        <v>699.3</v>
      </c>
      <c r="P22" s="240">
        <f t="shared" si="35"/>
        <v>823.78394399999991</v>
      </c>
      <c r="Q22" s="240">
        <f t="shared" si="36"/>
        <v>0</v>
      </c>
      <c r="R22" s="240">
        <f t="shared" si="37"/>
        <v>823.78</v>
      </c>
      <c r="S22" s="239">
        <f t="shared" ref="S22" si="38">-IF(R22&gt;0,0,R22)</f>
        <v>0</v>
      </c>
      <c r="T22" s="239">
        <f t="shared" ref="T22" si="39">IF(R22&lt;0,0,R22)</f>
        <v>823.78</v>
      </c>
      <c r="U22" s="239">
        <f>SUM(T22:T22)</f>
        <v>823.78</v>
      </c>
      <c r="V22" s="239">
        <f>H22+S22-U22</f>
        <v>6361.72</v>
      </c>
      <c r="W22" s="120"/>
      <c r="X22" s="4"/>
    </row>
    <row r="23" spans="1:36" ht="38.1" customHeight="1" thickBot="1" x14ac:dyDescent="0.3">
      <c r="A23" s="337" t="s">
        <v>45</v>
      </c>
      <c r="B23" s="338"/>
      <c r="C23" s="338"/>
      <c r="D23" s="338"/>
      <c r="E23" s="338"/>
      <c r="F23" s="244">
        <f>SUM(F9:F22)</f>
        <v>104594.5</v>
      </c>
      <c r="G23" s="244">
        <f>SUM(G9:G22)</f>
        <v>0</v>
      </c>
      <c r="H23" s="244">
        <f>SUM(H9:H22)</f>
        <v>104594.5</v>
      </c>
      <c r="I23" s="245">
        <f t="shared" ref="I23:R23" si="40">SUM(I9:I15)</f>
        <v>0</v>
      </c>
      <c r="J23" s="245">
        <f t="shared" si="40"/>
        <v>54296</v>
      </c>
      <c r="K23" s="245">
        <f t="shared" si="40"/>
        <v>46218.97</v>
      </c>
      <c r="L23" s="245">
        <f t="shared" si="40"/>
        <v>8077.03</v>
      </c>
      <c r="M23" s="245">
        <f t="shared" si="40"/>
        <v>1.4952000000000001</v>
      </c>
      <c r="N23" s="245">
        <f t="shared" si="40"/>
        <v>1725.2536080000002</v>
      </c>
      <c r="O23" s="245">
        <f t="shared" si="40"/>
        <v>4895.1000000000004</v>
      </c>
      <c r="P23" s="245">
        <f t="shared" si="40"/>
        <v>6620.3536079999985</v>
      </c>
      <c r="Q23" s="245">
        <f t="shared" si="40"/>
        <v>0</v>
      </c>
      <c r="R23" s="245">
        <f t="shared" si="40"/>
        <v>6620.329999999999</v>
      </c>
      <c r="S23" s="244">
        <f>SUM(S9:S22)</f>
        <v>0</v>
      </c>
      <c r="T23" s="244">
        <f>SUM(T9:T22)</f>
        <v>12386.790000000003</v>
      </c>
      <c r="U23" s="244">
        <f>SUM(U9:U22)</f>
        <v>12386.790000000003</v>
      </c>
      <c r="V23" s="244">
        <f>SUM(V9:V22)</f>
        <v>92207.71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9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40" t="s">
        <v>90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25" ht="18" x14ac:dyDescent="0.25">
      <c r="A2" s="340" t="s">
        <v>66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1" t="s">
        <v>1</v>
      </c>
      <c r="I6" s="342"/>
      <c r="J6" s="343"/>
      <c r="K6" s="94" t="s">
        <v>26</v>
      </c>
      <c r="L6" s="95"/>
      <c r="M6" s="344" t="s">
        <v>9</v>
      </c>
      <c r="N6" s="345"/>
      <c r="O6" s="345"/>
      <c r="P6" s="345"/>
      <c r="Q6" s="345"/>
      <c r="R6" s="346"/>
      <c r="S6" s="94" t="s">
        <v>30</v>
      </c>
      <c r="T6" s="94" t="s">
        <v>10</v>
      </c>
      <c r="U6" s="93" t="s">
        <v>54</v>
      </c>
      <c r="V6" s="347" t="s">
        <v>2</v>
      </c>
      <c r="W6" s="348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146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169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184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 t="s">
        <v>100</v>
      </c>
      <c r="B10" s="234" t="s">
        <v>372</v>
      </c>
      <c r="C10" s="234" t="s">
        <v>145</v>
      </c>
      <c r="D10" s="243" t="s">
        <v>374</v>
      </c>
      <c r="E10" s="288" t="s">
        <v>373</v>
      </c>
      <c r="F10" s="236"/>
      <c r="G10" s="289"/>
      <c r="H10" s="237">
        <v>9014.4500000000007</v>
      </c>
      <c r="I10" s="238">
        <v>0</v>
      </c>
      <c r="J10" s="239">
        <f>H10</f>
        <v>9014.4500000000007</v>
      </c>
      <c r="K10" s="240">
        <f>IF(H10/15&lt;=SMG,0,I10/2)</f>
        <v>0</v>
      </c>
      <c r="L10" s="240">
        <f t="shared" ref="L10" si="0">H10+K10</f>
        <v>9014.4500000000007</v>
      </c>
      <c r="M10" s="240">
        <f>VLOOKUP(L10,Tarifa1,1)</f>
        <v>6602.71</v>
      </c>
      <c r="N10" s="240">
        <f t="shared" ref="N10" si="1">L10-M10</f>
        <v>2411.7400000000007</v>
      </c>
      <c r="O10" s="241">
        <f>VLOOKUP(L10,Tarifa1,3)</f>
        <v>0.21360000000000001</v>
      </c>
      <c r="P10" s="240">
        <f t="shared" ref="P10" si="2">N10*O10</f>
        <v>515.14766400000019</v>
      </c>
      <c r="Q10" s="242">
        <f>VLOOKUP(L10,Tarifa1,2)</f>
        <v>699.3</v>
      </c>
      <c r="R10" s="240">
        <f t="shared" ref="R10" si="3">P10+Q10</f>
        <v>1214.4476640000003</v>
      </c>
      <c r="S10" s="296">
        <f>VLOOKUP(L10,Credito1,2)</f>
        <v>0</v>
      </c>
      <c r="T10" s="240">
        <f t="shared" ref="T10" si="4">ROUND(R10-S10,2)</f>
        <v>1214.45</v>
      </c>
      <c r="U10" s="239">
        <f>-IF(T10&gt;0,0,T10)</f>
        <v>0</v>
      </c>
      <c r="V10" s="239">
        <f>IF(T10&lt;0,0,T10)</f>
        <v>1214.45</v>
      </c>
      <c r="W10" s="239">
        <f>SUM(V10:V10)</f>
        <v>1214.45</v>
      </c>
      <c r="X10" s="239">
        <f>J10+U10-W10+I10</f>
        <v>7800.0000000000009</v>
      </c>
      <c r="Y10" s="185"/>
    </row>
    <row r="11" spans="1:25" s="186" customFormat="1" ht="75" customHeight="1" x14ac:dyDescent="0.2">
      <c r="A11" s="233"/>
      <c r="B11" s="234" t="s">
        <v>187</v>
      </c>
      <c r="C11" s="234" t="s">
        <v>145</v>
      </c>
      <c r="D11" s="243" t="s">
        <v>261</v>
      </c>
      <c r="E11" s="235" t="s">
        <v>181</v>
      </c>
      <c r="F11" s="236">
        <v>15</v>
      </c>
      <c r="G11" s="289">
        <f>H11/F11</f>
        <v>390.16666666666669</v>
      </c>
      <c r="H11" s="237">
        <v>5852.5</v>
      </c>
      <c r="I11" s="238">
        <v>0</v>
      </c>
      <c r="J11" s="239">
        <f t="shared" ref="J11" si="5">SUM(H11:I11)</f>
        <v>5852.5</v>
      </c>
      <c r="K11" s="240">
        <f t="shared" ref="K11" si="6">IF(H11/15&lt;=SMG,0,I11/2)</f>
        <v>0</v>
      </c>
      <c r="L11" s="240">
        <f t="shared" ref="L11" si="7">H11+K11</f>
        <v>5852.5</v>
      </c>
      <c r="M11" s="240">
        <f t="shared" ref="M11" si="8">VLOOKUP(L11,Tarifa1,1)</f>
        <v>5514.76</v>
      </c>
      <c r="N11" s="240">
        <f t="shared" ref="N11" si="9">L11-M11</f>
        <v>337.73999999999978</v>
      </c>
      <c r="O11" s="241">
        <f t="shared" ref="O11" si="10">VLOOKUP(L11,Tarifa1,3)</f>
        <v>0.1792</v>
      </c>
      <c r="P11" s="240">
        <f t="shared" ref="P11" si="11">N11*O11</f>
        <v>60.523007999999962</v>
      </c>
      <c r="Q11" s="242">
        <f t="shared" ref="Q11" si="12">VLOOKUP(L11,Tarifa1,2)</f>
        <v>504.3</v>
      </c>
      <c r="R11" s="240">
        <f t="shared" ref="R11" si="13">P11+Q11</f>
        <v>564.82300799999996</v>
      </c>
      <c r="S11" s="240">
        <f t="shared" ref="S11" si="14">VLOOKUP(L11,Credito1,2)</f>
        <v>0</v>
      </c>
      <c r="T11" s="240">
        <f t="shared" ref="T11" si="15">ROUND(R11-S11,2)</f>
        <v>564.82000000000005</v>
      </c>
      <c r="U11" s="239">
        <f t="shared" ref="U11" si="16">-IF(T11&gt;0,0,T11)</f>
        <v>0</v>
      </c>
      <c r="V11" s="239">
        <f t="shared" ref="V11" si="17">IF(T11&lt;0,0,T11)</f>
        <v>564.82000000000005</v>
      </c>
      <c r="W11" s="239">
        <f>SUM(V11:V11)</f>
        <v>564.82000000000005</v>
      </c>
      <c r="X11" s="239">
        <f>J11+U11-W11</f>
        <v>5287.68</v>
      </c>
      <c r="Y11" s="185"/>
    </row>
    <row r="12" spans="1:25" s="186" customFormat="1" ht="75" customHeight="1" x14ac:dyDescent="0.2">
      <c r="A12" s="233"/>
      <c r="B12" s="234" t="s">
        <v>316</v>
      </c>
      <c r="C12" s="234" t="s">
        <v>145</v>
      </c>
      <c r="D12" s="243" t="s">
        <v>317</v>
      </c>
      <c r="E12" s="235" t="s">
        <v>181</v>
      </c>
      <c r="F12" s="236"/>
      <c r="G12" s="289"/>
      <c r="H12" s="237">
        <v>5599.5</v>
      </c>
      <c r="I12" s="238">
        <v>0</v>
      </c>
      <c r="J12" s="239">
        <f t="shared" ref="J12" si="18">SUM(H12:I12)</f>
        <v>5599.5</v>
      </c>
      <c r="K12" s="240">
        <f t="shared" ref="K12:K16" si="19">IF(H12/15&lt;=SMG,0,I12/2)</f>
        <v>0</v>
      </c>
      <c r="L12" s="240">
        <f t="shared" ref="L12:L16" si="20">H12+K12</f>
        <v>5599.5</v>
      </c>
      <c r="M12" s="240">
        <f t="shared" ref="M12:M16" si="21">VLOOKUP(L12,Tarifa1,1)</f>
        <v>5514.76</v>
      </c>
      <c r="N12" s="240">
        <f t="shared" ref="N12:N16" si="22">L12-M12</f>
        <v>84.739999999999782</v>
      </c>
      <c r="O12" s="241">
        <f t="shared" ref="O12:O16" si="23">VLOOKUP(L12,Tarifa1,3)</f>
        <v>0.1792</v>
      </c>
      <c r="P12" s="240">
        <f t="shared" ref="P12:P16" si="24">N12*O12</f>
        <v>15.185407999999962</v>
      </c>
      <c r="Q12" s="242">
        <f t="shared" ref="Q12:Q16" si="25">VLOOKUP(L12,Tarifa1,2)</f>
        <v>504.3</v>
      </c>
      <c r="R12" s="240">
        <f t="shared" ref="R12:R16" si="26">P12+Q12</f>
        <v>519.48540800000001</v>
      </c>
      <c r="S12" s="240">
        <f t="shared" ref="S12:S16" si="27">VLOOKUP(L12,Credito1,2)</f>
        <v>0</v>
      </c>
      <c r="T12" s="240">
        <f t="shared" ref="T12:T16" si="28">ROUND(R12-S12,2)</f>
        <v>519.49</v>
      </c>
      <c r="U12" s="239">
        <f t="shared" ref="U12:U13" si="29">-IF(T12&gt;0,0,T12)</f>
        <v>0</v>
      </c>
      <c r="V12" s="239">
        <f t="shared" ref="V12:V14" si="30">IF(T12&lt;0,0,T12)</f>
        <v>519.49</v>
      </c>
      <c r="W12" s="239">
        <f>SUM(V12:V12)</f>
        <v>519.49</v>
      </c>
      <c r="X12" s="239">
        <f>J12+U12-W12</f>
        <v>5080.01</v>
      </c>
      <c r="Y12" s="185"/>
    </row>
    <row r="13" spans="1:25" s="186" customFormat="1" ht="75" customHeight="1" x14ac:dyDescent="0.2">
      <c r="A13" s="233"/>
      <c r="B13" s="234" t="s">
        <v>355</v>
      </c>
      <c r="C13" s="234" t="s">
        <v>145</v>
      </c>
      <c r="D13" s="243" t="s">
        <v>351</v>
      </c>
      <c r="E13" s="235" t="s">
        <v>181</v>
      </c>
      <c r="F13" s="236"/>
      <c r="G13" s="289"/>
      <c r="H13" s="237">
        <v>3542.92</v>
      </c>
      <c r="I13" s="238">
        <v>0</v>
      </c>
      <c r="J13" s="239">
        <f t="shared" ref="J13" si="31">SUM(H13:I13)</f>
        <v>3542.92</v>
      </c>
      <c r="K13" s="240">
        <f t="shared" ref="K13" si="32">IF(H13/15&lt;=SMG,0,I13/2)</f>
        <v>0</v>
      </c>
      <c r="L13" s="240">
        <f t="shared" ref="L13" si="33">H13+K13</f>
        <v>3542.92</v>
      </c>
      <c r="M13" s="240">
        <f t="shared" ref="M13" si="34">VLOOKUP(L13,Tarifa1,1)</f>
        <v>2699.41</v>
      </c>
      <c r="N13" s="240">
        <f t="shared" ref="N13" si="35">L13-M13</f>
        <v>843.51000000000022</v>
      </c>
      <c r="O13" s="241">
        <f t="shared" ref="O13" si="36">VLOOKUP(L13,Tarifa1,3)</f>
        <v>0.10879999999999999</v>
      </c>
      <c r="P13" s="240">
        <f t="shared" ref="P13" si="37">N13*O13</f>
        <v>91.773888000000014</v>
      </c>
      <c r="Q13" s="242">
        <f t="shared" ref="Q13" si="38">VLOOKUP(L13,Tarifa1,2)</f>
        <v>158.55000000000001</v>
      </c>
      <c r="R13" s="240">
        <f t="shared" ref="R13" si="39">P13+Q13</f>
        <v>250.32388800000001</v>
      </c>
      <c r="S13" s="240">
        <f t="shared" ref="S13" si="40">VLOOKUP(L13,Credito1,2)</f>
        <v>107.4</v>
      </c>
      <c r="T13" s="240">
        <f t="shared" ref="T13" si="41">ROUND(R13-S13,2)</f>
        <v>142.91999999999999</v>
      </c>
      <c r="U13" s="239">
        <f t="shared" si="29"/>
        <v>0</v>
      </c>
      <c r="V13" s="239">
        <f t="shared" si="30"/>
        <v>142.91999999999999</v>
      </c>
      <c r="W13" s="239">
        <f>SUM(V13:V13)</f>
        <v>142.91999999999999</v>
      </c>
      <c r="X13" s="239">
        <f>J13+U13-W13</f>
        <v>3400</v>
      </c>
      <c r="Y13" s="185"/>
    </row>
    <row r="14" spans="1:25" s="186" customFormat="1" ht="75" customHeight="1" x14ac:dyDescent="0.2">
      <c r="A14" s="233" t="s">
        <v>105</v>
      </c>
      <c r="B14" s="234" t="s">
        <v>188</v>
      </c>
      <c r="C14" s="234" t="s">
        <v>223</v>
      </c>
      <c r="D14" s="243" t="s">
        <v>180</v>
      </c>
      <c r="E14" s="288" t="s">
        <v>182</v>
      </c>
      <c r="F14" s="236">
        <v>15</v>
      </c>
      <c r="G14" s="289">
        <f>H14/F14</f>
        <v>290.56666666666666</v>
      </c>
      <c r="H14" s="237">
        <v>4358.5</v>
      </c>
      <c r="I14" s="238">
        <v>0</v>
      </c>
      <c r="J14" s="239">
        <f>SUM(H14:I14)</f>
        <v>4358.5</v>
      </c>
      <c r="K14" s="240">
        <f t="shared" si="19"/>
        <v>0</v>
      </c>
      <c r="L14" s="240">
        <f t="shared" si="20"/>
        <v>4358.5</v>
      </c>
      <c r="M14" s="240">
        <f t="shared" si="21"/>
        <v>2699.41</v>
      </c>
      <c r="N14" s="240">
        <f t="shared" si="22"/>
        <v>1659.0900000000001</v>
      </c>
      <c r="O14" s="241">
        <f t="shared" si="23"/>
        <v>0.10879999999999999</v>
      </c>
      <c r="P14" s="240">
        <f t="shared" si="24"/>
        <v>180.50899200000001</v>
      </c>
      <c r="Q14" s="242">
        <f t="shared" si="25"/>
        <v>158.55000000000001</v>
      </c>
      <c r="R14" s="240">
        <f t="shared" si="26"/>
        <v>339.05899199999999</v>
      </c>
      <c r="S14" s="240">
        <f t="shared" si="27"/>
        <v>0</v>
      </c>
      <c r="T14" s="240">
        <f t="shared" si="28"/>
        <v>339.06</v>
      </c>
      <c r="U14" s="239">
        <f>-IF(T14&gt;0,0,T14)</f>
        <v>0</v>
      </c>
      <c r="V14" s="239">
        <f t="shared" si="30"/>
        <v>339.06</v>
      </c>
      <c r="W14" s="239">
        <f>SUM(V14:V14)</f>
        <v>339.06</v>
      </c>
      <c r="X14" s="239">
        <f>J14+U14-W14</f>
        <v>4019.44</v>
      </c>
      <c r="Y14" s="185"/>
    </row>
    <row r="15" spans="1:25" s="186" customFormat="1" ht="75" customHeight="1" x14ac:dyDescent="0.2">
      <c r="A15" s="264"/>
      <c r="B15" s="234" t="s">
        <v>189</v>
      </c>
      <c r="C15" s="234" t="s">
        <v>145</v>
      </c>
      <c r="D15" s="243" t="s">
        <v>179</v>
      </c>
      <c r="E15" s="288" t="s">
        <v>182</v>
      </c>
      <c r="F15" s="236">
        <v>15</v>
      </c>
      <c r="G15" s="289">
        <f>H15/F15</f>
        <v>290.56666666666666</v>
      </c>
      <c r="H15" s="237">
        <v>4358.5</v>
      </c>
      <c r="I15" s="238">
        <v>0</v>
      </c>
      <c r="J15" s="239">
        <f>SUM(H15:I15)</f>
        <v>4358.5</v>
      </c>
      <c r="K15" s="240">
        <f t="shared" si="19"/>
        <v>0</v>
      </c>
      <c r="L15" s="240">
        <f t="shared" si="20"/>
        <v>4358.5</v>
      </c>
      <c r="M15" s="240">
        <f t="shared" si="21"/>
        <v>2699.41</v>
      </c>
      <c r="N15" s="240">
        <f t="shared" si="22"/>
        <v>1659.0900000000001</v>
      </c>
      <c r="O15" s="241">
        <f t="shared" si="23"/>
        <v>0.10879999999999999</v>
      </c>
      <c r="P15" s="240">
        <f t="shared" si="24"/>
        <v>180.50899200000001</v>
      </c>
      <c r="Q15" s="242">
        <f t="shared" si="25"/>
        <v>158.55000000000001</v>
      </c>
      <c r="R15" s="240">
        <f t="shared" si="26"/>
        <v>339.05899199999999</v>
      </c>
      <c r="S15" s="240">
        <f t="shared" si="27"/>
        <v>0</v>
      </c>
      <c r="T15" s="240">
        <f t="shared" si="28"/>
        <v>339.06</v>
      </c>
      <c r="U15" s="239">
        <f>-IF(T15&gt;0,0,T15)</f>
        <v>0</v>
      </c>
      <c r="V15" s="239">
        <f t="shared" ref="V15:V16" si="42">IF(T15&lt;0,0,T15)</f>
        <v>339.06</v>
      </c>
      <c r="W15" s="239">
        <f>SUM(V15:V15)</f>
        <v>339.06</v>
      </c>
      <c r="X15" s="239">
        <f>J15+U15-W15</f>
        <v>4019.44</v>
      </c>
      <c r="Y15" s="185"/>
    </row>
    <row r="16" spans="1:25" s="186" customFormat="1" ht="75" customHeight="1" x14ac:dyDescent="0.2">
      <c r="A16" s="264"/>
      <c r="B16" s="234" t="s">
        <v>356</v>
      </c>
      <c r="C16" s="234" t="s">
        <v>145</v>
      </c>
      <c r="D16" s="243" t="s">
        <v>354</v>
      </c>
      <c r="E16" s="288" t="s">
        <v>352</v>
      </c>
      <c r="F16" s="236">
        <v>15</v>
      </c>
      <c r="G16" s="289">
        <f>H16/F16</f>
        <v>223.5</v>
      </c>
      <c r="H16" s="237">
        <v>3352.5</v>
      </c>
      <c r="I16" s="238">
        <v>0</v>
      </c>
      <c r="J16" s="239">
        <f t="shared" ref="J16" si="43">SUM(H16:I16)</f>
        <v>3352.5</v>
      </c>
      <c r="K16" s="240">
        <f t="shared" si="19"/>
        <v>0</v>
      </c>
      <c r="L16" s="240">
        <f t="shared" si="20"/>
        <v>3352.5</v>
      </c>
      <c r="M16" s="240">
        <f t="shared" si="21"/>
        <v>2699.41</v>
      </c>
      <c r="N16" s="240">
        <f t="shared" si="22"/>
        <v>653.09000000000015</v>
      </c>
      <c r="O16" s="241">
        <f t="shared" si="23"/>
        <v>0.10879999999999999</v>
      </c>
      <c r="P16" s="240">
        <f t="shared" si="24"/>
        <v>71.05619200000001</v>
      </c>
      <c r="Q16" s="242">
        <f t="shared" si="25"/>
        <v>158.55000000000001</v>
      </c>
      <c r="R16" s="240">
        <f t="shared" si="26"/>
        <v>229.60619200000002</v>
      </c>
      <c r="S16" s="240">
        <f t="shared" si="27"/>
        <v>125.1</v>
      </c>
      <c r="T16" s="240">
        <f t="shared" si="28"/>
        <v>104.51</v>
      </c>
      <c r="U16" s="239">
        <f t="shared" ref="U16" si="44">-IF(T16&gt;0,0,T16)</f>
        <v>0</v>
      </c>
      <c r="V16" s="239">
        <f t="shared" si="42"/>
        <v>104.51</v>
      </c>
      <c r="W16" s="239">
        <f>SUM(V16:V16)</f>
        <v>104.51</v>
      </c>
      <c r="X16" s="239">
        <f>J16+U16-W16</f>
        <v>3247.99</v>
      </c>
      <c r="Y16" s="185"/>
    </row>
    <row r="17" spans="1:37" ht="40.5" customHeight="1" thickBot="1" x14ac:dyDescent="0.3">
      <c r="A17" s="337" t="s">
        <v>45</v>
      </c>
      <c r="B17" s="338"/>
      <c r="C17" s="338"/>
      <c r="D17" s="338"/>
      <c r="E17" s="338"/>
      <c r="F17" s="338"/>
      <c r="G17" s="339"/>
      <c r="H17" s="244">
        <f t="shared" ref="H17:X17" si="45">SUM(H10:H16)</f>
        <v>36078.870000000003</v>
      </c>
      <c r="I17" s="244">
        <f t="shared" si="45"/>
        <v>0</v>
      </c>
      <c r="J17" s="244">
        <f t="shared" si="45"/>
        <v>36078.870000000003</v>
      </c>
      <c r="K17" s="245">
        <f t="shared" si="45"/>
        <v>0</v>
      </c>
      <c r="L17" s="245">
        <f t="shared" si="45"/>
        <v>36078.870000000003</v>
      </c>
      <c r="M17" s="245">
        <f t="shared" si="45"/>
        <v>28429.870000000003</v>
      </c>
      <c r="N17" s="245">
        <f t="shared" si="45"/>
        <v>7649.0000000000009</v>
      </c>
      <c r="O17" s="245">
        <f t="shared" si="45"/>
        <v>1.0072000000000001</v>
      </c>
      <c r="P17" s="245">
        <f t="shared" si="45"/>
        <v>1114.7041440000003</v>
      </c>
      <c r="Q17" s="245">
        <f t="shared" si="45"/>
        <v>2342.1</v>
      </c>
      <c r="R17" s="245">
        <f t="shared" si="45"/>
        <v>3456.8041440000006</v>
      </c>
      <c r="S17" s="245">
        <f t="shared" si="45"/>
        <v>232.5</v>
      </c>
      <c r="T17" s="245">
        <f t="shared" si="45"/>
        <v>3224.3100000000004</v>
      </c>
      <c r="U17" s="244">
        <f t="shared" si="45"/>
        <v>0</v>
      </c>
      <c r="V17" s="244">
        <f t="shared" si="45"/>
        <v>3224.3100000000004</v>
      </c>
      <c r="W17" s="244">
        <f t="shared" si="45"/>
        <v>3224.3100000000004</v>
      </c>
      <c r="X17" s="244">
        <f t="shared" si="45"/>
        <v>32854.559999999998</v>
      </c>
    </row>
    <row r="18" spans="1:37" ht="13.5" thickTop="1" x14ac:dyDescent="0.2"/>
    <row r="28" spans="1:37" x14ac:dyDescent="0.2">
      <c r="D28" s="78" t="s">
        <v>390</v>
      </c>
      <c r="H28" s="112"/>
      <c r="V28" s="78" t="s">
        <v>238</v>
      </c>
    </row>
    <row r="29" spans="1:37" x14ac:dyDescent="0.2">
      <c r="D29" s="78" t="s">
        <v>391</v>
      </c>
      <c r="E29" s="113"/>
      <c r="F29" s="113"/>
      <c r="G29" s="113"/>
      <c r="H29" s="113"/>
      <c r="I29" s="113"/>
      <c r="V29" s="51" t="s">
        <v>235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/>
      <c r="AK29" s="113"/>
    </row>
  </sheetData>
  <mergeCells count="7">
    <mergeCell ref="A17:G17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9"/>
  <sheetViews>
    <sheetView topLeftCell="F1" zoomScale="93" zoomScaleNormal="93" workbookViewId="0">
      <pane ySplit="1" topLeftCell="A3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17" customWidth="1"/>
    <col min="6" max="6" width="26.140625" customWidth="1"/>
    <col min="7" max="7" width="5" customWidth="1"/>
    <col min="8" max="8" width="10" hidden="1" customWidth="1"/>
    <col min="9" max="9" width="11.5703125" customWidth="1"/>
    <col min="10" max="10" width="10.85546875" customWidth="1"/>
    <col min="11" max="11" width="11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4" width="9.7109375" customWidth="1"/>
    <col min="25" max="25" width="12.140625" customWidth="1"/>
    <col min="26" max="26" width="52.85546875" customWidth="1"/>
    <col min="27" max="27" width="1" customWidth="1"/>
  </cols>
  <sheetData>
    <row r="1" spans="1:32" ht="18" x14ac:dyDescent="0.25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32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32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</row>
    <row r="4" spans="1:32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32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32" s="69" customFormat="1" ht="12" x14ac:dyDescent="0.2">
      <c r="A6" s="65"/>
      <c r="B6" s="65"/>
      <c r="C6" s="65"/>
      <c r="D6" s="65"/>
      <c r="E6" s="65"/>
      <c r="F6" s="65"/>
      <c r="G6" s="66" t="s">
        <v>23</v>
      </c>
      <c r="H6" s="66" t="s">
        <v>6</v>
      </c>
      <c r="I6" s="314" t="s">
        <v>1</v>
      </c>
      <c r="J6" s="315"/>
      <c r="K6" s="316"/>
      <c r="L6" s="67" t="s">
        <v>26</v>
      </c>
      <c r="M6" s="68"/>
      <c r="N6" s="317" t="s">
        <v>9</v>
      </c>
      <c r="O6" s="318"/>
      <c r="P6" s="318"/>
      <c r="Q6" s="318"/>
      <c r="R6" s="318"/>
      <c r="S6" s="319"/>
      <c r="T6" s="67" t="s">
        <v>54</v>
      </c>
      <c r="U6" s="67" t="s">
        <v>10</v>
      </c>
      <c r="V6" s="66" t="s">
        <v>54</v>
      </c>
      <c r="W6" s="320" t="s">
        <v>2</v>
      </c>
      <c r="X6" s="321"/>
      <c r="Y6" s="66" t="s">
        <v>0</v>
      </c>
      <c r="Z6" s="65"/>
    </row>
    <row r="7" spans="1:32" s="69" customFormat="1" ht="29.25" customHeight="1" x14ac:dyDescent="0.2">
      <c r="A7" s="70" t="s">
        <v>21</v>
      </c>
      <c r="B7" s="64" t="s">
        <v>118</v>
      </c>
      <c r="C7" s="64" t="s">
        <v>162</v>
      </c>
      <c r="D7" s="70" t="s">
        <v>22</v>
      </c>
      <c r="E7" s="70"/>
      <c r="F7" s="70"/>
      <c r="G7" s="297" t="s">
        <v>24</v>
      </c>
      <c r="H7" s="70" t="s">
        <v>25</v>
      </c>
      <c r="I7" s="66" t="s">
        <v>6</v>
      </c>
      <c r="J7" s="66" t="s">
        <v>59</v>
      </c>
      <c r="K7" s="66" t="s">
        <v>28</v>
      </c>
      <c r="L7" s="72" t="s">
        <v>27</v>
      </c>
      <c r="M7" s="68" t="s">
        <v>32</v>
      </c>
      <c r="N7" s="68" t="s">
        <v>12</v>
      </c>
      <c r="O7" s="68" t="s">
        <v>34</v>
      </c>
      <c r="P7" s="68" t="s">
        <v>36</v>
      </c>
      <c r="Q7" s="68" t="s">
        <v>37</v>
      </c>
      <c r="R7" s="68" t="s">
        <v>14</v>
      </c>
      <c r="S7" s="68" t="s">
        <v>10</v>
      </c>
      <c r="T7" s="72" t="s">
        <v>40</v>
      </c>
      <c r="U7" s="72" t="s">
        <v>41</v>
      </c>
      <c r="V7" s="70" t="s">
        <v>31</v>
      </c>
      <c r="W7" s="66" t="s">
        <v>3</v>
      </c>
      <c r="X7" s="66" t="s">
        <v>7</v>
      </c>
      <c r="Y7" s="70" t="s">
        <v>4</v>
      </c>
      <c r="Z7" s="70" t="s">
        <v>58</v>
      </c>
    </row>
    <row r="8" spans="1:32" s="69" customFormat="1" ht="12" x14ac:dyDescent="0.2">
      <c r="A8" s="79"/>
      <c r="B8" s="80"/>
      <c r="C8" s="80"/>
      <c r="D8" s="79"/>
      <c r="E8" s="79"/>
      <c r="F8" s="79"/>
      <c r="G8" s="79"/>
      <c r="H8" s="79"/>
      <c r="I8" s="79" t="s">
        <v>47</v>
      </c>
      <c r="J8" s="79" t="s">
        <v>60</v>
      </c>
      <c r="K8" s="79" t="s">
        <v>29</v>
      </c>
      <c r="L8" s="81" t="s">
        <v>43</v>
      </c>
      <c r="M8" s="67" t="s">
        <v>33</v>
      </c>
      <c r="N8" s="67" t="s">
        <v>13</v>
      </c>
      <c r="O8" s="67" t="s">
        <v>35</v>
      </c>
      <c r="P8" s="67" t="s">
        <v>35</v>
      </c>
      <c r="Q8" s="67" t="s">
        <v>38</v>
      </c>
      <c r="R8" s="67" t="s">
        <v>15</v>
      </c>
      <c r="S8" s="67" t="s">
        <v>39</v>
      </c>
      <c r="T8" s="72" t="s">
        <v>53</v>
      </c>
      <c r="U8" s="73" t="s">
        <v>163</v>
      </c>
      <c r="V8" s="79" t="s">
        <v>53</v>
      </c>
      <c r="W8" s="79"/>
      <c r="X8" s="79" t="s">
        <v>44</v>
      </c>
      <c r="Y8" s="79" t="s">
        <v>5</v>
      </c>
      <c r="Z8" s="75"/>
    </row>
    <row r="9" spans="1:32" s="69" customFormat="1" ht="54.75" customHeight="1" x14ac:dyDescent="0.2">
      <c r="A9" s="82"/>
      <c r="B9" s="83" t="s">
        <v>118</v>
      </c>
      <c r="C9" s="83" t="s">
        <v>162</v>
      </c>
      <c r="D9" s="84" t="s">
        <v>64</v>
      </c>
      <c r="E9" s="82" t="s">
        <v>119</v>
      </c>
      <c r="F9" s="82" t="s">
        <v>62</v>
      </c>
      <c r="G9" s="82"/>
      <c r="H9" s="82"/>
      <c r="I9" s="85">
        <f>SUM(I10:I12)</f>
        <v>31545.32</v>
      </c>
      <c r="J9" s="85">
        <f>SUM(J10:J12)</f>
        <v>0</v>
      </c>
      <c r="K9" s="85">
        <f>SUM(K10:K12)</f>
        <v>31545.32</v>
      </c>
      <c r="L9" s="82"/>
      <c r="M9" s="82"/>
      <c r="N9" s="82"/>
      <c r="O9" s="82"/>
      <c r="P9" s="82"/>
      <c r="Q9" s="82"/>
      <c r="R9" s="82"/>
      <c r="S9" s="82"/>
      <c r="T9" s="82"/>
      <c r="U9" s="86"/>
      <c r="V9" s="85">
        <f>SUM(V10:V12)</f>
        <v>0</v>
      </c>
      <c r="W9" s="85">
        <f>SUM(W10:W12)</f>
        <v>4741.58</v>
      </c>
      <c r="X9" s="85">
        <f>SUM(X10:X12)</f>
        <v>4741.58</v>
      </c>
      <c r="Y9" s="85">
        <f>SUM(Y10:Y12)</f>
        <v>26803.74</v>
      </c>
      <c r="Z9" s="87"/>
    </row>
    <row r="10" spans="1:32" s="69" customFormat="1" ht="54.95" customHeight="1" x14ac:dyDescent="0.2">
      <c r="A10" s="114" t="s">
        <v>97</v>
      </c>
      <c r="B10" s="137" t="s">
        <v>255</v>
      </c>
      <c r="C10" s="114" t="s">
        <v>145</v>
      </c>
      <c r="D10" s="119" t="s">
        <v>377</v>
      </c>
      <c r="E10" s="119" t="s">
        <v>242</v>
      </c>
      <c r="F10" s="121" t="s">
        <v>376</v>
      </c>
      <c r="G10" s="131">
        <v>10</v>
      </c>
      <c r="H10" s="132">
        <v>1677.25</v>
      </c>
      <c r="I10" s="117">
        <v>17409.66</v>
      </c>
      <c r="J10" s="124">
        <v>0</v>
      </c>
      <c r="K10" s="125">
        <f>SUM(I10:J10)</f>
        <v>17409.66</v>
      </c>
      <c r="L10" s="126">
        <f>IF(I10/15&lt;=SMG,0,J10/2)</f>
        <v>0</v>
      </c>
      <c r="M10" s="126">
        <f>I10+L10</f>
        <v>17409.66</v>
      </c>
      <c r="N10" s="126">
        <f>VLOOKUP(M10,Tarifa1,1)</f>
        <v>13316.71</v>
      </c>
      <c r="O10" s="126">
        <f>M10-N10</f>
        <v>4092.9500000000007</v>
      </c>
      <c r="P10" s="127">
        <f>VLOOKUP(M10,Tarifa1,3)</f>
        <v>0.23519999999999999</v>
      </c>
      <c r="Q10" s="126">
        <f>O10*P10</f>
        <v>962.6618400000001</v>
      </c>
      <c r="R10" s="128">
        <f>VLOOKUP(M10,Tarifa1,2)</f>
        <v>2133.3000000000002</v>
      </c>
      <c r="S10" s="126">
        <f>Q10+R10</f>
        <v>3095.9618400000004</v>
      </c>
      <c r="T10" s="126">
        <f>VLOOKUP(M10,Credito1,2)</f>
        <v>0</v>
      </c>
      <c r="U10" s="126">
        <f>ROUND(S10-T10,2)</f>
        <v>3095.96</v>
      </c>
      <c r="V10" s="125">
        <f>-IF(U10&gt;0,0,U10)</f>
        <v>0</v>
      </c>
      <c r="W10" s="133">
        <f>IF(U10&lt;0,0,U10)</f>
        <v>3095.96</v>
      </c>
      <c r="X10" s="125">
        <f>SUM(W10:W10)</f>
        <v>3095.96</v>
      </c>
      <c r="Y10" s="125">
        <f>K10+V10-X10</f>
        <v>14313.7</v>
      </c>
      <c r="Z10" s="76"/>
    </row>
    <row r="11" spans="1:32" s="69" customFormat="1" ht="54.95" customHeight="1" x14ac:dyDescent="0.2">
      <c r="A11" s="114" t="s">
        <v>98</v>
      </c>
      <c r="B11" s="137" t="s">
        <v>381</v>
      </c>
      <c r="C11" s="114" t="s">
        <v>145</v>
      </c>
      <c r="D11" s="119" t="s">
        <v>379</v>
      </c>
      <c r="E11" s="119" t="s">
        <v>389</v>
      </c>
      <c r="F11" s="121" t="s">
        <v>380</v>
      </c>
      <c r="G11" s="131">
        <v>10</v>
      </c>
      <c r="H11" s="132">
        <v>850.15</v>
      </c>
      <c r="I11" s="117">
        <v>8824.66</v>
      </c>
      <c r="J11" s="124">
        <v>0</v>
      </c>
      <c r="K11" s="125">
        <f>SUM(I11:J11)</f>
        <v>8824.66</v>
      </c>
      <c r="L11" s="126">
        <f>IF(I11/15&lt;=SMG,0,J11/2)</f>
        <v>0</v>
      </c>
      <c r="M11" s="126">
        <f t="shared" ref="M11:M12" si="0">I11+L11</f>
        <v>8824.66</v>
      </c>
      <c r="N11" s="126">
        <f>VLOOKUP(M11,Tarifa1,1)</f>
        <v>6602.71</v>
      </c>
      <c r="O11" s="126">
        <f t="shared" ref="O11:O12" si="1">M11-N11</f>
        <v>2221.9499999999998</v>
      </c>
      <c r="P11" s="127">
        <f>VLOOKUP(M11,Tarifa1,3)</f>
        <v>0.21360000000000001</v>
      </c>
      <c r="Q11" s="126">
        <f t="shared" ref="Q11:Q12" si="2">O11*P11</f>
        <v>474.60852</v>
      </c>
      <c r="R11" s="128">
        <f>VLOOKUP(M11,Tarifa1,2)</f>
        <v>699.3</v>
      </c>
      <c r="S11" s="126">
        <f t="shared" ref="S11:S12" si="3">Q11+R11</f>
        <v>1173.90852</v>
      </c>
      <c r="T11" s="126">
        <f>VLOOKUP(M11,Credito1,2)</f>
        <v>0</v>
      </c>
      <c r="U11" s="126">
        <f t="shared" ref="U11:U12" si="4">ROUND(S11-T11,2)</f>
        <v>1173.9100000000001</v>
      </c>
      <c r="V11" s="125">
        <f>-IF(U11&gt;0,0,U11)</f>
        <v>0</v>
      </c>
      <c r="W11" s="125">
        <f>IF(U11&lt;0,0,U11)</f>
        <v>1173.9100000000001</v>
      </c>
      <c r="X11" s="125">
        <f>SUM(W11:W11)</f>
        <v>1173.9100000000001</v>
      </c>
      <c r="Y11" s="125">
        <f>K11+V11-X11</f>
        <v>7650.75</v>
      </c>
      <c r="Z11" s="76"/>
      <c r="AF11" s="77"/>
    </row>
    <row r="12" spans="1:32" s="69" customFormat="1" ht="54.95" customHeight="1" x14ac:dyDescent="0.2">
      <c r="A12" s="114"/>
      <c r="B12" s="114" t="s">
        <v>127</v>
      </c>
      <c r="C12" s="137" t="s">
        <v>145</v>
      </c>
      <c r="D12" s="119" t="s">
        <v>67</v>
      </c>
      <c r="E12" s="119" t="s">
        <v>128</v>
      </c>
      <c r="F12" s="119" t="s">
        <v>65</v>
      </c>
      <c r="G12" s="131">
        <v>15</v>
      </c>
      <c r="H12" s="132">
        <v>341.11</v>
      </c>
      <c r="I12" s="117">
        <v>5311</v>
      </c>
      <c r="J12" s="124">
        <v>0</v>
      </c>
      <c r="K12" s="125">
        <f>SUM(I12:J12)</f>
        <v>5311</v>
      </c>
      <c r="L12" s="126">
        <f>IF(I12/15&lt;=SMG,0,J12/2)</f>
        <v>0</v>
      </c>
      <c r="M12" s="126">
        <f t="shared" si="0"/>
        <v>5311</v>
      </c>
      <c r="N12" s="126">
        <f>VLOOKUP(M12,Tarifa1,1)</f>
        <v>4744.0600000000004</v>
      </c>
      <c r="O12" s="126">
        <f t="shared" si="1"/>
        <v>566.9399999999996</v>
      </c>
      <c r="P12" s="127">
        <f>VLOOKUP(M12,Tarifa1,3)</f>
        <v>0.16</v>
      </c>
      <c r="Q12" s="126">
        <f t="shared" si="2"/>
        <v>90.710399999999936</v>
      </c>
      <c r="R12" s="128">
        <f>VLOOKUP(M12,Tarifa1,2)</f>
        <v>381</v>
      </c>
      <c r="S12" s="126">
        <f t="shared" si="3"/>
        <v>471.71039999999994</v>
      </c>
      <c r="T12" s="126">
        <f>VLOOKUP(M12,Credito1,2)</f>
        <v>0</v>
      </c>
      <c r="U12" s="126">
        <f t="shared" si="4"/>
        <v>471.71</v>
      </c>
      <c r="V12" s="125">
        <f>-IF(U12&gt;0,0,U12)</f>
        <v>0</v>
      </c>
      <c r="W12" s="125">
        <f>IF(U12&lt;0,0,U12)</f>
        <v>471.71</v>
      </c>
      <c r="X12" s="125">
        <f>SUM(W12:W12)</f>
        <v>471.71</v>
      </c>
      <c r="Y12" s="125">
        <f>K12+V12-X12</f>
        <v>4839.29</v>
      </c>
      <c r="Z12" s="76"/>
      <c r="AF12" s="77"/>
    </row>
    <row r="13" spans="1:32" s="69" customFormat="1" ht="54.75" customHeight="1" x14ac:dyDescent="0.2">
      <c r="A13" s="114"/>
      <c r="B13" s="138" t="s">
        <v>118</v>
      </c>
      <c r="C13" s="138" t="s">
        <v>162</v>
      </c>
      <c r="D13" s="139" t="s">
        <v>153</v>
      </c>
      <c r="E13" s="140" t="s">
        <v>119</v>
      </c>
      <c r="F13" s="140" t="s">
        <v>62</v>
      </c>
      <c r="G13" s="140"/>
      <c r="H13" s="140"/>
      <c r="I13" s="141">
        <f>SUM(I14)</f>
        <v>5947</v>
      </c>
      <c r="J13" s="141">
        <f>SUM(J14)</f>
        <v>0</v>
      </c>
      <c r="K13" s="141">
        <f>SUM(K14)</f>
        <v>5947</v>
      </c>
      <c r="L13" s="140"/>
      <c r="M13" s="140"/>
      <c r="N13" s="140"/>
      <c r="O13" s="140"/>
      <c r="P13" s="140"/>
      <c r="Q13" s="140"/>
      <c r="R13" s="143"/>
      <c r="S13" s="140"/>
      <c r="T13" s="140"/>
      <c r="U13" s="142"/>
      <c r="V13" s="141">
        <f>SUM(V14)</f>
        <v>0</v>
      </c>
      <c r="W13" s="141">
        <f>SUM(W14)</f>
        <v>581.76</v>
      </c>
      <c r="X13" s="141">
        <f>SUM(X14)</f>
        <v>581.76</v>
      </c>
      <c r="Y13" s="141">
        <f>SUM(Y14)</f>
        <v>5365.24</v>
      </c>
      <c r="Z13" s="87"/>
      <c r="AF13" s="77"/>
    </row>
    <row r="14" spans="1:32" s="69" customFormat="1" ht="54.95" customHeight="1" x14ac:dyDescent="0.2">
      <c r="A14" s="114" t="s">
        <v>99</v>
      </c>
      <c r="B14" s="137" t="s">
        <v>243</v>
      </c>
      <c r="C14" s="114" t="s">
        <v>145</v>
      </c>
      <c r="D14" s="134" t="s">
        <v>190</v>
      </c>
      <c r="E14" s="134" t="s">
        <v>240</v>
      </c>
      <c r="F14" s="121" t="s">
        <v>113</v>
      </c>
      <c r="G14" s="131">
        <v>15</v>
      </c>
      <c r="H14" s="132">
        <v>381.95</v>
      </c>
      <c r="I14" s="117">
        <v>5947</v>
      </c>
      <c r="J14" s="124">
        <v>0</v>
      </c>
      <c r="K14" s="125">
        <f>I14</f>
        <v>5947</v>
      </c>
      <c r="L14" s="126">
        <f>IF(I14/15&lt;=SMG,0,J14/2)</f>
        <v>0</v>
      </c>
      <c r="M14" s="126">
        <f t="shared" ref="M14" si="5">I14+L14</f>
        <v>5947</v>
      </c>
      <c r="N14" s="126">
        <f>VLOOKUP(M14,Tarifa1,1)</f>
        <v>5514.76</v>
      </c>
      <c r="O14" s="126">
        <f t="shared" ref="O14" si="6">M14-N14</f>
        <v>432.23999999999978</v>
      </c>
      <c r="P14" s="127">
        <f>VLOOKUP(M14,Tarifa1,3)</f>
        <v>0.1792</v>
      </c>
      <c r="Q14" s="126">
        <f t="shared" ref="Q14" si="7">O14*P14</f>
        <v>77.457407999999958</v>
      </c>
      <c r="R14" s="128">
        <f>VLOOKUP(M14,Tarifa1,2)</f>
        <v>504.3</v>
      </c>
      <c r="S14" s="126">
        <f t="shared" ref="S14" si="8">Q14+R14</f>
        <v>581.75740799999994</v>
      </c>
      <c r="T14" s="126">
        <f>VLOOKUP(M14,Credito1,2)</f>
        <v>0</v>
      </c>
      <c r="U14" s="126">
        <f t="shared" ref="U14" si="9">ROUND(S14-T14,2)</f>
        <v>581.76</v>
      </c>
      <c r="V14" s="125">
        <f>-IF(U14&gt;0,0,U14)</f>
        <v>0</v>
      </c>
      <c r="W14" s="125">
        <f>IF(U14&lt;0,0,U14)</f>
        <v>581.76</v>
      </c>
      <c r="X14" s="125">
        <f>SUM(W14:W14)</f>
        <v>581.76</v>
      </c>
      <c r="Y14" s="125">
        <f>K14+V14-X14</f>
        <v>5365.24</v>
      </c>
      <c r="Z14" s="76"/>
      <c r="AF14" s="77"/>
    </row>
    <row r="15" spans="1:32" s="69" customFormat="1" ht="54.75" customHeight="1" x14ac:dyDescent="0.2">
      <c r="A15" s="114"/>
      <c r="B15" s="138" t="s">
        <v>118</v>
      </c>
      <c r="C15" s="138" t="s">
        <v>162</v>
      </c>
      <c r="D15" s="139" t="s">
        <v>154</v>
      </c>
      <c r="E15" s="140" t="s">
        <v>119</v>
      </c>
      <c r="F15" s="140" t="s">
        <v>62</v>
      </c>
      <c r="G15" s="140"/>
      <c r="H15" s="140"/>
      <c r="I15" s="141">
        <f>SUM(I16)</f>
        <v>4754</v>
      </c>
      <c r="J15" s="141">
        <f>SUM(J16)</f>
        <v>0</v>
      </c>
      <c r="K15" s="141">
        <f>SUM(K16)</f>
        <v>4754</v>
      </c>
      <c r="L15" s="140"/>
      <c r="M15" s="140"/>
      <c r="N15" s="140"/>
      <c r="O15" s="140"/>
      <c r="P15" s="140"/>
      <c r="Q15" s="140"/>
      <c r="R15" s="143"/>
      <c r="S15" s="140"/>
      <c r="T15" s="140"/>
      <c r="U15" s="142"/>
      <c r="V15" s="141">
        <f>SUM(V16)</f>
        <v>0</v>
      </c>
      <c r="W15" s="141">
        <f>SUM(W16)</f>
        <v>382.59</v>
      </c>
      <c r="X15" s="141">
        <f>SUM(X16)</f>
        <v>382.59</v>
      </c>
      <c r="Y15" s="141">
        <f>SUM(Y16)</f>
        <v>4371.41</v>
      </c>
      <c r="Z15" s="87"/>
      <c r="AF15" s="77"/>
    </row>
    <row r="16" spans="1:32" s="69" customFormat="1" ht="54.95" customHeight="1" x14ac:dyDescent="0.2">
      <c r="A16" s="114" t="s">
        <v>101</v>
      </c>
      <c r="B16" s="114" t="s">
        <v>129</v>
      </c>
      <c r="C16" s="114" t="s">
        <v>145</v>
      </c>
      <c r="D16" s="119" t="s">
        <v>115</v>
      </c>
      <c r="E16" s="119" t="s">
        <v>130</v>
      </c>
      <c r="F16" s="119" t="s">
        <v>68</v>
      </c>
      <c r="G16" s="131">
        <v>15</v>
      </c>
      <c r="H16" s="132">
        <v>305.35000000000002</v>
      </c>
      <c r="I16" s="117">
        <v>4754</v>
      </c>
      <c r="J16" s="124">
        <v>0</v>
      </c>
      <c r="K16" s="125">
        <f>SUM(I16:J16)</f>
        <v>4754</v>
      </c>
      <c r="L16" s="126">
        <f>IF(I16/15&lt;=SMG,0,J16/2)</f>
        <v>0</v>
      </c>
      <c r="M16" s="126">
        <f t="shared" ref="M16" si="10">I16+L16</f>
        <v>4754</v>
      </c>
      <c r="N16" s="126">
        <f>VLOOKUP(M16,Tarifa1,1)</f>
        <v>4744.0600000000004</v>
      </c>
      <c r="O16" s="126">
        <f t="shared" ref="O16" si="11">M16-N16</f>
        <v>9.9399999999995998</v>
      </c>
      <c r="P16" s="127">
        <f>VLOOKUP(M16,Tarifa1,3)</f>
        <v>0.16</v>
      </c>
      <c r="Q16" s="126">
        <f t="shared" ref="Q16" si="12">O16*P16</f>
        <v>1.5903999999999361</v>
      </c>
      <c r="R16" s="128">
        <f>VLOOKUP(M16,Tarifa1,2)</f>
        <v>381</v>
      </c>
      <c r="S16" s="126">
        <f t="shared" ref="S16" si="13">Q16+R16</f>
        <v>382.59039999999993</v>
      </c>
      <c r="T16" s="126">
        <f>VLOOKUP(M16,Credito1,2)</f>
        <v>0</v>
      </c>
      <c r="U16" s="126">
        <f t="shared" ref="U16" si="14">ROUND(S16-T16,2)</f>
        <v>382.59</v>
      </c>
      <c r="V16" s="125">
        <f>-IF(U16&gt;0,0,U16)</f>
        <v>0</v>
      </c>
      <c r="W16" s="125">
        <f>IF(U16&lt;0,0,U16)</f>
        <v>382.59</v>
      </c>
      <c r="X16" s="125">
        <f>SUM(W16:W16)</f>
        <v>382.59</v>
      </c>
      <c r="Y16" s="125">
        <f>K16+V16-X16</f>
        <v>4371.41</v>
      </c>
      <c r="Z16" s="76"/>
      <c r="AF16" s="88"/>
    </row>
    <row r="17" spans="1:3223" s="69" customFormat="1" ht="54.75" customHeight="1" x14ac:dyDescent="0.2">
      <c r="A17" s="114"/>
      <c r="B17" s="138" t="s">
        <v>118</v>
      </c>
      <c r="C17" s="138" t="s">
        <v>162</v>
      </c>
      <c r="D17" s="139" t="s">
        <v>155</v>
      </c>
      <c r="E17" s="140" t="s">
        <v>119</v>
      </c>
      <c r="F17" s="140" t="s">
        <v>62</v>
      </c>
      <c r="G17" s="140"/>
      <c r="H17" s="140"/>
      <c r="I17" s="141">
        <f>SUM(I18:I19)</f>
        <v>14001</v>
      </c>
      <c r="J17" s="141">
        <f>SUM(J18:J19)</f>
        <v>0</v>
      </c>
      <c r="K17" s="141">
        <f>SUM(K18:K19)</f>
        <v>14001</v>
      </c>
      <c r="L17" s="140"/>
      <c r="M17" s="140"/>
      <c r="N17" s="140"/>
      <c r="O17" s="140"/>
      <c r="P17" s="140"/>
      <c r="Q17" s="140"/>
      <c r="R17" s="143"/>
      <c r="S17" s="140"/>
      <c r="T17" s="140"/>
      <c r="U17" s="142"/>
      <c r="V17" s="141">
        <f>SUM(V18:V19)</f>
        <v>0</v>
      </c>
      <c r="W17" s="141">
        <f>SUM(W18:W19)</f>
        <v>1698.3500000000001</v>
      </c>
      <c r="X17" s="141">
        <f>SUM(X18:X19)</f>
        <v>1698.3500000000001</v>
      </c>
      <c r="Y17" s="141">
        <f>SUM(Y18:Y19)</f>
        <v>12302.650000000001</v>
      </c>
      <c r="Z17" s="87"/>
      <c r="AF17" s="88"/>
    </row>
    <row r="18" spans="1:3223" s="69" customFormat="1" ht="54.95" customHeight="1" x14ac:dyDescent="0.2">
      <c r="A18" s="114" t="s">
        <v>102</v>
      </c>
      <c r="B18" s="137" t="s">
        <v>244</v>
      </c>
      <c r="C18" s="114" t="s">
        <v>145</v>
      </c>
      <c r="D18" s="119" t="s">
        <v>191</v>
      </c>
      <c r="E18" s="119" t="s">
        <v>241</v>
      </c>
      <c r="F18" s="119" t="s">
        <v>96</v>
      </c>
      <c r="G18" s="131">
        <v>15</v>
      </c>
      <c r="H18" s="132">
        <v>625.85200000000009</v>
      </c>
      <c r="I18" s="117">
        <v>9744.5</v>
      </c>
      <c r="J18" s="124">
        <v>0</v>
      </c>
      <c r="K18" s="125">
        <f>I18</f>
        <v>9744.5</v>
      </c>
      <c r="L18" s="126">
        <f>IF(I18/15&lt;=SMG,0,J18/2)</f>
        <v>0</v>
      </c>
      <c r="M18" s="126">
        <f t="shared" ref="M18:M19" si="15">I18+L18</f>
        <v>9744.5</v>
      </c>
      <c r="N18" s="126">
        <f>VLOOKUP(M18,Tarifa1,1)</f>
        <v>6602.71</v>
      </c>
      <c r="O18" s="126">
        <f t="shared" ref="O18:O19" si="16">M18-N18</f>
        <v>3141.79</v>
      </c>
      <c r="P18" s="127">
        <f>VLOOKUP(M18,Tarifa1,3)</f>
        <v>0.21360000000000001</v>
      </c>
      <c r="Q18" s="126">
        <f t="shared" ref="Q18:Q19" si="17">O18*P18</f>
        <v>671.08634400000005</v>
      </c>
      <c r="R18" s="128">
        <f>VLOOKUP(M18,Tarifa1,2)</f>
        <v>699.3</v>
      </c>
      <c r="S18" s="126">
        <f t="shared" ref="S18:S19" si="18">Q18+R18</f>
        <v>1370.386344</v>
      </c>
      <c r="T18" s="126">
        <f>VLOOKUP(M18,Credito1,2)</f>
        <v>0</v>
      </c>
      <c r="U18" s="126">
        <f t="shared" ref="U18:U19" si="19">ROUND(S18-T18,2)</f>
        <v>1370.39</v>
      </c>
      <c r="V18" s="125">
        <f>-IF(U18&gt;0,0,U18)</f>
        <v>0</v>
      </c>
      <c r="W18" s="125">
        <f>IF(U18&lt;0,0,U18)</f>
        <v>1370.39</v>
      </c>
      <c r="X18" s="125">
        <f>SUM(W18:W18)</f>
        <v>1370.39</v>
      </c>
      <c r="Y18" s="125">
        <f>K18+V18-X18</f>
        <v>8374.11</v>
      </c>
      <c r="Z18" s="76"/>
      <c r="AF18" s="88"/>
    </row>
    <row r="19" spans="1:3223" s="69" customFormat="1" ht="54.95" customHeight="1" x14ac:dyDescent="0.2">
      <c r="A19" s="114"/>
      <c r="B19" s="144" t="s">
        <v>273</v>
      </c>
      <c r="C19" s="145" t="s">
        <v>145</v>
      </c>
      <c r="D19" s="146" t="s">
        <v>262</v>
      </c>
      <c r="E19" s="147" t="s">
        <v>264</v>
      </c>
      <c r="F19" s="147" t="s">
        <v>263</v>
      </c>
      <c r="G19" s="148">
        <v>15</v>
      </c>
      <c r="H19" s="132">
        <v>273.38066666666668</v>
      </c>
      <c r="I19" s="117">
        <v>4256.5</v>
      </c>
      <c r="J19" s="124">
        <v>0</v>
      </c>
      <c r="K19" s="125">
        <f>SUM(I19:J19)</f>
        <v>4256.5</v>
      </c>
      <c r="L19" s="126">
        <f>IF(I19/15&lt;=SMG,0,J19/2)</f>
        <v>0</v>
      </c>
      <c r="M19" s="126">
        <f t="shared" si="15"/>
        <v>4256.5</v>
      </c>
      <c r="N19" s="126">
        <f>VLOOKUP(M19,Tarifa1,1)</f>
        <v>2699.41</v>
      </c>
      <c r="O19" s="126">
        <f t="shared" si="16"/>
        <v>1557.0900000000001</v>
      </c>
      <c r="P19" s="127">
        <f>VLOOKUP(M19,Tarifa1,3)</f>
        <v>0.10879999999999999</v>
      </c>
      <c r="Q19" s="126">
        <f t="shared" si="17"/>
        <v>169.41139200000001</v>
      </c>
      <c r="R19" s="128">
        <f>VLOOKUP(M19,Tarifa1,2)</f>
        <v>158.55000000000001</v>
      </c>
      <c r="S19" s="126">
        <f t="shared" si="18"/>
        <v>327.96139200000005</v>
      </c>
      <c r="T19" s="126">
        <f>VLOOKUP(M19,Credito1,2)</f>
        <v>0</v>
      </c>
      <c r="U19" s="126">
        <f t="shared" si="19"/>
        <v>327.96</v>
      </c>
      <c r="V19" s="125">
        <f>-IF(U19&gt;0,0,U19)</f>
        <v>0</v>
      </c>
      <c r="W19" s="125">
        <f>IF(U19&lt;0,0,U19)</f>
        <v>327.96</v>
      </c>
      <c r="X19" s="125">
        <f>SUM(W19:W19)</f>
        <v>327.96</v>
      </c>
      <c r="Y19" s="125">
        <f>K19+V19-X19</f>
        <v>3928.54</v>
      </c>
      <c r="Z19" s="74"/>
      <c r="AF19" s="88"/>
    </row>
    <row r="20" spans="1:3223" s="69" customFormat="1" ht="54.95" customHeight="1" x14ac:dyDescent="0.2">
      <c r="A20" s="114"/>
      <c r="B20" s="138" t="s">
        <v>118</v>
      </c>
      <c r="C20" s="138" t="s">
        <v>162</v>
      </c>
      <c r="D20" s="139" t="s">
        <v>156</v>
      </c>
      <c r="E20" s="140" t="s">
        <v>119</v>
      </c>
      <c r="F20" s="140" t="s">
        <v>62</v>
      </c>
      <c r="G20" s="140"/>
      <c r="H20" s="140"/>
      <c r="I20" s="141">
        <f>SUM(I21)</f>
        <v>2624</v>
      </c>
      <c r="J20" s="141">
        <f>SUM(J21)</f>
        <v>0</v>
      </c>
      <c r="K20" s="141">
        <f>SUM(K21)</f>
        <v>2624</v>
      </c>
      <c r="L20" s="140"/>
      <c r="M20" s="140"/>
      <c r="N20" s="140"/>
      <c r="O20" s="140"/>
      <c r="P20" s="140"/>
      <c r="Q20" s="140"/>
      <c r="R20" s="143"/>
      <c r="S20" s="140"/>
      <c r="T20" s="140"/>
      <c r="U20" s="142"/>
      <c r="V20" s="141">
        <f>SUM(V21)</f>
        <v>6.62</v>
      </c>
      <c r="W20" s="141">
        <f>SUM(W21)</f>
        <v>0</v>
      </c>
      <c r="X20" s="141">
        <f>SUM(X21)</f>
        <v>0</v>
      </c>
      <c r="Y20" s="141">
        <f>SUM(Y21)</f>
        <v>2630.62</v>
      </c>
      <c r="Z20" s="87"/>
      <c r="AF20" s="88"/>
    </row>
    <row r="21" spans="1:3223" s="69" customFormat="1" ht="54.95" customHeight="1" x14ac:dyDescent="0.2">
      <c r="A21" s="114" t="s">
        <v>103</v>
      </c>
      <c r="B21" s="114" t="s">
        <v>131</v>
      </c>
      <c r="C21" s="114" t="s">
        <v>145</v>
      </c>
      <c r="D21" s="119" t="s">
        <v>69</v>
      </c>
      <c r="E21" s="119" t="s">
        <v>132</v>
      </c>
      <c r="F21" s="119" t="s">
        <v>89</v>
      </c>
      <c r="G21" s="131">
        <v>15</v>
      </c>
      <c r="H21" s="132">
        <v>168.53866666666667</v>
      </c>
      <c r="I21" s="117">
        <v>2624</v>
      </c>
      <c r="J21" s="124">
        <v>0</v>
      </c>
      <c r="K21" s="125">
        <f>SUM(I21:J21)</f>
        <v>2624</v>
      </c>
      <c r="L21" s="126">
        <f>IF(I21/15&lt;=SMG,0,J21/2)</f>
        <v>0</v>
      </c>
      <c r="M21" s="126">
        <f t="shared" ref="M21" si="20">I21+L21</f>
        <v>2624</v>
      </c>
      <c r="N21" s="126">
        <f>VLOOKUP(M21,Tarifa1,1)</f>
        <v>318.01</v>
      </c>
      <c r="O21" s="126">
        <f t="shared" ref="O21" si="21">M21-N21</f>
        <v>2305.9899999999998</v>
      </c>
      <c r="P21" s="127">
        <f>VLOOKUP(M21,Tarifa1,3)</f>
        <v>6.4000000000000001E-2</v>
      </c>
      <c r="Q21" s="126">
        <f t="shared" ref="Q21" si="22">O21*P21</f>
        <v>147.58336</v>
      </c>
      <c r="R21" s="128">
        <f>VLOOKUP(M21,Tarifa1,2)</f>
        <v>6.15</v>
      </c>
      <c r="S21" s="126">
        <f t="shared" ref="S21" si="23">Q21+R21</f>
        <v>153.73336</v>
      </c>
      <c r="T21" s="126">
        <f>VLOOKUP(M21,Credito1,2)</f>
        <v>160.35</v>
      </c>
      <c r="U21" s="126">
        <f t="shared" ref="U21" si="24">ROUND(S21-T21,2)</f>
        <v>-6.62</v>
      </c>
      <c r="V21" s="125">
        <f>-IF(U21&gt;0,0,U21)</f>
        <v>6.62</v>
      </c>
      <c r="W21" s="125">
        <f>IF(U21&lt;0,0,U21)</f>
        <v>0</v>
      </c>
      <c r="X21" s="125">
        <f>SUM(W21:W21)</f>
        <v>0</v>
      </c>
      <c r="Y21" s="125">
        <f>K21+V21-X21</f>
        <v>2630.62</v>
      </c>
      <c r="Z21" s="76"/>
      <c r="AF21" s="77"/>
    </row>
    <row r="22" spans="1:3223" s="69" customFormat="1" ht="54.95" customHeight="1" x14ac:dyDescent="0.2">
      <c r="A22" s="114"/>
      <c r="AF22" s="77"/>
    </row>
    <row r="23" spans="1:3223" s="69" customFormat="1" ht="54.95" customHeight="1" x14ac:dyDescent="0.2">
      <c r="A23" s="114"/>
      <c r="AF23" s="77"/>
    </row>
    <row r="24" spans="1:3223" s="90" customFormat="1" ht="54.95" customHeight="1" x14ac:dyDescent="0.2">
      <c r="A24" s="114" t="s">
        <v>104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  <c r="DSY24" s="69"/>
    </row>
    <row r="25" spans="1:3223" s="90" customFormat="1" ht="28.5" customHeight="1" x14ac:dyDescent="0.25">
      <c r="A25" s="152"/>
      <c r="B25" s="311" t="s">
        <v>90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  <c r="DSY25" s="69"/>
    </row>
    <row r="26" spans="1:3223" s="90" customFormat="1" ht="21.75" customHeight="1" x14ac:dyDescent="0.25">
      <c r="A26" s="152"/>
      <c r="B26" s="311" t="s">
        <v>66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  <c r="DSY26" s="69"/>
    </row>
    <row r="27" spans="1:3223" s="90" customFormat="1" ht="23.25" customHeight="1" x14ac:dyDescent="0.2">
      <c r="A27" s="152"/>
      <c r="B27" s="312" t="s">
        <v>378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  <c r="DSY27" s="69"/>
    </row>
    <row r="28" spans="1:3223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  <c r="DSY28" s="69"/>
    </row>
    <row r="29" spans="1:3223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  <c r="DSY29" s="69"/>
    </row>
    <row r="30" spans="1:3223" s="90" customFormat="1" ht="54.75" customHeight="1" x14ac:dyDescent="0.2">
      <c r="A30" s="152"/>
      <c r="B30" s="138" t="s">
        <v>118</v>
      </c>
      <c r="C30" s="138" t="s">
        <v>162</v>
      </c>
      <c r="D30" s="139" t="s">
        <v>157</v>
      </c>
      <c r="E30" s="140" t="s">
        <v>119</v>
      </c>
      <c r="F30" s="140" t="s">
        <v>62</v>
      </c>
      <c r="G30" s="140"/>
      <c r="H30" s="140"/>
      <c r="I30" s="141">
        <f>SUM(I31:I32)</f>
        <v>5568</v>
      </c>
      <c r="J30" s="141">
        <f>SUM(J31:J32)</f>
        <v>0</v>
      </c>
      <c r="K30" s="141">
        <f>SUM(K31:K32)</f>
        <v>5568</v>
      </c>
      <c r="L30" s="140"/>
      <c r="M30" s="140"/>
      <c r="N30" s="140"/>
      <c r="O30" s="140"/>
      <c r="P30" s="140"/>
      <c r="Q30" s="140"/>
      <c r="R30" s="143"/>
      <c r="S30" s="140"/>
      <c r="T30" s="140"/>
      <c r="U30" s="142"/>
      <c r="V30" s="141">
        <f>SUM(V31:V32)</f>
        <v>0</v>
      </c>
      <c r="W30" s="141">
        <f>SUM(W31:W32)</f>
        <v>44.8</v>
      </c>
      <c r="X30" s="141">
        <f>SUM(X31:X32)</f>
        <v>44.8</v>
      </c>
      <c r="Y30" s="141">
        <f>SUM(Y31:Y32)</f>
        <v>5523.2</v>
      </c>
      <c r="Z30" s="87"/>
      <c r="AA30" s="118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  <c r="DSY30" s="69"/>
    </row>
    <row r="31" spans="1:3223" s="90" customFormat="1" ht="54.75" customHeight="1" x14ac:dyDescent="0.2">
      <c r="A31" s="152"/>
      <c r="B31" s="114" t="s">
        <v>135</v>
      </c>
      <c r="C31" s="114" t="s">
        <v>145</v>
      </c>
      <c r="D31" s="122" t="s">
        <v>106</v>
      </c>
      <c r="E31" s="122" t="s">
        <v>136</v>
      </c>
      <c r="F31" s="122" t="s">
        <v>209</v>
      </c>
      <c r="G31" s="149">
        <v>15</v>
      </c>
      <c r="H31" s="132">
        <v>178.81533333333334</v>
      </c>
      <c r="I31" s="150">
        <v>2784</v>
      </c>
      <c r="J31" s="151">
        <v>0</v>
      </c>
      <c r="K31" s="150">
        <f>SUM(I31:J31)</f>
        <v>2784</v>
      </c>
      <c r="L31" s="126">
        <f>IF(I31/15&lt;=SMG,0,J31/2)</f>
        <v>0</v>
      </c>
      <c r="M31" s="126">
        <f t="shared" ref="M31:M32" si="25">I31+L31</f>
        <v>2784</v>
      </c>
      <c r="N31" s="126">
        <f>VLOOKUP(M31,Tarifa1,1)</f>
        <v>2699.41</v>
      </c>
      <c r="O31" s="126">
        <f t="shared" ref="O31:O32" si="26">M31-N31</f>
        <v>84.590000000000146</v>
      </c>
      <c r="P31" s="127">
        <f>VLOOKUP(M31,Tarifa1,3)</f>
        <v>0.10879999999999999</v>
      </c>
      <c r="Q31" s="126">
        <f t="shared" ref="Q31:Q32" si="27">O31*P31</f>
        <v>9.2033920000000151</v>
      </c>
      <c r="R31" s="128">
        <f>VLOOKUP(M31,Tarifa1,2)</f>
        <v>158.55000000000001</v>
      </c>
      <c r="S31" s="126">
        <f t="shared" ref="S31:S32" si="28">Q31+R31</f>
        <v>167.75339200000002</v>
      </c>
      <c r="T31" s="126">
        <f>VLOOKUP(M31,Credito1,2)</f>
        <v>145.35</v>
      </c>
      <c r="U31" s="126">
        <f t="shared" ref="U31:U32" si="29">ROUND(S31-T31,2)</f>
        <v>22.4</v>
      </c>
      <c r="V31" s="150">
        <f>-IF(U31&gt;0,0,U31)</f>
        <v>0</v>
      </c>
      <c r="W31" s="150">
        <f>IF(U31&lt;0,0,U31)</f>
        <v>22.4</v>
      </c>
      <c r="X31" s="150">
        <f>SUM(W31:W31)</f>
        <v>22.4</v>
      </c>
      <c r="Y31" s="150">
        <f>K31+V31-X31</f>
        <v>2761.6</v>
      </c>
      <c r="Z31" s="89"/>
      <c r="AA31" s="118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  <c r="DSY31" s="69"/>
    </row>
    <row r="32" spans="1:3223" s="69" customFormat="1" ht="54.95" customHeight="1" x14ac:dyDescent="0.2">
      <c r="A32" s="114"/>
      <c r="B32" s="114" t="s">
        <v>365</v>
      </c>
      <c r="C32" s="114" t="s">
        <v>145</v>
      </c>
      <c r="D32" s="119" t="s">
        <v>322</v>
      </c>
      <c r="E32" s="122" t="s">
        <v>323</v>
      </c>
      <c r="F32" s="122" t="s">
        <v>209</v>
      </c>
      <c r="G32" s="131">
        <v>15</v>
      </c>
      <c r="H32" s="132">
        <v>178.81533333333334</v>
      </c>
      <c r="I32" s="150">
        <v>2784</v>
      </c>
      <c r="J32" s="151">
        <v>0</v>
      </c>
      <c r="K32" s="150">
        <f>SUM(I32:J32)</f>
        <v>2784</v>
      </c>
      <c r="L32" s="126">
        <f>IF(I32/15&lt;=SMG,0,J32/2)</f>
        <v>0</v>
      </c>
      <c r="M32" s="126">
        <f t="shared" si="25"/>
        <v>2784</v>
      </c>
      <c r="N32" s="126">
        <f>VLOOKUP(M32,Tarifa1,1)</f>
        <v>2699.41</v>
      </c>
      <c r="O32" s="126">
        <f t="shared" si="26"/>
        <v>84.590000000000146</v>
      </c>
      <c r="P32" s="127">
        <f>VLOOKUP(M32,Tarifa1,3)</f>
        <v>0.10879999999999999</v>
      </c>
      <c r="Q32" s="126">
        <f t="shared" si="27"/>
        <v>9.2033920000000151</v>
      </c>
      <c r="R32" s="128">
        <f>VLOOKUP(M32,Tarifa1,2)</f>
        <v>158.55000000000001</v>
      </c>
      <c r="S32" s="126">
        <f t="shared" si="28"/>
        <v>167.75339200000002</v>
      </c>
      <c r="T32" s="126">
        <f>VLOOKUP(M32,Credito1,2)</f>
        <v>145.35</v>
      </c>
      <c r="U32" s="126">
        <f t="shared" si="29"/>
        <v>22.4</v>
      </c>
      <c r="V32" s="150">
        <f>-IF(U32&gt;0,0,U32)</f>
        <v>0</v>
      </c>
      <c r="W32" s="150">
        <f>IF(U32&lt;0,0,U32)</f>
        <v>22.4</v>
      </c>
      <c r="X32" s="150">
        <f>SUM(W32:W32)</f>
        <v>22.4</v>
      </c>
      <c r="Y32" s="150">
        <f>K32+V32-X32</f>
        <v>2761.6</v>
      </c>
      <c r="Z32" s="74"/>
    </row>
    <row r="33" spans="1:38" s="69" customFormat="1" ht="54.95" customHeight="1" x14ac:dyDescent="0.2">
      <c r="A33" s="114"/>
      <c r="B33" s="138" t="s">
        <v>118</v>
      </c>
      <c r="C33" s="138" t="s">
        <v>162</v>
      </c>
      <c r="D33" s="139" t="s">
        <v>158</v>
      </c>
      <c r="E33" s="140" t="s">
        <v>119</v>
      </c>
      <c r="F33" s="140" t="s">
        <v>62</v>
      </c>
      <c r="G33" s="140"/>
      <c r="H33" s="140"/>
      <c r="I33" s="141">
        <f>SUM(I34:I34)</f>
        <v>2399.5</v>
      </c>
      <c r="J33" s="141">
        <f>SUM(J34:J34)</f>
        <v>0</v>
      </c>
      <c r="K33" s="141">
        <f>SUM(K34:K34)</f>
        <v>2399.5</v>
      </c>
      <c r="L33" s="140"/>
      <c r="M33" s="140"/>
      <c r="N33" s="140"/>
      <c r="O33" s="140"/>
      <c r="P33" s="140"/>
      <c r="Q33" s="140"/>
      <c r="R33" s="143"/>
      <c r="S33" s="140"/>
      <c r="T33" s="140"/>
      <c r="U33" s="142"/>
      <c r="V33" s="141">
        <f>SUM(V34:V34)</f>
        <v>20.98</v>
      </c>
      <c r="W33" s="141">
        <f>SUM(W34:W34)</f>
        <v>0</v>
      </c>
      <c r="X33" s="141">
        <f>SUM(X34:X34)</f>
        <v>0</v>
      </c>
      <c r="Y33" s="141">
        <f>SUM(Y34:Y34)</f>
        <v>2420.48</v>
      </c>
      <c r="Z33" s="285"/>
    </row>
    <row r="34" spans="1:38" s="69" customFormat="1" ht="54.95" customHeight="1" x14ac:dyDescent="0.2">
      <c r="A34" s="114"/>
      <c r="B34" s="114" t="s">
        <v>133</v>
      </c>
      <c r="C34" s="114" t="s">
        <v>145</v>
      </c>
      <c r="D34" s="119" t="s">
        <v>70</v>
      </c>
      <c r="E34" s="119" t="s">
        <v>134</v>
      </c>
      <c r="F34" s="121" t="s">
        <v>87</v>
      </c>
      <c r="G34" s="131">
        <v>15</v>
      </c>
      <c r="H34" s="132">
        <v>73.040000000000006</v>
      </c>
      <c r="I34" s="117">
        <v>2399.5</v>
      </c>
      <c r="J34" s="124">
        <v>0</v>
      </c>
      <c r="K34" s="125">
        <f>SUM(I34:J34)</f>
        <v>2399.5</v>
      </c>
      <c r="L34" s="126">
        <f>IF(I34/15&lt;=SMG,0,J34/2)</f>
        <v>0</v>
      </c>
      <c r="M34" s="126">
        <f t="shared" ref="M34" si="30">I34+L34</f>
        <v>2399.5</v>
      </c>
      <c r="N34" s="126">
        <f>VLOOKUP(M34,Tarifa1,1)</f>
        <v>318.01</v>
      </c>
      <c r="O34" s="126">
        <f t="shared" ref="O34" si="31">M34-N34</f>
        <v>2081.4899999999998</v>
      </c>
      <c r="P34" s="127">
        <f>VLOOKUP(M34,Tarifa1,3)</f>
        <v>6.4000000000000001E-2</v>
      </c>
      <c r="Q34" s="126">
        <f t="shared" ref="Q34" si="32">O34*P34</f>
        <v>133.21535999999998</v>
      </c>
      <c r="R34" s="128">
        <f>VLOOKUP(M34,Tarifa1,2)</f>
        <v>6.15</v>
      </c>
      <c r="S34" s="126">
        <f t="shared" ref="S34" si="33">Q34+R34</f>
        <v>139.36535999999998</v>
      </c>
      <c r="T34" s="126">
        <f>VLOOKUP(M34,Credito1,2)</f>
        <v>160.35</v>
      </c>
      <c r="U34" s="126">
        <f t="shared" ref="U34" si="34">ROUND(S34-T34,2)</f>
        <v>-20.98</v>
      </c>
      <c r="V34" s="125">
        <f>-IF(U34&gt;0,0,U34)</f>
        <v>20.98</v>
      </c>
      <c r="W34" s="125">
        <f>IF(U34&lt;0,0,U34)</f>
        <v>0</v>
      </c>
      <c r="X34" s="125">
        <f>SUM(W34:W34)</f>
        <v>0</v>
      </c>
      <c r="Y34" s="125">
        <f>K34+V34-X34</f>
        <v>2420.48</v>
      </c>
      <c r="Z34" s="89"/>
    </row>
    <row r="35" spans="1:38" s="69" customFormat="1" ht="21.75" customHeight="1" x14ac:dyDescent="0.2">
      <c r="A35" s="152"/>
      <c r="B35" s="153"/>
      <c r="C35" s="153"/>
      <c r="D35" s="154"/>
      <c r="E35" s="154"/>
      <c r="F35" s="154"/>
      <c r="G35" s="155"/>
      <c r="H35" s="156"/>
      <c r="I35" s="157"/>
      <c r="J35" s="158"/>
      <c r="K35" s="159"/>
      <c r="L35" s="160"/>
      <c r="M35" s="160"/>
      <c r="N35" s="160"/>
      <c r="O35" s="160"/>
      <c r="P35" s="161"/>
      <c r="Q35" s="160"/>
      <c r="R35" s="160"/>
      <c r="S35" s="160"/>
      <c r="T35" s="160"/>
      <c r="U35" s="160"/>
      <c r="V35" s="159"/>
      <c r="W35" s="159"/>
      <c r="X35" s="159"/>
      <c r="Y35" s="159"/>
      <c r="Z35" s="76"/>
    </row>
    <row r="36" spans="1:38" s="69" customFormat="1" ht="54.75" customHeight="1" thickBot="1" x14ac:dyDescent="0.25">
      <c r="A36" s="308" t="s">
        <v>45</v>
      </c>
      <c r="B36" s="309"/>
      <c r="C36" s="309"/>
      <c r="D36" s="309"/>
      <c r="E36" s="309"/>
      <c r="F36" s="309"/>
      <c r="G36" s="309"/>
      <c r="H36" s="310"/>
      <c r="I36" s="162">
        <f>SUM(I9+I13+I15+I17+I20+I30+I33)</f>
        <v>66838.820000000007</v>
      </c>
      <c r="J36" s="162">
        <f>SUM(J9+J13+J15+J17+J20+J30+J33)</f>
        <v>0</v>
      </c>
      <c r="K36" s="162">
        <f>SUM(K9+K13+K15+K17+K20+K30+K33)</f>
        <v>66838.820000000007</v>
      </c>
      <c r="L36" s="163">
        <f t="shared" ref="L36:U36" si="35">SUM(L10:L34)</f>
        <v>0</v>
      </c>
      <c r="M36" s="163">
        <f t="shared" si="35"/>
        <v>66838.820000000007</v>
      </c>
      <c r="N36" s="163">
        <f t="shared" si="35"/>
        <v>50259.26</v>
      </c>
      <c r="O36" s="163">
        <f t="shared" si="35"/>
        <v>16579.559999999998</v>
      </c>
      <c r="P36" s="163">
        <f t="shared" si="35"/>
        <v>1.6160000000000001</v>
      </c>
      <c r="Q36" s="163">
        <f t="shared" si="35"/>
        <v>2746.731808</v>
      </c>
      <c r="R36" s="163">
        <f t="shared" si="35"/>
        <v>5286.1500000000005</v>
      </c>
      <c r="S36" s="163">
        <f t="shared" si="35"/>
        <v>8032.8818079999992</v>
      </c>
      <c r="T36" s="163">
        <f t="shared" si="35"/>
        <v>611.4</v>
      </c>
      <c r="U36" s="163">
        <f t="shared" si="35"/>
        <v>7421.4800000000005</v>
      </c>
      <c r="V36" s="162">
        <f>SUM(V9+V13+V15+V17+V20+V30+V33)</f>
        <v>27.6</v>
      </c>
      <c r="W36" s="162">
        <f>SUM(W9+W13+W15+W17+W20+W30+W33)</f>
        <v>7449.0800000000008</v>
      </c>
      <c r="X36" s="162">
        <f>SUM(X9+X13+X15+X17+X20+X30+X33)</f>
        <v>7449.0800000000008</v>
      </c>
      <c r="Y36" s="162">
        <f>SUM(Y9+Y13+Y15+Y17+Y20+Y30+Y33)</f>
        <v>59417.340000000004</v>
      </c>
    </row>
    <row r="37" spans="1:38" s="69" customFormat="1" ht="12" customHeight="1" thickTop="1" x14ac:dyDescent="0.2"/>
    <row r="38" spans="1:38" s="69" customFormat="1" ht="12" customHeight="1" x14ac:dyDescent="0.2"/>
    <row r="39" spans="1:38" s="69" customFormat="1" ht="12" customHeight="1" x14ac:dyDescent="0.2"/>
    <row r="40" spans="1:38" s="69" customFormat="1" ht="12" customHeight="1" x14ac:dyDescent="0.2"/>
    <row r="41" spans="1:38" s="69" customFormat="1" ht="12" customHeight="1" x14ac:dyDescent="0.2"/>
    <row r="42" spans="1:38" s="69" customFormat="1" ht="12" customHeight="1" x14ac:dyDescent="0.2"/>
    <row r="43" spans="1:38" s="69" customFormat="1" ht="12" customHeight="1" x14ac:dyDescent="0.2"/>
    <row r="44" spans="1:38" s="69" customFormat="1" ht="12" customHeight="1" x14ac:dyDescent="0.2"/>
    <row r="45" spans="1:38" s="69" customFormat="1" ht="12" x14ac:dyDescent="0.2"/>
    <row r="46" spans="1:38" s="69" customFormat="1" ht="12" x14ac:dyDescent="0.2">
      <c r="D46" s="69" t="s">
        <v>224</v>
      </c>
      <c r="W46" s="69" t="s">
        <v>107</v>
      </c>
    </row>
    <row r="47" spans="1:38" s="69" customFormat="1" ht="12" x14ac:dyDescent="0.2">
      <c r="D47" s="78" t="s">
        <v>390</v>
      </c>
      <c r="W47" s="78" t="s">
        <v>225</v>
      </c>
    </row>
    <row r="48" spans="1:38" s="69" customFormat="1" ht="12" x14ac:dyDescent="0.2">
      <c r="D48" s="78" t="s">
        <v>391</v>
      </c>
      <c r="E48" s="78"/>
      <c r="F48" s="78"/>
      <c r="G48" s="78"/>
      <c r="H48" s="78"/>
      <c r="I48" s="78"/>
      <c r="J48" s="78"/>
      <c r="W48" s="78" t="s">
        <v>95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K48" s="78"/>
      <c r="AL48" s="78"/>
    </row>
    <row r="49" s="69" customFormat="1" ht="12" x14ac:dyDescent="0.2"/>
  </sheetData>
  <mergeCells count="10">
    <mergeCell ref="A36:H36"/>
    <mergeCell ref="A1:Z1"/>
    <mergeCell ref="A2:Z2"/>
    <mergeCell ref="A3:Z3"/>
    <mergeCell ref="I6:K6"/>
    <mergeCell ref="N6:S6"/>
    <mergeCell ref="W6:X6"/>
    <mergeCell ref="B25:AA25"/>
    <mergeCell ref="B26:AA26"/>
    <mergeCell ref="B27:AA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E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K16 K11 K10 K21" formulaRange="1"/>
    <ignoredError sqref="C10 B12 C32" numberStoredAsText="1"/>
    <ignoredError sqref="K13 L13:U13 V13:W13 K15 L15:U15 V15:W15 X13:Y13 X15:Y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54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86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145</v>
      </c>
      <c r="D10" s="164" t="s">
        <v>222</v>
      </c>
      <c r="E10" s="164" t="s">
        <v>86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8" t="s">
        <v>45</v>
      </c>
      <c r="B12" s="309"/>
      <c r="C12" s="309"/>
      <c r="D12" s="309"/>
      <c r="E12" s="309"/>
      <c r="F12" s="309"/>
      <c r="G12" s="310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226</v>
      </c>
      <c r="V22" t="s">
        <v>107</v>
      </c>
    </row>
    <row r="23" spans="4:37" x14ac:dyDescent="0.2">
      <c r="D23" s="78" t="s">
        <v>390</v>
      </c>
      <c r="H23" s="4"/>
      <c r="V23" s="78" t="s">
        <v>227</v>
      </c>
    </row>
    <row r="24" spans="4:37" x14ac:dyDescent="0.2">
      <c r="D24" s="78" t="s">
        <v>391</v>
      </c>
      <c r="E24" s="51"/>
      <c r="F24" s="51"/>
      <c r="G24" s="51"/>
      <c r="H24" s="51"/>
      <c r="I24" s="51"/>
      <c r="V24" s="51" t="s">
        <v>95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384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302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145</v>
      </c>
      <c r="D10" s="164" t="s">
        <v>203</v>
      </c>
      <c r="E10" s="175" t="s">
        <v>375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162</v>
      </c>
      <c r="D11" s="45" t="s">
        <v>165</v>
      </c>
      <c r="E11" s="45" t="s">
        <v>62</v>
      </c>
      <c r="F11" s="45"/>
      <c r="G11" s="45"/>
      <c r="H11" s="197">
        <f>SUM(H12)</f>
        <v>4485.66</v>
      </c>
      <c r="I11" s="197">
        <f>SUM(I12)</f>
        <v>0</v>
      </c>
      <c r="J11" s="197">
        <f>SUM(J12)</f>
        <v>4485.66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352.89</v>
      </c>
      <c r="W11" s="197">
        <f>SUM(W12)</f>
        <v>352.89</v>
      </c>
      <c r="X11" s="197">
        <f>SUM(X12)</f>
        <v>4132.7699999999995</v>
      </c>
      <c r="Y11" s="49"/>
    </row>
    <row r="12" spans="1:25" ht="75" customHeight="1" x14ac:dyDescent="0.2">
      <c r="A12" s="33"/>
      <c r="B12" s="136" t="s">
        <v>387</v>
      </c>
      <c r="C12" s="62" t="s">
        <v>145</v>
      </c>
      <c r="D12" s="164" t="s">
        <v>382</v>
      </c>
      <c r="E12" s="175" t="s">
        <v>383</v>
      </c>
      <c r="F12" s="165">
        <v>10</v>
      </c>
      <c r="G12" s="166">
        <f t="shared" ref="G12" si="0">H12/F12</f>
        <v>448.56599999999997</v>
      </c>
      <c r="H12" s="167">
        <v>4485.66</v>
      </c>
      <c r="I12" s="168">
        <v>0</v>
      </c>
      <c r="J12" s="169">
        <f>SUM(H12:I12)</f>
        <v>4485.66</v>
      </c>
      <c r="K12" s="170">
        <f>IF(H12/15&lt;=SMG,0,I12/2)</f>
        <v>0</v>
      </c>
      <c r="L12" s="170">
        <f>H12+K12</f>
        <v>4485.66</v>
      </c>
      <c r="M12" s="170">
        <f>VLOOKUP(L12,Tarifa1,1)</f>
        <v>2699.41</v>
      </c>
      <c r="N12" s="170">
        <f>L12-M12</f>
        <v>1786.25</v>
      </c>
      <c r="O12" s="171">
        <f>VLOOKUP(L12,Tarifa1,3)</f>
        <v>0.10879999999999999</v>
      </c>
      <c r="P12" s="170">
        <f>N12*O12</f>
        <v>194.34399999999999</v>
      </c>
      <c r="Q12" s="172">
        <f>VLOOKUP(L12,Tarifa1,2)</f>
        <v>158.55000000000001</v>
      </c>
      <c r="R12" s="170">
        <f>P12+Q12</f>
        <v>352.89400000000001</v>
      </c>
      <c r="S12" s="170">
        <f>VLOOKUP(L12,Credito1,2)</f>
        <v>0</v>
      </c>
      <c r="T12" s="170">
        <f>ROUND(R12-S12,2)</f>
        <v>352.89</v>
      </c>
      <c r="U12" s="169">
        <f>-IF(T12&gt;0,0,T12)</f>
        <v>0</v>
      </c>
      <c r="V12" s="169">
        <f>IF(T12&lt;0,0,T12)</f>
        <v>352.89</v>
      </c>
      <c r="W12" s="169">
        <f>SUM(V12:V12)</f>
        <v>352.89</v>
      </c>
      <c r="X12" s="125">
        <f>J12+U12-W12</f>
        <v>4132.7699999999995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8" t="s">
        <v>45</v>
      </c>
      <c r="B14" s="309"/>
      <c r="C14" s="309"/>
      <c r="D14" s="309"/>
      <c r="E14" s="309"/>
      <c r="F14" s="309"/>
      <c r="G14" s="310"/>
      <c r="H14" s="39">
        <f>H9+H11</f>
        <v>16533.66</v>
      </c>
      <c r="I14" s="39">
        <f>I9+I11</f>
        <v>0</v>
      </c>
      <c r="J14" s="39">
        <f>J9+J11</f>
        <v>16533.66</v>
      </c>
      <c r="K14" s="40">
        <f t="shared" ref="K14:T14" si="1">SUM(K10:K12)</f>
        <v>0</v>
      </c>
      <c r="L14" s="40">
        <f t="shared" si="1"/>
        <v>16533.66</v>
      </c>
      <c r="M14" s="40">
        <f t="shared" si="1"/>
        <v>9302.119999999999</v>
      </c>
      <c r="N14" s="40">
        <f t="shared" si="1"/>
        <v>7231.54</v>
      </c>
      <c r="O14" s="40">
        <f t="shared" si="1"/>
        <v>0.32240000000000002</v>
      </c>
      <c r="P14" s="40">
        <f t="shared" si="1"/>
        <v>1357.457944</v>
      </c>
      <c r="Q14" s="40">
        <f t="shared" si="1"/>
        <v>857.84999999999991</v>
      </c>
      <c r="R14" s="40">
        <f t="shared" si="1"/>
        <v>2215.3079440000001</v>
      </c>
      <c r="S14" s="40">
        <f t="shared" si="1"/>
        <v>0</v>
      </c>
      <c r="T14" s="40">
        <f t="shared" si="1"/>
        <v>2215.3000000000002</v>
      </c>
      <c r="U14" s="39">
        <f>U9+U11</f>
        <v>0</v>
      </c>
      <c r="V14" s="39">
        <f>V9+V11</f>
        <v>2215.3000000000002</v>
      </c>
      <c r="W14" s="39">
        <f>W9+W11</f>
        <v>2215.3000000000002</v>
      </c>
      <c r="X14" s="39">
        <f>X9+X11</f>
        <v>14318.36</v>
      </c>
    </row>
    <row r="15" spans="1:25" ht="13.5" thickTop="1" x14ac:dyDescent="0.2"/>
    <row r="24" spans="4:37" x14ac:dyDescent="0.2">
      <c r="D24" s="4" t="s">
        <v>226</v>
      </c>
      <c r="V24" t="s">
        <v>107</v>
      </c>
    </row>
    <row r="25" spans="4:37" x14ac:dyDescent="0.2">
      <c r="D25" s="78" t="s">
        <v>390</v>
      </c>
      <c r="H25" s="4"/>
      <c r="V25" s="78" t="s">
        <v>227</v>
      </c>
    </row>
    <row r="26" spans="4:37" x14ac:dyDescent="0.2">
      <c r="D26" s="78" t="s">
        <v>391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35" zoomScale="66" zoomScaleNormal="66" workbookViewId="0">
      <selection activeCell="W3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31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31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0" t="s">
        <v>146</v>
      </c>
      <c r="D5" s="65"/>
      <c r="E5" s="65"/>
      <c r="F5" s="66" t="s">
        <v>23</v>
      </c>
      <c r="G5" s="66" t="s">
        <v>6</v>
      </c>
      <c r="H5" s="314" t="s">
        <v>1</v>
      </c>
      <c r="I5" s="315"/>
      <c r="J5" s="316"/>
      <c r="K5" s="67" t="s">
        <v>26</v>
      </c>
      <c r="L5" s="68"/>
      <c r="M5" s="317" t="s">
        <v>9</v>
      </c>
      <c r="N5" s="318"/>
      <c r="O5" s="318"/>
      <c r="P5" s="318"/>
      <c r="Q5" s="318"/>
      <c r="R5" s="319"/>
      <c r="S5" s="67" t="s">
        <v>30</v>
      </c>
      <c r="T5" s="67" t="s">
        <v>10</v>
      </c>
      <c r="U5" s="66" t="s">
        <v>54</v>
      </c>
      <c r="V5" s="320" t="s">
        <v>2</v>
      </c>
      <c r="W5" s="321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31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2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163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99</v>
      </c>
      <c r="B9" s="247" t="s">
        <v>294</v>
      </c>
      <c r="C9" s="248" t="s">
        <v>223</v>
      </c>
      <c r="D9" s="249" t="s">
        <v>291</v>
      </c>
      <c r="E9" s="250" t="s">
        <v>347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90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245</v>
      </c>
      <c r="C10" s="248" t="s">
        <v>145</v>
      </c>
      <c r="D10" s="249" t="s">
        <v>192</v>
      </c>
      <c r="E10" s="250" t="s">
        <v>193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90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100</v>
      </c>
      <c r="B11" s="247" t="s">
        <v>246</v>
      </c>
      <c r="C11" s="248" t="s">
        <v>145</v>
      </c>
      <c r="D11" s="249" t="s">
        <v>194</v>
      </c>
      <c r="E11" s="250" t="s">
        <v>197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90">
        <f t="shared" si="6"/>
        <v>0</v>
      </c>
      <c r="T11" s="256">
        <f t="shared" si="14"/>
        <v>1013.99</v>
      </c>
      <c r="U11" s="255">
        <f t="shared" ref="U11:U12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101</v>
      </c>
      <c r="B12" s="248" t="s">
        <v>140</v>
      </c>
      <c r="C12" s="248" t="s">
        <v>145</v>
      </c>
      <c r="D12" s="249" t="s">
        <v>72</v>
      </c>
      <c r="E12" s="250" t="s">
        <v>196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90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4"/>
      <c r="B13" s="247" t="s">
        <v>360</v>
      </c>
      <c r="C13" s="247"/>
      <c r="D13" s="295" t="s">
        <v>358</v>
      </c>
      <c r="E13" s="250" t="s">
        <v>359</v>
      </c>
      <c r="F13" s="251"/>
      <c r="G13" s="252"/>
      <c r="H13" s="253">
        <v>3924.88</v>
      </c>
      <c r="I13" s="254">
        <v>0</v>
      </c>
      <c r="J13" s="255">
        <f>SUM(H13:I13)</f>
        <v>3924.88</v>
      </c>
      <c r="K13" s="256">
        <f t="shared" si="2"/>
        <v>0</v>
      </c>
      <c r="L13" s="256">
        <f t="shared" si="10"/>
        <v>3924.88</v>
      </c>
      <c r="M13" s="256">
        <f t="shared" si="3"/>
        <v>2699.41</v>
      </c>
      <c r="N13" s="256">
        <f t="shared" si="11"/>
        <v>1225.4700000000003</v>
      </c>
      <c r="O13" s="257">
        <f t="shared" si="4"/>
        <v>0.10879999999999999</v>
      </c>
      <c r="P13" s="256">
        <f t="shared" si="12"/>
        <v>133.33113600000001</v>
      </c>
      <c r="Q13" s="258">
        <f t="shared" si="5"/>
        <v>158.55000000000001</v>
      </c>
      <c r="R13" s="256">
        <f t="shared" si="13"/>
        <v>291.88113600000003</v>
      </c>
      <c r="S13" s="290">
        <f t="shared" si="6"/>
        <v>0</v>
      </c>
      <c r="T13" s="256">
        <f t="shared" si="14"/>
        <v>291.88</v>
      </c>
      <c r="U13" s="255">
        <f>-IF(T13&gt;0,0,T13)</f>
        <v>0</v>
      </c>
      <c r="V13" s="287">
        <f>IF(T13&lt;0,0,T13)</f>
        <v>291.88</v>
      </c>
      <c r="W13" s="255">
        <f>SUM(V13:V13)</f>
        <v>291.88</v>
      </c>
      <c r="X13" s="255">
        <f>J13+U13-W13</f>
        <v>3633</v>
      </c>
      <c r="Y13" s="259"/>
    </row>
    <row r="14" spans="1:31" s="186" customFormat="1" ht="95.1" customHeight="1" x14ac:dyDescent="0.25">
      <c r="A14" s="246"/>
      <c r="B14" s="248" t="s">
        <v>308</v>
      </c>
      <c r="C14" s="248" t="s">
        <v>145</v>
      </c>
      <c r="D14" s="260" t="s">
        <v>307</v>
      </c>
      <c r="E14" s="250" t="s">
        <v>73</v>
      </c>
      <c r="F14" s="251"/>
      <c r="G14" s="252"/>
      <c r="H14" s="253">
        <v>5894</v>
      </c>
      <c r="I14" s="254">
        <v>0</v>
      </c>
      <c r="J14" s="253">
        <f>H14</f>
        <v>5894</v>
      </c>
      <c r="K14" s="256">
        <f t="shared" si="2"/>
        <v>0</v>
      </c>
      <c r="L14" s="256">
        <f t="shared" si="10"/>
        <v>5894</v>
      </c>
      <c r="M14" s="256">
        <f t="shared" si="3"/>
        <v>5514.76</v>
      </c>
      <c r="N14" s="256">
        <f t="shared" si="11"/>
        <v>379.23999999999978</v>
      </c>
      <c r="O14" s="257">
        <f t="shared" si="4"/>
        <v>0.1792</v>
      </c>
      <c r="P14" s="256">
        <f t="shared" si="12"/>
        <v>67.959807999999967</v>
      </c>
      <c r="Q14" s="258">
        <f t="shared" si="5"/>
        <v>504.3</v>
      </c>
      <c r="R14" s="256">
        <f t="shared" si="13"/>
        <v>572.25980800000002</v>
      </c>
      <c r="S14" s="290">
        <f t="shared" si="6"/>
        <v>0</v>
      </c>
      <c r="T14" s="256">
        <f t="shared" si="14"/>
        <v>572.26</v>
      </c>
      <c r="U14" s="255">
        <f>-IF(T14&gt;0,0,T14)</f>
        <v>0</v>
      </c>
      <c r="V14" s="255">
        <f>IF(T14&lt;0,0,T14)</f>
        <v>572.26</v>
      </c>
      <c r="W14" s="255">
        <f>SUM(V14:V14)</f>
        <v>572.26</v>
      </c>
      <c r="X14" s="255">
        <f>J14+U14-W14+I14</f>
        <v>5321.74</v>
      </c>
      <c r="Y14" s="259"/>
      <c r="AE14" s="189"/>
    </row>
    <row r="15" spans="1:31" s="186" customFormat="1" ht="95.1" customHeight="1" x14ac:dyDescent="0.25">
      <c r="A15" s="246"/>
      <c r="B15" s="248" t="s">
        <v>333</v>
      </c>
      <c r="C15" s="248" t="s">
        <v>223</v>
      </c>
      <c r="D15" s="260" t="s">
        <v>332</v>
      </c>
      <c r="E15" s="250" t="s">
        <v>73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90">
        <f t="shared" si="6"/>
        <v>0</v>
      </c>
      <c r="T15" s="256">
        <f t="shared" si="14"/>
        <v>572.26</v>
      </c>
      <c r="U15" s="255">
        <f t="shared" ref="U15" si="18">-IF(T15&gt;0,0,T15)</f>
        <v>0</v>
      </c>
      <c r="V15" s="255">
        <f t="shared" ref="V15" si="1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341</v>
      </c>
      <c r="C16" s="248" t="s">
        <v>145</v>
      </c>
      <c r="D16" s="250" t="s">
        <v>331</v>
      </c>
      <c r="E16" s="250" t="s">
        <v>73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90">
        <f t="shared" si="6"/>
        <v>0</v>
      </c>
      <c r="T16" s="256">
        <f t="shared" si="14"/>
        <v>572.26</v>
      </c>
      <c r="U16" s="255">
        <f t="shared" ref="U16" si="20">-IF(T16&gt;0,0,T16)</f>
        <v>0</v>
      </c>
      <c r="V16" s="255">
        <f t="shared" ref="V16" si="2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141</v>
      </c>
      <c r="C17" s="248" t="s">
        <v>145</v>
      </c>
      <c r="D17" s="249" t="s">
        <v>74</v>
      </c>
      <c r="E17" s="250" t="s">
        <v>195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90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314</v>
      </c>
      <c r="C18" s="248" t="s">
        <v>145</v>
      </c>
      <c r="D18" s="249" t="s">
        <v>315</v>
      </c>
      <c r="E18" s="250" t="s">
        <v>195</v>
      </c>
      <c r="F18" s="251">
        <v>15</v>
      </c>
      <c r="G18" s="252">
        <f t="shared" ref="G18" si="22">H18/F18</f>
        <v>537.4</v>
      </c>
      <c r="H18" s="253">
        <v>8061</v>
      </c>
      <c r="I18" s="254">
        <v>0</v>
      </c>
      <c r="J18" s="255">
        <f t="shared" ref="J18" si="2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90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349</v>
      </c>
      <c r="C19" s="248" t="s">
        <v>145</v>
      </c>
      <c r="D19" s="249" t="s">
        <v>350</v>
      </c>
      <c r="E19" s="250" t="s">
        <v>195</v>
      </c>
      <c r="F19" s="251">
        <v>15</v>
      </c>
      <c r="G19" s="252">
        <f t="shared" ref="G19" si="24">H19/F19</f>
        <v>537.4</v>
      </c>
      <c r="H19" s="253">
        <v>8061</v>
      </c>
      <c r="I19" s="254">
        <v>0</v>
      </c>
      <c r="J19" s="255">
        <f t="shared" ref="J19" si="2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90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185</v>
      </c>
      <c r="C20" s="248" t="s">
        <v>145</v>
      </c>
      <c r="D20" s="260" t="s">
        <v>183</v>
      </c>
      <c r="E20" s="250" t="s">
        <v>275</v>
      </c>
      <c r="F20" s="251">
        <v>15</v>
      </c>
      <c r="G20" s="252">
        <f t="shared" ref="G20:G35" si="26">H20/F20</f>
        <v>430</v>
      </c>
      <c r="H20" s="253">
        <v>6450</v>
      </c>
      <c r="I20" s="254">
        <v>0</v>
      </c>
      <c r="J20" s="255">
        <f t="shared" ref="J20:J35" si="2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90">
        <f t="shared" si="6"/>
        <v>0</v>
      </c>
      <c r="T20" s="256">
        <f t="shared" si="14"/>
        <v>671.9</v>
      </c>
      <c r="U20" s="255">
        <f t="shared" ref="U20" si="28">-IF(T20&gt;0,0,T20)</f>
        <v>0</v>
      </c>
      <c r="V20" s="255">
        <f t="shared" ref="V20:V35" si="2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339</v>
      </c>
      <c r="C21" s="248" t="s">
        <v>145</v>
      </c>
      <c r="D21" s="260" t="s">
        <v>340</v>
      </c>
      <c r="E21" s="250" t="s">
        <v>275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90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6"/>
      <c r="B22" s="267"/>
      <c r="C22" s="267"/>
      <c r="D22" s="268"/>
      <c r="E22" s="269"/>
      <c r="F22" s="270"/>
      <c r="G22" s="271"/>
      <c r="H22" s="272"/>
      <c r="I22" s="273"/>
      <c r="J22" s="274"/>
      <c r="K22" s="275"/>
      <c r="L22" s="275"/>
      <c r="M22" s="275"/>
      <c r="N22" s="275"/>
      <c r="O22" s="276"/>
      <c r="P22" s="275"/>
      <c r="Q22" s="277"/>
      <c r="R22" s="275"/>
      <c r="S22" s="275"/>
      <c r="T22" s="275"/>
      <c r="U22" s="274"/>
      <c r="V22" s="274"/>
      <c r="W22" s="274"/>
      <c r="X22" s="274"/>
      <c r="Y22" s="263"/>
      <c r="AE22" s="189"/>
    </row>
    <row r="23" spans="1:31" s="186" customFormat="1" ht="95.1" customHeight="1" x14ac:dyDescent="0.25">
      <c r="A23" s="266"/>
      <c r="B23" s="267"/>
      <c r="C23" s="267"/>
      <c r="D23" s="268"/>
      <c r="E23" s="269"/>
      <c r="F23" s="270"/>
      <c r="G23" s="271"/>
      <c r="H23" s="272"/>
      <c r="I23" s="273"/>
      <c r="J23" s="274"/>
      <c r="K23" s="275"/>
      <c r="L23" s="275"/>
      <c r="M23" s="275"/>
      <c r="N23" s="275"/>
      <c r="O23" s="276"/>
      <c r="P23" s="275"/>
      <c r="Q23" s="277"/>
      <c r="R23" s="275"/>
      <c r="S23" s="275"/>
      <c r="T23" s="275"/>
      <c r="U23" s="274"/>
      <c r="V23" s="274"/>
      <c r="W23" s="274"/>
      <c r="X23" s="274"/>
      <c r="Y23" s="263"/>
      <c r="AE23" s="189"/>
    </row>
    <row r="24" spans="1:31" s="186" customFormat="1" ht="24" customHeight="1" x14ac:dyDescent="0.25">
      <c r="A24" s="266"/>
      <c r="B24" s="311" t="s">
        <v>91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E24" s="189"/>
    </row>
    <row r="25" spans="1:31" s="186" customFormat="1" ht="23.25" customHeight="1" x14ac:dyDescent="0.25">
      <c r="A25" s="266"/>
      <c r="B25" s="311" t="s">
        <v>66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E25" s="189"/>
    </row>
    <row r="26" spans="1:31" s="186" customFormat="1" ht="23.25" customHeight="1" x14ac:dyDescent="0.25">
      <c r="A26" s="266"/>
      <c r="B26" s="312" t="s">
        <v>378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E26" s="189"/>
    </row>
    <row r="27" spans="1:31" s="186" customFormat="1" ht="18.75" customHeight="1" x14ac:dyDescent="0.25">
      <c r="A27" s="266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6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6"/>
      <c r="B29" s="65"/>
      <c r="C29" s="65"/>
      <c r="D29" s="65"/>
      <c r="E29" s="65"/>
      <c r="F29" s="66" t="s">
        <v>23</v>
      </c>
      <c r="G29" s="66" t="s">
        <v>6</v>
      </c>
      <c r="H29" s="314" t="s">
        <v>1</v>
      </c>
      <c r="I29" s="315"/>
      <c r="J29" s="316"/>
      <c r="K29" s="67" t="s">
        <v>26</v>
      </c>
      <c r="L29" s="68"/>
      <c r="M29" s="317" t="s">
        <v>9</v>
      </c>
      <c r="N29" s="318"/>
      <c r="O29" s="318"/>
      <c r="P29" s="318"/>
      <c r="Q29" s="318"/>
      <c r="R29" s="319"/>
      <c r="S29" s="67" t="s">
        <v>30</v>
      </c>
      <c r="T29" s="67" t="s">
        <v>10</v>
      </c>
      <c r="U29" s="66" t="s">
        <v>54</v>
      </c>
      <c r="V29" s="320" t="s">
        <v>2</v>
      </c>
      <c r="W29" s="321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6"/>
      <c r="B30" s="64" t="s">
        <v>118</v>
      </c>
      <c r="C30" s="64" t="s">
        <v>146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6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163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6"/>
      <c r="B32" s="82"/>
      <c r="C32" s="82"/>
      <c r="D32" s="84" t="s">
        <v>75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6"/>
      <c r="B33" s="248" t="s">
        <v>293</v>
      </c>
      <c r="C33" s="248" t="s">
        <v>145</v>
      </c>
      <c r="D33" s="260" t="s">
        <v>282</v>
      </c>
      <c r="E33" s="250" t="s">
        <v>275</v>
      </c>
      <c r="F33" s="251"/>
      <c r="G33" s="252"/>
      <c r="H33" s="253">
        <v>8061</v>
      </c>
      <c r="I33" s="254">
        <v>0</v>
      </c>
      <c r="J33" s="255">
        <f t="shared" ref="J33:J34" si="30">SUM(H33:I33)</f>
        <v>8061</v>
      </c>
      <c r="K33" s="256">
        <f t="shared" ref="K33:K34" si="31">IF(H33/15&lt;=SMG,0,I33/2)</f>
        <v>0</v>
      </c>
      <c r="L33" s="256">
        <f t="shared" ref="L33:L34" si="32">H33+K33</f>
        <v>8061</v>
      </c>
      <c r="M33" s="256">
        <f t="shared" ref="M33:M34" si="33">VLOOKUP(L33,Tarifa1,1)</f>
        <v>6602.71</v>
      </c>
      <c r="N33" s="256">
        <f t="shared" ref="N33:N34" si="34">L33-M33</f>
        <v>1458.29</v>
      </c>
      <c r="O33" s="257">
        <f t="shared" ref="O33:O34" si="35">VLOOKUP(L33,Tarifa1,3)</f>
        <v>0.21360000000000001</v>
      </c>
      <c r="P33" s="256">
        <f t="shared" ref="P33:P34" si="36">N33*O33</f>
        <v>311.49074400000001</v>
      </c>
      <c r="Q33" s="258">
        <f t="shared" ref="Q33:Q34" si="37">VLOOKUP(L33,Tarifa1,2)</f>
        <v>699.3</v>
      </c>
      <c r="R33" s="256">
        <f t="shared" ref="R33:R34" si="38">P33+Q33</f>
        <v>1010.7907439999999</v>
      </c>
      <c r="S33" s="290">
        <f t="shared" ref="S33:S34" si="39">VLOOKUP(L33,Credito1,2)</f>
        <v>0</v>
      </c>
      <c r="T33" s="256">
        <f t="shared" ref="T33:T34" si="40">ROUND(R33-S33,2)</f>
        <v>1010.79</v>
      </c>
      <c r="U33" s="255">
        <f>-IF(T33&gt;0,0,T33)</f>
        <v>0</v>
      </c>
      <c r="V33" s="255">
        <f>IF(T33&lt;0,0,T33)</f>
        <v>1010.79</v>
      </c>
      <c r="W33" s="255">
        <f>SUM(V33:V33)</f>
        <v>1010.79</v>
      </c>
      <c r="X33" s="255">
        <f>J33+U33-W33</f>
        <v>7050.21</v>
      </c>
      <c r="Y33" s="259"/>
      <c r="AE33" s="189"/>
    </row>
    <row r="34" spans="1:31" s="186" customFormat="1" ht="95.1" customHeight="1" x14ac:dyDescent="0.25">
      <c r="A34" s="246"/>
      <c r="B34" s="248" t="s">
        <v>305</v>
      </c>
      <c r="C34" s="248" t="s">
        <v>145</v>
      </c>
      <c r="D34" s="260" t="s">
        <v>306</v>
      </c>
      <c r="E34" s="250" t="s">
        <v>275</v>
      </c>
      <c r="F34" s="251"/>
      <c r="G34" s="252"/>
      <c r="H34" s="253">
        <v>8061</v>
      </c>
      <c r="I34" s="254">
        <v>0</v>
      </c>
      <c r="J34" s="255">
        <f t="shared" si="30"/>
        <v>8061</v>
      </c>
      <c r="K34" s="256">
        <f t="shared" si="31"/>
        <v>0</v>
      </c>
      <c r="L34" s="256">
        <f t="shared" si="32"/>
        <v>8061</v>
      </c>
      <c r="M34" s="256">
        <f t="shared" si="33"/>
        <v>6602.71</v>
      </c>
      <c r="N34" s="256">
        <f t="shared" si="34"/>
        <v>1458.29</v>
      </c>
      <c r="O34" s="257">
        <f t="shared" si="35"/>
        <v>0.21360000000000001</v>
      </c>
      <c r="P34" s="256">
        <f t="shared" si="36"/>
        <v>311.49074400000001</v>
      </c>
      <c r="Q34" s="258">
        <f t="shared" si="37"/>
        <v>699.3</v>
      </c>
      <c r="R34" s="256">
        <f t="shared" si="38"/>
        <v>1010.7907439999999</v>
      </c>
      <c r="S34" s="290">
        <f t="shared" si="39"/>
        <v>0</v>
      </c>
      <c r="T34" s="256">
        <f t="shared" si="40"/>
        <v>1010.79</v>
      </c>
      <c r="U34" s="255">
        <f>-IF(T34&gt;0,0,T34)</f>
        <v>0</v>
      </c>
      <c r="V34" s="255">
        <f>IF(T34&lt;0,0,T34)</f>
        <v>1010.79</v>
      </c>
      <c r="W34" s="255">
        <f>SUM(V34:V34)</f>
        <v>1010.79</v>
      </c>
      <c r="X34" s="255">
        <f>J34+U34-W34</f>
        <v>7050.21</v>
      </c>
      <c r="Y34" s="259"/>
      <c r="AE34" s="189"/>
    </row>
    <row r="35" spans="1:31" s="186" customFormat="1" ht="95.1" customHeight="1" x14ac:dyDescent="0.25">
      <c r="A35" s="246"/>
      <c r="B35" s="248" t="s">
        <v>295</v>
      </c>
      <c r="C35" s="248" t="s">
        <v>145</v>
      </c>
      <c r="D35" s="260" t="s">
        <v>276</v>
      </c>
      <c r="E35" s="250" t="s">
        <v>277</v>
      </c>
      <c r="F35" s="251">
        <v>15</v>
      </c>
      <c r="G35" s="252">
        <f t="shared" si="26"/>
        <v>292.36666666666667</v>
      </c>
      <c r="H35" s="253">
        <v>4385.5</v>
      </c>
      <c r="I35" s="254">
        <v>0</v>
      </c>
      <c r="J35" s="255">
        <f t="shared" si="27"/>
        <v>4385.5</v>
      </c>
      <c r="K35" s="256">
        <f t="shared" ref="K35:K36" si="41">IF(H35/15&lt;=SMG,0,I35/2)</f>
        <v>0</v>
      </c>
      <c r="L35" s="256">
        <f t="shared" ref="L35:L36" si="42">H35+K35</f>
        <v>4385.5</v>
      </c>
      <c r="M35" s="256">
        <f t="shared" ref="M35:M36" si="43">VLOOKUP(L35,Tarifa1,1)</f>
        <v>2699.41</v>
      </c>
      <c r="N35" s="256">
        <f t="shared" ref="N35:N36" si="44">L35-M35</f>
        <v>1686.0900000000001</v>
      </c>
      <c r="O35" s="257">
        <f t="shared" ref="O35:O36" si="45">VLOOKUP(L35,Tarifa1,3)</f>
        <v>0.10879999999999999</v>
      </c>
      <c r="P35" s="256">
        <f t="shared" ref="P35:P36" si="46">N35*O35</f>
        <v>183.44659200000001</v>
      </c>
      <c r="Q35" s="258">
        <f t="shared" ref="Q35:Q36" si="47">VLOOKUP(L35,Tarifa1,2)</f>
        <v>158.55000000000001</v>
      </c>
      <c r="R35" s="256">
        <f t="shared" ref="R35:R36" si="48">P35+Q35</f>
        <v>341.99659200000002</v>
      </c>
      <c r="S35" s="290">
        <f t="shared" ref="S35:S36" si="49">VLOOKUP(L35,Credito1,2)</f>
        <v>0</v>
      </c>
      <c r="T35" s="256">
        <f t="shared" ref="T35:T36" si="50">ROUND(R35-S35,2)</f>
        <v>342</v>
      </c>
      <c r="U35" s="255">
        <f>-IF(T35&gt;0,0,T35)</f>
        <v>0</v>
      </c>
      <c r="V35" s="255">
        <f t="shared" si="29"/>
        <v>342</v>
      </c>
      <c r="W35" s="255">
        <f>SUM(V35:V35)</f>
        <v>342</v>
      </c>
      <c r="X35" s="255">
        <f>J35+U35-W35</f>
        <v>4043.5</v>
      </c>
      <c r="Y35" s="259"/>
      <c r="AE35" s="189"/>
    </row>
    <row r="36" spans="1:31" s="186" customFormat="1" ht="95.1" customHeight="1" x14ac:dyDescent="0.25">
      <c r="A36" s="246"/>
      <c r="B36" s="248" t="s">
        <v>296</v>
      </c>
      <c r="C36" s="248" t="s">
        <v>145</v>
      </c>
      <c r="D36" s="260" t="s">
        <v>278</v>
      </c>
      <c r="E36" s="250" t="s">
        <v>279</v>
      </c>
      <c r="F36" s="251"/>
      <c r="G36" s="252"/>
      <c r="H36" s="253">
        <v>4659</v>
      </c>
      <c r="I36" s="254">
        <v>0</v>
      </c>
      <c r="J36" s="255">
        <f>SUM(H36:I36)</f>
        <v>4659</v>
      </c>
      <c r="K36" s="256">
        <f t="shared" si="41"/>
        <v>0</v>
      </c>
      <c r="L36" s="256">
        <f t="shared" si="42"/>
        <v>4659</v>
      </c>
      <c r="M36" s="256">
        <f t="shared" si="43"/>
        <v>2699.41</v>
      </c>
      <c r="N36" s="256">
        <f t="shared" si="44"/>
        <v>1959.5900000000001</v>
      </c>
      <c r="O36" s="257">
        <f t="shared" si="45"/>
        <v>0.10879999999999999</v>
      </c>
      <c r="P36" s="256">
        <f t="shared" si="46"/>
        <v>213.20339200000001</v>
      </c>
      <c r="Q36" s="258">
        <f t="shared" si="47"/>
        <v>158.55000000000001</v>
      </c>
      <c r="R36" s="256">
        <f t="shared" si="48"/>
        <v>371.75339200000002</v>
      </c>
      <c r="S36" s="290">
        <f t="shared" si="49"/>
        <v>0</v>
      </c>
      <c r="T36" s="256">
        <f t="shared" si="50"/>
        <v>371.75</v>
      </c>
      <c r="U36" s="255">
        <f>-IF(T36&gt;0,0,T36)</f>
        <v>0</v>
      </c>
      <c r="V36" s="255">
        <f>IF(T36&lt;0,0,T36)</f>
        <v>371.75</v>
      </c>
      <c r="W36" s="255">
        <f>SUM(V36:V36)</f>
        <v>371.75</v>
      </c>
      <c r="X36" s="255">
        <f>J36+U36-W36</f>
        <v>4287.25</v>
      </c>
      <c r="Y36" s="259"/>
      <c r="AE36" s="189"/>
    </row>
    <row r="37" spans="1:31" s="69" customFormat="1" ht="39" customHeight="1" thickBot="1" x14ac:dyDescent="0.3">
      <c r="A37" s="333" t="s">
        <v>45</v>
      </c>
      <c r="B37" s="334"/>
      <c r="C37" s="334"/>
      <c r="D37" s="334"/>
      <c r="E37" s="334"/>
      <c r="F37" s="334"/>
      <c r="G37" s="335"/>
      <c r="H37" s="261">
        <f t="shared" ref="H37:X37" si="51">SUM(H9:H36)</f>
        <v>112378.38</v>
      </c>
      <c r="I37" s="261">
        <f t="shared" si="51"/>
        <v>0</v>
      </c>
      <c r="J37" s="261">
        <f t="shared" si="51"/>
        <v>112378.38</v>
      </c>
      <c r="K37" s="262">
        <f t="shared" si="51"/>
        <v>0</v>
      </c>
      <c r="L37" s="262">
        <f t="shared" si="51"/>
        <v>112378.38</v>
      </c>
      <c r="M37" s="262">
        <f t="shared" si="51"/>
        <v>91193.12000000001</v>
      </c>
      <c r="N37" s="262">
        <f t="shared" si="51"/>
        <v>21185.260000000002</v>
      </c>
      <c r="O37" s="262">
        <f t="shared" si="51"/>
        <v>3.04</v>
      </c>
      <c r="P37" s="262">
        <f t="shared" si="51"/>
        <v>3771.3279040000002</v>
      </c>
      <c r="Q37" s="262">
        <f t="shared" si="51"/>
        <v>8750.1</v>
      </c>
      <c r="R37" s="262">
        <f t="shared" si="51"/>
        <v>12521.427903999998</v>
      </c>
      <c r="S37" s="262">
        <f t="shared" si="51"/>
        <v>0</v>
      </c>
      <c r="T37" s="262">
        <f t="shared" si="51"/>
        <v>12521.420000000002</v>
      </c>
      <c r="U37" s="261">
        <f t="shared" si="51"/>
        <v>0</v>
      </c>
      <c r="V37" s="261">
        <f t="shared" si="51"/>
        <v>12521.420000000002</v>
      </c>
      <c r="W37" s="261">
        <f t="shared" si="51"/>
        <v>12521.420000000002</v>
      </c>
      <c r="X37" s="261">
        <f t="shared" si="51"/>
        <v>99856.960000000021</v>
      </c>
      <c r="Y37" s="263"/>
    </row>
    <row r="38" spans="1:31" s="69" customFormat="1" ht="39" customHeight="1" thickTop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6"/>
      <c r="C43" s="186"/>
      <c r="D43" s="186" t="s">
        <v>392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 t="s">
        <v>107</v>
      </c>
      <c r="W43" s="186"/>
      <c r="X43" s="186"/>
    </row>
    <row r="44" spans="1:31" s="69" customFormat="1" ht="15" x14ac:dyDescent="0.25">
      <c r="B44" s="186"/>
      <c r="C44" s="186"/>
      <c r="D44" s="298" t="s">
        <v>390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225</v>
      </c>
      <c r="W44" s="186"/>
      <c r="X44" s="186"/>
    </row>
    <row r="45" spans="1:31" s="69" customFormat="1" ht="15" x14ac:dyDescent="0.25">
      <c r="B45" s="186"/>
      <c r="C45" s="186"/>
      <c r="D45" s="298" t="s">
        <v>391</v>
      </c>
      <c r="E45" s="191"/>
      <c r="F45" s="191"/>
      <c r="G45" s="191"/>
      <c r="H45" s="191"/>
      <c r="I45" s="191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95</v>
      </c>
      <c r="W45" s="191"/>
      <c r="X45" s="191"/>
      <c r="Y45" s="78"/>
    </row>
    <row r="46" spans="1:31" s="69" customFormat="1" ht="14.25" x14ac:dyDescent="0.2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</row>
  </sheetData>
  <mergeCells count="14">
    <mergeCell ref="H29:J29"/>
    <mergeCell ref="M29:R29"/>
    <mergeCell ref="V29:W29"/>
    <mergeCell ref="A37:G37"/>
    <mergeCell ref="B24:Z24"/>
    <mergeCell ref="B25:Z25"/>
    <mergeCell ref="B26:Z26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33" zoomScale="82" zoomScaleNormal="82" workbookViewId="0">
      <selection activeCell="W3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4" t="s">
        <v>1</v>
      </c>
      <c r="I6" s="315"/>
      <c r="J6" s="316"/>
      <c r="K6" s="67" t="s">
        <v>26</v>
      </c>
      <c r="L6" s="68"/>
      <c r="M6" s="317" t="s">
        <v>9</v>
      </c>
      <c r="N6" s="318"/>
      <c r="O6" s="318"/>
      <c r="P6" s="318"/>
      <c r="Q6" s="318"/>
      <c r="R6" s="319"/>
      <c r="S6" s="67" t="s">
        <v>30</v>
      </c>
      <c r="T6" s="67" t="s">
        <v>10</v>
      </c>
      <c r="U6" s="66" t="s">
        <v>54</v>
      </c>
      <c r="V6" s="320" t="s">
        <v>2</v>
      </c>
      <c r="W6" s="321"/>
      <c r="X6" s="66" t="s">
        <v>0</v>
      </c>
      <c r="Y6" s="65"/>
    </row>
    <row r="7" spans="1:25" s="69" customFormat="1" ht="24" x14ac:dyDescent="0.2">
      <c r="A7" s="70" t="s">
        <v>126</v>
      </c>
      <c r="B7" s="64" t="s">
        <v>118</v>
      </c>
      <c r="C7" s="64" t="s">
        <v>162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163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297</v>
      </c>
      <c r="C10" s="114" t="s">
        <v>145</v>
      </c>
      <c r="D10" s="119" t="s">
        <v>290</v>
      </c>
      <c r="E10" s="119" t="s">
        <v>289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91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121</v>
      </c>
      <c r="C11" s="114" t="s">
        <v>145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91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345</v>
      </c>
      <c r="C12" s="114" t="s">
        <v>145</v>
      </c>
      <c r="D12" s="119" t="s">
        <v>346</v>
      </c>
      <c r="E12" s="119" t="s">
        <v>289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91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353</v>
      </c>
      <c r="C13" s="114" t="s">
        <v>145</v>
      </c>
      <c r="D13" s="119" t="s">
        <v>348</v>
      </c>
      <c r="E13" s="119" t="s">
        <v>78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91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171</v>
      </c>
      <c r="C14" s="114" t="s">
        <v>145</v>
      </c>
      <c r="D14" s="122" t="s">
        <v>170</v>
      </c>
      <c r="E14" s="119" t="s">
        <v>120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1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298</v>
      </c>
      <c r="C15" s="114" t="s">
        <v>145</v>
      </c>
      <c r="D15" s="122" t="s">
        <v>287</v>
      </c>
      <c r="E15" s="119" t="s">
        <v>288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1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319</v>
      </c>
      <c r="C16" s="114" t="s">
        <v>145</v>
      </c>
      <c r="D16" s="122" t="s">
        <v>320</v>
      </c>
      <c r="E16" s="121" t="s">
        <v>321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1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177</v>
      </c>
      <c r="C17" s="114" t="s">
        <v>145</v>
      </c>
      <c r="D17" s="119" t="s">
        <v>175</v>
      </c>
      <c r="E17" s="119" t="s">
        <v>176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1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247</v>
      </c>
      <c r="C18" s="114" t="s">
        <v>145</v>
      </c>
      <c r="D18" s="119" t="s">
        <v>198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1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299</v>
      </c>
      <c r="C19" s="114" t="s">
        <v>145</v>
      </c>
      <c r="D19" s="119" t="s">
        <v>285</v>
      </c>
      <c r="E19" s="119" t="s">
        <v>286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1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8"/>
      <c r="C20" s="227"/>
      <c r="D20" s="279"/>
      <c r="E20" s="279"/>
      <c r="F20" s="280"/>
      <c r="G20" s="281"/>
      <c r="H20" s="282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31" s="4" customFormat="1" ht="20.25" customHeight="1" x14ac:dyDescent="0.2">
      <c r="A21" s="227"/>
      <c r="B21" s="278"/>
      <c r="C21" s="227"/>
      <c r="D21" s="279"/>
      <c r="E21" s="279"/>
      <c r="F21" s="280"/>
      <c r="G21" s="281"/>
      <c r="H21" s="282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31" s="4" customFormat="1" ht="28.5" customHeight="1" x14ac:dyDescent="0.25">
      <c r="A22" s="227"/>
      <c r="B22" s="311" t="s">
        <v>91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</row>
    <row r="23" spans="1:31" s="4" customFormat="1" ht="23.25" customHeight="1" x14ac:dyDescent="0.25">
      <c r="A23" s="227"/>
      <c r="B23" s="311" t="s">
        <v>66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</row>
    <row r="24" spans="1:31" s="4" customFormat="1" ht="23.25" customHeight="1" x14ac:dyDescent="0.2">
      <c r="A24" s="227"/>
      <c r="B24" s="312" t="s">
        <v>378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342</v>
      </c>
      <c r="C26" s="114" t="s">
        <v>145</v>
      </c>
      <c r="D26" s="121" t="s">
        <v>94</v>
      </c>
      <c r="E26" s="121" t="s">
        <v>310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1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366</v>
      </c>
      <c r="C27" s="114" t="s">
        <v>145</v>
      </c>
      <c r="D27" s="119" t="s">
        <v>309</v>
      </c>
      <c r="E27" s="119" t="s">
        <v>199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1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162</v>
      </c>
      <c r="D28" s="192" t="s">
        <v>159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248</v>
      </c>
      <c r="C29" s="114" t="s">
        <v>145</v>
      </c>
      <c r="D29" s="119" t="s">
        <v>202</v>
      </c>
      <c r="E29" s="121" t="s">
        <v>200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91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300</v>
      </c>
      <c r="C30" s="114" t="s">
        <v>145</v>
      </c>
      <c r="D30" s="119" t="s">
        <v>283</v>
      </c>
      <c r="E30" s="121" t="s">
        <v>284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91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162</v>
      </c>
      <c r="D31" s="192" t="s">
        <v>161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124</v>
      </c>
      <c r="C32" s="114" t="s">
        <v>145</v>
      </c>
      <c r="D32" s="119" t="s">
        <v>80</v>
      </c>
      <c r="E32" s="121" t="s">
        <v>164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1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337</v>
      </c>
      <c r="C33" s="114" t="s">
        <v>145</v>
      </c>
      <c r="D33" s="119" t="s">
        <v>336</v>
      </c>
      <c r="E33" s="121" t="s">
        <v>338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1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162</v>
      </c>
      <c r="D34" s="192" t="s">
        <v>160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123</v>
      </c>
      <c r="C35" s="114" t="s">
        <v>145</v>
      </c>
      <c r="D35" s="119" t="s">
        <v>79</v>
      </c>
      <c r="E35" s="121" t="s">
        <v>201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1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8" t="s">
        <v>45</v>
      </c>
      <c r="B37" s="309"/>
      <c r="C37" s="309"/>
      <c r="D37" s="309"/>
      <c r="E37" s="309"/>
      <c r="F37" s="309"/>
      <c r="G37" s="310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228</v>
      </c>
      <c r="V40" s="4" t="s">
        <v>229</v>
      </c>
    </row>
    <row r="41" spans="1:37" s="4" customFormat="1" x14ac:dyDescent="0.2">
      <c r="D41" s="78" t="s">
        <v>390</v>
      </c>
      <c r="V41" s="51" t="s">
        <v>225</v>
      </c>
    </row>
    <row r="42" spans="1:37" s="4" customFormat="1" x14ac:dyDescent="0.2">
      <c r="D42" s="78" t="s">
        <v>391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0" zoomScale="86" zoomScaleNormal="86" workbookViewId="0">
      <selection activeCell="W3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31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31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0" t="s">
        <v>162</v>
      </c>
      <c r="D6" s="65"/>
      <c r="E6" s="65"/>
      <c r="F6" s="66" t="s">
        <v>23</v>
      </c>
      <c r="G6" s="66" t="s">
        <v>6</v>
      </c>
      <c r="H6" s="314" t="s">
        <v>1</v>
      </c>
      <c r="I6" s="315"/>
      <c r="J6" s="316"/>
      <c r="K6" s="67" t="s">
        <v>26</v>
      </c>
      <c r="L6" s="68"/>
      <c r="M6" s="317" t="s">
        <v>9</v>
      </c>
      <c r="N6" s="318"/>
      <c r="O6" s="318"/>
      <c r="P6" s="318"/>
      <c r="Q6" s="318"/>
      <c r="R6" s="319"/>
      <c r="S6" s="67" t="s">
        <v>30</v>
      </c>
      <c r="T6" s="67" t="s">
        <v>10</v>
      </c>
      <c r="U6" s="66" t="s">
        <v>54</v>
      </c>
      <c r="V6" s="320" t="s">
        <v>2</v>
      </c>
      <c r="W6" s="321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31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2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163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162</v>
      </c>
      <c r="D9" s="45" t="s">
        <v>208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249</v>
      </c>
      <c r="C10" s="62" t="s">
        <v>145</v>
      </c>
      <c r="D10" s="175" t="s">
        <v>239</v>
      </c>
      <c r="E10" s="175" t="s">
        <v>274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1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142</v>
      </c>
      <c r="C11" s="62" t="s">
        <v>145</v>
      </c>
      <c r="D11" s="164" t="s">
        <v>108</v>
      </c>
      <c r="E11" s="175" t="s">
        <v>204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1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162</v>
      </c>
      <c r="D12" s="45" t="s">
        <v>268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266</v>
      </c>
      <c r="C13" s="62" t="s">
        <v>145</v>
      </c>
      <c r="D13" s="174" t="s">
        <v>267</v>
      </c>
      <c r="E13" s="175" t="s">
        <v>269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1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162</v>
      </c>
      <c r="D14" s="45" t="s">
        <v>328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329</v>
      </c>
      <c r="C15" s="62" t="s">
        <v>145</v>
      </c>
      <c r="D15" s="174" t="s">
        <v>326</v>
      </c>
      <c r="E15" s="175" t="s">
        <v>327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1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162</v>
      </c>
      <c r="D16" s="45" t="s">
        <v>166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145</v>
      </c>
      <c r="D17" s="211" t="s">
        <v>220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1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301</v>
      </c>
      <c r="C18" s="62" t="s">
        <v>145</v>
      </c>
      <c r="D18" s="174" t="s">
        <v>280</v>
      </c>
      <c r="E18" s="175" t="s">
        <v>281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1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334</v>
      </c>
      <c r="C19" s="62" t="s">
        <v>223</v>
      </c>
      <c r="D19" s="174" t="s">
        <v>330</v>
      </c>
      <c r="E19" s="175" t="s">
        <v>281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91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162</v>
      </c>
      <c r="D20" s="45" t="s">
        <v>167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143</v>
      </c>
      <c r="C21" s="62" t="s">
        <v>145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1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250</v>
      </c>
      <c r="C22" s="62" t="s">
        <v>145</v>
      </c>
      <c r="D22" s="176" t="s">
        <v>206</v>
      </c>
      <c r="E22" s="175" t="s">
        <v>205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1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1" t="s">
        <v>91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E23" s="88"/>
    </row>
    <row r="24" spans="1:31" s="69" customFormat="1" ht="25.5" customHeight="1" x14ac:dyDescent="0.25">
      <c r="A24" s="228"/>
      <c r="B24" s="311" t="s">
        <v>66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E24" s="88"/>
    </row>
    <row r="25" spans="1:31" s="69" customFormat="1" ht="23.25" customHeight="1" x14ac:dyDescent="0.2">
      <c r="A25" s="228"/>
      <c r="B25" s="312" t="s">
        <v>378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318</v>
      </c>
      <c r="C27" s="62" t="s">
        <v>145</v>
      </c>
      <c r="D27" s="176" t="s">
        <v>311</v>
      </c>
      <c r="E27" s="175" t="s">
        <v>312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1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162</v>
      </c>
      <c r="D28" s="45" t="s">
        <v>168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144</v>
      </c>
      <c r="C29" s="62" t="s">
        <v>145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1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162</v>
      </c>
      <c r="D30" s="45" t="s">
        <v>172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178</v>
      </c>
      <c r="C31" s="62" t="s">
        <v>145</v>
      </c>
      <c r="D31" s="164" t="s">
        <v>173</v>
      </c>
      <c r="E31" s="175" t="s">
        <v>174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1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162</v>
      </c>
      <c r="D32" s="45" t="s">
        <v>207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251</v>
      </c>
      <c r="C33" s="62" t="s">
        <v>145</v>
      </c>
      <c r="D33" s="164" t="s">
        <v>210</v>
      </c>
      <c r="E33" s="175" t="s">
        <v>211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1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6" t="s">
        <v>45</v>
      </c>
      <c r="B35" s="336"/>
      <c r="C35" s="336"/>
      <c r="D35" s="336"/>
      <c r="E35" s="336"/>
      <c r="F35" s="336"/>
      <c r="G35" s="336"/>
      <c r="H35" s="205">
        <f>H9+H12+H16+H20+H28+H30+H32+H14</f>
        <v>69667</v>
      </c>
      <c r="I35" s="205">
        <f>I9+I12+I16+I20+I28+I30+I32+I14</f>
        <v>0</v>
      </c>
      <c r="J35" s="205">
        <f>J9+J12+J16+J20+J28+J30+J32+J14</f>
        <v>69667</v>
      </c>
      <c r="K35" s="206">
        <f t="shared" ref="K35:T35" si="61">SUM(K10:K34)</f>
        <v>0</v>
      </c>
      <c r="L35" s="206">
        <f t="shared" si="61"/>
        <v>69667</v>
      </c>
      <c r="M35" s="206">
        <f t="shared" si="61"/>
        <v>60425.53</v>
      </c>
      <c r="N35" s="206">
        <f t="shared" si="61"/>
        <v>9241.4699999999993</v>
      </c>
      <c r="O35" s="206">
        <f t="shared" si="61"/>
        <v>2.0768</v>
      </c>
      <c r="P35" s="206">
        <f t="shared" si="61"/>
        <v>1224.0939519999997</v>
      </c>
      <c r="Q35" s="206">
        <f t="shared" si="61"/>
        <v>5360.5500000000011</v>
      </c>
      <c r="R35" s="206">
        <f t="shared" si="61"/>
        <v>6584.6439519999994</v>
      </c>
      <c r="S35" s="206">
        <f t="shared" si="61"/>
        <v>125.1</v>
      </c>
      <c r="T35" s="206">
        <f t="shared" si="61"/>
        <v>6459.5599999999995</v>
      </c>
      <c r="U35" s="205">
        <f>U9+U12+U16+U20+U28+U30+U32+U14</f>
        <v>0</v>
      </c>
      <c r="V35" s="205">
        <f>V9+V12+V16+V20+V28+V30+V32+V14</f>
        <v>6459.5599999999995</v>
      </c>
      <c r="W35" s="205">
        <f>W9+W12+W16+W20+W28+W30+W32+W14</f>
        <v>6459.5599999999995</v>
      </c>
      <c r="X35" s="205">
        <f>X9+X12+X16+X20+X28+X30+X32+X14</f>
        <v>63207.439999999995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230</v>
      </c>
      <c r="W45" s="4"/>
      <c r="X45" s="4"/>
    </row>
    <row r="46" spans="1:37" s="69" customFormat="1" x14ac:dyDescent="0.2">
      <c r="D46" s="78" t="s">
        <v>390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225</v>
      </c>
      <c r="W46" s="4"/>
      <c r="X46" s="4"/>
    </row>
    <row r="47" spans="1:37" s="69" customFormat="1" x14ac:dyDescent="0.2">
      <c r="D47" s="78" t="s">
        <v>391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4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139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137</v>
      </c>
      <c r="C10" s="114" t="s">
        <v>145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1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122</v>
      </c>
      <c r="C11" s="114" t="s">
        <v>145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1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138</v>
      </c>
      <c r="C12" s="114" t="s">
        <v>145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1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8" t="s">
        <v>45</v>
      </c>
      <c r="B14" s="309"/>
      <c r="C14" s="309"/>
      <c r="D14" s="309"/>
      <c r="E14" s="309"/>
      <c r="F14" s="309"/>
      <c r="G14" s="310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231</v>
      </c>
      <c r="V21" t="s">
        <v>107</v>
      </c>
    </row>
    <row r="22" spans="4:37" x14ac:dyDescent="0.2">
      <c r="D22" s="78" t="s">
        <v>390</v>
      </c>
      <c r="H22" s="4"/>
      <c r="V22" s="78" t="s">
        <v>232</v>
      </c>
    </row>
    <row r="23" spans="4:37" x14ac:dyDescent="0.2">
      <c r="D23" s="78" t="s">
        <v>391</v>
      </c>
      <c r="E23" s="51"/>
      <c r="F23" s="51"/>
      <c r="G23" s="51"/>
      <c r="H23" s="51"/>
      <c r="I23" s="51"/>
      <c r="V23" s="51" t="s">
        <v>233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7" workbookViewId="0">
      <selection activeCell="V17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5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</row>
    <row r="3" spans="1:25" ht="15" x14ac:dyDescent="0.2">
      <c r="A3" s="312" t="s">
        <v>378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4"/>
      <c r="J6" s="24" t="s">
        <v>26</v>
      </c>
      <c r="K6" s="25"/>
      <c r="L6" s="325" t="s">
        <v>9</v>
      </c>
      <c r="M6" s="326"/>
      <c r="N6" s="326"/>
      <c r="O6" s="326"/>
      <c r="P6" s="326"/>
      <c r="Q6" s="327"/>
      <c r="R6" s="24" t="s">
        <v>30</v>
      </c>
      <c r="S6" s="24" t="s">
        <v>10</v>
      </c>
      <c r="T6" s="23" t="s">
        <v>54</v>
      </c>
      <c r="U6" s="328" t="s">
        <v>2</v>
      </c>
      <c r="V6" s="329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252</v>
      </c>
      <c r="C10" s="114" t="s">
        <v>145</v>
      </c>
      <c r="D10" s="119" t="s">
        <v>216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253</v>
      </c>
      <c r="C11" s="114" t="s">
        <v>145</v>
      </c>
      <c r="D11" s="119" t="s">
        <v>212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254</v>
      </c>
      <c r="C12" s="114" t="s">
        <v>145</v>
      </c>
      <c r="D12" s="119" t="s">
        <v>215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386</v>
      </c>
      <c r="C13" s="114" t="s">
        <v>145</v>
      </c>
      <c r="D13" s="119" t="s">
        <v>385</v>
      </c>
      <c r="E13" s="121" t="s">
        <v>388</v>
      </c>
      <c r="F13" s="131">
        <v>10</v>
      </c>
      <c r="G13" s="135">
        <f t="shared" si="7"/>
        <v>556.13300000000004</v>
      </c>
      <c r="H13" s="117">
        <v>5561.33</v>
      </c>
      <c r="I13" s="125">
        <f t="shared" si="0"/>
        <v>5561.33</v>
      </c>
      <c r="J13" s="170">
        <v>0</v>
      </c>
      <c r="K13" s="170">
        <f t="shared" si="8"/>
        <v>5561.33</v>
      </c>
      <c r="L13" s="170">
        <f t="shared" si="9"/>
        <v>5514.76</v>
      </c>
      <c r="M13" s="170">
        <f t="shared" si="10"/>
        <v>46.569999999999709</v>
      </c>
      <c r="N13" s="171">
        <f t="shared" si="11"/>
        <v>0.1792</v>
      </c>
      <c r="O13" s="170">
        <f t="shared" si="12"/>
        <v>8.3453439999999475</v>
      </c>
      <c r="P13" s="172">
        <f t="shared" si="13"/>
        <v>504.3</v>
      </c>
      <c r="Q13" s="170">
        <f t="shared" si="14"/>
        <v>512.64534399999991</v>
      </c>
      <c r="R13" s="170">
        <f t="shared" si="15"/>
        <v>0</v>
      </c>
      <c r="S13" s="170">
        <f t="shared" si="16"/>
        <v>512.65</v>
      </c>
      <c r="T13" s="125">
        <f t="shared" si="5"/>
        <v>0</v>
      </c>
      <c r="U13" s="125">
        <f t="shared" si="6"/>
        <v>512.65</v>
      </c>
      <c r="V13" s="125">
        <f>SUM(U13:U13)</f>
        <v>512.65</v>
      </c>
      <c r="W13" s="125">
        <f>I13+T13-V13</f>
        <v>5048.68</v>
      </c>
      <c r="X13" s="41"/>
    </row>
    <row r="14" spans="1:25" ht="65.25" customHeight="1" x14ac:dyDescent="0.2">
      <c r="A14" s="59" t="s">
        <v>101</v>
      </c>
      <c r="B14" s="137" t="s">
        <v>367</v>
      </c>
      <c r="C14" s="137" t="s">
        <v>145</v>
      </c>
      <c r="D14" s="122" t="s">
        <v>357</v>
      </c>
      <c r="E14" s="122" t="s">
        <v>85</v>
      </c>
      <c r="F14" s="149">
        <v>15</v>
      </c>
      <c r="G14" s="286">
        <f t="shared" si="7"/>
        <v>556.13333333333333</v>
      </c>
      <c r="H14" s="117">
        <v>8342</v>
      </c>
      <c r="I14" s="125">
        <f t="shared" ref="I14" si="1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18">-IF(S14&gt;0,0,S14)</f>
        <v>0</v>
      </c>
      <c r="U14" s="125">
        <f t="shared" ref="U14" si="1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256</v>
      </c>
      <c r="C15" s="114" t="s">
        <v>145</v>
      </c>
      <c r="D15" s="119" t="s">
        <v>213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257</v>
      </c>
      <c r="C16" s="114" t="s">
        <v>145</v>
      </c>
      <c r="D16" s="119" t="s">
        <v>214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258</v>
      </c>
      <c r="C17" s="114" t="s">
        <v>145</v>
      </c>
      <c r="D17" s="119" t="s">
        <v>217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259</v>
      </c>
      <c r="C18" s="114" t="s">
        <v>145</v>
      </c>
      <c r="D18" s="119" t="s">
        <v>218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8" t="s">
        <v>45</v>
      </c>
      <c r="B20" s="309"/>
      <c r="C20" s="309"/>
      <c r="D20" s="309"/>
      <c r="E20" s="309"/>
      <c r="F20" s="309"/>
      <c r="G20" s="310"/>
      <c r="H20" s="39">
        <f>SUM(H10:H19)</f>
        <v>72297.33</v>
      </c>
      <c r="I20" s="39">
        <f>SUM(I10:I19)</f>
        <v>72297.33</v>
      </c>
      <c r="J20" s="40">
        <f t="shared" ref="J20:S20" si="20">SUM(J10:J19)</f>
        <v>0</v>
      </c>
      <c r="K20" s="40">
        <f t="shared" si="20"/>
        <v>72297.33</v>
      </c>
      <c r="L20" s="40">
        <f t="shared" si="20"/>
        <v>58336.439999999995</v>
      </c>
      <c r="M20" s="40">
        <f t="shared" si="20"/>
        <v>13960.890000000003</v>
      </c>
      <c r="N20" s="40">
        <f t="shared" si="20"/>
        <v>1.8880000000000001</v>
      </c>
      <c r="O20" s="40">
        <f t="shared" si="20"/>
        <v>2980.4440960000006</v>
      </c>
      <c r="P20" s="40">
        <f t="shared" si="20"/>
        <v>6098.7000000000007</v>
      </c>
      <c r="Q20" s="40">
        <f t="shared" si="20"/>
        <v>9079.144096</v>
      </c>
      <c r="R20" s="40">
        <f t="shared" si="20"/>
        <v>0</v>
      </c>
      <c r="S20" s="40">
        <f t="shared" si="20"/>
        <v>9079.1299999999974</v>
      </c>
      <c r="T20" s="39">
        <f>SUM(T10:T19)</f>
        <v>0</v>
      </c>
      <c r="U20" s="39">
        <f>SUM(U10:U19)</f>
        <v>9079.1299999999974</v>
      </c>
      <c r="V20" s="39">
        <f>SUM(V10:V19)</f>
        <v>9079.1299999999974</v>
      </c>
      <c r="W20" s="39">
        <f>SUM(W10:W19)</f>
        <v>63218.200000000012</v>
      </c>
    </row>
    <row r="21" spans="1:37" ht="13.5" thickTop="1" x14ac:dyDescent="0.2"/>
    <row r="26" spans="1:37" x14ac:dyDescent="0.2">
      <c r="D26" s="78" t="s">
        <v>390</v>
      </c>
      <c r="H26" s="4"/>
    </row>
    <row r="27" spans="1:37" x14ac:dyDescent="0.2">
      <c r="D27" s="78" t="s">
        <v>391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2021-03-19T15:36:57Z</cp:lastPrinted>
  <dcterms:created xsi:type="dcterms:W3CDTF">2000-05-05T04:08:27Z</dcterms:created>
  <dcterms:modified xsi:type="dcterms:W3CDTF">2023-09-14T19:50:57Z</dcterms:modified>
</cp:coreProperties>
</file>