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42B7D465-FBED-40C1-9DDC-D027912361C4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20" l="1"/>
  <c r="K32" i="120"/>
  <c r="L32" i="120" s="1"/>
  <c r="O32" i="120" l="1"/>
  <c r="S32" i="120"/>
  <c r="M32" i="120"/>
  <c r="N32" i="120" s="1"/>
  <c r="Q32" i="120"/>
  <c r="I19" i="135"/>
  <c r="J19" i="135" s="1"/>
  <c r="H19" i="135"/>
  <c r="P32" i="120" l="1"/>
  <c r="R32" i="120" s="1"/>
  <c r="T32" i="120" s="1"/>
  <c r="O19" i="135"/>
  <c r="K19" i="135"/>
  <c r="L19" i="135" s="1"/>
  <c r="Q19" i="135"/>
  <c r="M19" i="135"/>
  <c r="K14" i="133"/>
  <c r="L14" i="133" s="1"/>
  <c r="K15" i="133"/>
  <c r="L15" i="133" s="1"/>
  <c r="M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I14" i="135"/>
  <c r="J14" i="135" s="1"/>
  <c r="M14" i="135" s="1"/>
  <c r="I15" i="135"/>
  <c r="J15" i="135" s="1"/>
  <c r="K15" i="135" s="1"/>
  <c r="I16" i="135"/>
  <c r="J16" i="135" s="1"/>
  <c r="M16" i="135" s="1"/>
  <c r="I17" i="135"/>
  <c r="J17" i="135" s="1"/>
  <c r="K17" i="135" s="1"/>
  <c r="I18" i="135"/>
  <c r="J18" i="135" s="1"/>
  <c r="M18" i="135" s="1"/>
  <c r="I20" i="135"/>
  <c r="J20" i="135" s="1"/>
  <c r="M20" i="135" s="1"/>
  <c r="I10" i="135"/>
  <c r="J10" i="135" s="1"/>
  <c r="I11" i="135"/>
  <c r="J11" i="135"/>
  <c r="K11" i="135" s="1"/>
  <c r="I12" i="135"/>
  <c r="J12" i="135" s="1"/>
  <c r="M12" i="135" s="1"/>
  <c r="I13" i="135"/>
  <c r="J13" i="135" s="1"/>
  <c r="K13" i="135" s="1"/>
  <c r="I9" i="135"/>
  <c r="J9" i="135" s="1"/>
  <c r="K11" i="132"/>
  <c r="L11" i="132"/>
  <c r="O11" i="132" s="1"/>
  <c r="K12" i="132"/>
  <c r="L12" i="132" s="1"/>
  <c r="M12" i="132" s="1"/>
  <c r="K13" i="132"/>
  <c r="L13" i="132" s="1"/>
  <c r="K14" i="132"/>
  <c r="L14" i="132"/>
  <c r="M14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7" i="123"/>
  <c r="L27" i="123" s="1"/>
  <c r="K22" i="123"/>
  <c r="L22" i="123" s="1"/>
  <c r="K21" i="123"/>
  <c r="L21" i="123" s="1"/>
  <c r="K19" i="123"/>
  <c r="L19" i="123" s="1"/>
  <c r="K18" i="123"/>
  <c r="L18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2" i="121"/>
  <c r="L32" i="121" s="1"/>
  <c r="K30" i="121"/>
  <c r="L30" i="121" s="1"/>
  <c r="K29" i="121"/>
  <c r="L29" i="121" s="1"/>
  <c r="K27" i="121"/>
  <c r="L27" i="121" s="1"/>
  <c r="K26" i="121"/>
  <c r="L26" i="121" s="1"/>
  <c r="K19" i="121"/>
  <c r="L19" i="121" s="1"/>
  <c r="K11" i="121"/>
  <c r="L11" i="121" s="1"/>
  <c r="K12" i="121"/>
  <c r="L12" i="121" s="1"/>
  <c r="M12" i="121" s="1"/>
  <c r="K13" i="121"/>
  <c r="L13" i="121" s="1"/>
  <c r="K14" i="121"/>
  <c r="L14" i="121" s="1"/>
  <c r="M14" i="121" s="1"/>
  <c r="K15" i="121"/>
  <c r="L15" i="121" s="1"/>
  <c r="K16" i="121"/>
  <c r="L16" i="121" s="1"/>
  <c r="M16" i="121" s="1"/>
  <c r="K17" i="121"/>
  <c r="L17" i="121" s="1"/>
  <c r="K18" i="121"/>
  <c r="L18" i="121" s="1"/>
  <c r="M18" i="121" s="1"/>
  <c r="K10" i="121"/>
  <c r="L10" i="121" s="1"/>
  <c r="K21" i="120"/>
  <c r="L21" i="120" s="1"/>
  <c r="K33" i="120"/>
  <c r="L33" i="120" s="1"/>
  <c r="K34" i="120"/>
  <c r="L34" i="120" s="1"/>
  <c r="M34" i="120" s="1"/>
  <c r="K35" i="120"/>
  <c r="L35" i="120" s="1"/>
  <c r="K18" i="120"/>
  <c r="L18" i="120" s="1"/>
  <c r="O18" i="120" s="1"/>
  <c r="K19" i="120"/>
  <c r="L19" i="120" s="1"/>
  <c r="M19" i="120" s="1"/>
  <c r="K20" i="120"/>
  <c r="L20" i="120" s="1"/>
  <c r="K13" i="120"/>
  <c r="L13" i="120" s="1"/>
  <c r="K14" i="120"/>
  <c r="L14" i="120" s="1"/>
  <c r="K15" i="120"/>
  <c r="L15" i="120" s="1"/>
  <c r="K16" i="120"/>
  <c r="L16" i="120" s="1"/>
  <c r="K17" i="120"/>
  <c r="L17" i="120" s="1"/>
  <c r="K10" i="120"/>
  <c r="L10" i="120" s="1"/>
  <c r="K11" i="120"/>
  <c r="L11" i="120" s="1"/>
  <c r="M11" i="120" s="1"/>
  <c r="K12" i="120"/>
  <c r="L12" i="120" s="1"/>
  <c r="O12" i="120" s="1"/>
  <c r="K9" i="120"/>
  <c r="L9" i="120" s="1"/>
  <c r="K12" i="134"/>
  <c r="L12" i="134" s="1"/>
  <c r="K10" i="134"/>
  <c r="L10" i="134" s="1"/>
  <c r="K10" i="127"/>
  <c r="L10" i="127" s="1"/>
  <c r="K34" i="119"/>
  <c r="L34" i="119" s="1"/>
  <c r="K32" i="119"/>
  <c r="L32" i="119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/>
  <c r="O11" i="119" s="1"/>
  <c r="K12" i="119"/>
  <c r="L12" i="119" s="1"/>
  <c r="M12" i="119" s="1"/>
  <c r="K10" i="119"/>
  <c r="I28" i="121"/>
  <c r="H28" i="121"/>
  <c r="V32" i="120" l="1"/>
  <c r="W32" i="120" s="1"/>
  <c r="U32" i="120"/>
  <c r="S21" i="123"/>
  <c r="Q21" i="123"/>
  <c r="N19" i="135"/>
  <c r="P19" i="135" s="1"/>
  <c r="R19" i="135" s="1"/>
  <c r="T19" i="135" s="1"/>
  <c r="U19" i="135" s="1"/>
  <c r="O10" i="120"/>
  <c r="Q10" i="120"/>
  <c r="M10" i="120"/>
  <c r="N10" i="120" s="1"/>
  <c r="M10" i="135"/>
  <c r="K10" i="135"/>
  <c r="L10" i="135" s="1"/>
  <c r="O10" i="135"/>
  <c r="O20" i="120"/>
  <c r="M20" i="120"/>
  <c r="N20" i="120" s="1"/>
  <c r="Q20" i="120"/>
  <c r="O13" i="132"/>
  <c r="Q13" i="132"/>
  <c r="M13" i="132"/>
  <c r="N13" i="132" s="1"/>
  <c r="P13" i="132" s="1"/>
  <c r="O14" i="133"/>
  <c r="M14" i="133"/>
  <c r="N14" i="133" s="1"/>
  <c r="Q14" i="133"/>
  <c r="K28" i="121"/>
  <c r="Q12" i="120"/>
  <c r="Q18" i="120"/>
  <c r="Q11" i="132"/>
  <c r="O12" i="135"/>
  <c r="M12" i="120"/>
  <c r="N12" i="120" s="1"/>
  <c r="P12" i="120" s="1"/>
  <c r="R12" i="120" s="1"/>
  <c r="M18" i="120"/>
  <c r="N18" i="120" s="1"/>
  <c r="P18" i="120" s="1"/>
  <c r="M21" i="123"/>
  <c r="N21" i="123" s="1"/>
  <c r="M11" i="132"/>
  <c r="N11" i="132" s="1"/>
  <c r="P11" i="132" s="1"/>
  <c r="K12" i="135"/>
  <c r="L12" i="135" s="1"/>
  <c r="N12" i="135" s="1"/>
  <c r="S15" i="133"/>
  <c r="O15" i="133"/>
  <c r="N15" i="133"/>
  <c r="Q15" i="133"/>
  <c r="S14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O20" i="135"/>
  <c r="K20" i="135"/>
  <c r="L20" i="135" s="1"/>
  <c r="N20" i="135" s="1"/>
  <c r="O18" i="135"/>
  <c r="K18" i="135"/>
  <c r="L18" i="135" s="1"/>
  <c r="N18" i="135" s="1"/>
  <c r="Q17" i="135"/>
  <c r="M17" i="135"/>
  <c r="O16" i="135"/>
  <c r="K16" i="135"/>
  <c r="L16" i="135" s="1"/>
  <c r="N16" i="135" s="1"/>
  <c r="Q15" i="135"/>
  <c r="M15" i="135"/>
  <c r="O14" i="135"/>
  <c r="K14" i="135"/>
  <c r="L14" i="135" s="1"/>
  <c r="N14" i="135" s="1"/>
  <c r="L17" i="135"/>
  <c r="L15" i="135"/>
  <c r="Q20" i="135"/>
  <c r="Q18" i="135"/>
  <c r="O17" i="135"/>
  <c r="Q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O14" i="132"/>
  <c r="S14" i="132"/>
  <c r="S12" i="132"/>
  <c r="O12" i="132"/>
  <c r="N14" i="132"/>
  <c r="P14" i="132" s="1"/>
  <c r="N12" i="132"/>
  <c r="P12" i="132" s="1"/>
  <c r="Q14" i="132"/>
  <c r="S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O11" i="118"/>
  <c r="S11" i="118"/>
  <c r="M11" i="118"/>
  <c r="N11" i="118" s="1"/>
  <c r="P11" i="118" s="1"/>
  <c r="Q11" i="118"/>
  <c r="S12" i="118"/>
  <c r="O12" i="118"/>
  <c r="N12" i="118"/>
  <c r="P12" i="118" s="1"/>
  <c r="Q12" i="118"/>
  <c r="S10" i="118"/>
  <c r="O10" i="118"/>
  <c r="Q10" i="118"/>
  <c r="M10" i="118"/>
  <c r="N10" i="118" s="1"/>
  <c r="S33" i="123"/>
  <c r="O33" i="123"/>
  <c r="Q33" i="123"/>
  <c r="M33" i="123"/>
  <c r="N33" i="123" s="1"/>
  <c r="Q31" i="123"/>
  <c r="M31" i="123"/>
  <c r="N31" i="123" s="1"/>
  <c r="S31" i="123"/>
  <c r="O31" i="123"/>
  <c r="S29" i="123"/>
  <c r="O29" i="123"/>
  <c r="Q29" i="123"/>
  <c r="M29" i="123"/>
  <c r="N29" i="123" s="1"/>
  <c r="P29" i="123" s="1"/>
  <c r="S27" i="123"/>
  <c r="O27" i="123"/>
  <c r="Q27" i="123"/>
  <c r="M27" i="123"/>
  <c r="N27" i="123" s="1"/>
  <c r="S22" i="123"/>
  <c r="O22" i="123"/>
  <c r="Q22" i="123"/>
  <c r="M22" i="123"/>
  <c r="N22" i="123" s="1"/>
  <c r="O21" i="123"/>
  <c r="S19" i="123"/>
  <c r="O19" i="123"/>
  <c r="Q19" i="123"/>
  <c r="M19" i="123"/>
  <c r="N19" i="123" s="1"/>
  <c r="M18" i="123"/>
  <c r="N18" i="123" s="1"/>
  <c r="S18" i="123"/>
  <c r="O18" i="123"/>
  <c r="Q18" i="123"/>
  <c r="S17" i="123"/>
  <c r="O17" i="123"/>
  <c r="M17" i="123"/>
  <c r="N17" i="123"/>
  <c r="Q17" i="123"/>
  <c r="S15" i="123"/>
  <c r="O15" i="123"/>
  <c r="Q15" i="123"/>
  <c r="M15" i="123"/>
  <c r="N15" i="123" s="1"/>
  <c r="S13" i="123"/>
  <c r="O13" i="123"/>
  <c r="M13" i="123"/>
  <c r="N13" i="123" s="1"/>
  <c r="P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2" i="121"/>
  <c r="O32" i="121"/>
  <c r="Q32" i="121"/>
  <c r="M32" i="121"/>
  <c r="N32" i="121" s="1"/>
  <c r="M30" i="121"/>
  <c r="N30" i="121" s="1"/>
  <c r="S30" i="121"/>
  <c r="O30" i="121"/>
  <c r="Q30" i="121"/>
  <c r="L28" i="121"/>
  <c r="M29" i="121"/>
  <c r="S29" i="121"/>
  <c r="O29" i="121"/>
  <c r="Q29" i="121"/>
  <c r="S27" i="121"/>
  <c r="O27" i="121"/>
  <c r="Q27" i="121"/>
  <c r="M27" i="121"/>
  <c r="N27" i="121" s="1"/>
  <c r="S26" i="121"/>
  <c r="O26" i="121"/>
  <c r="Q26" i="121"/>
  <c r="M26" i="121"/>
  <c r="N26" i="121" s="1"/>
  <c r="Q19" i="121"/>
  <c r="S19" i="121"/>
  <c r="O19" i="121"/>
  <c r="M19" i="121"/>
  <c r="N19" i="121" s="1"/>
  <c r="O17" i="121"/>
  <c r="S17" i="121"/>
  <c r="Q17" i="121"/>
  <c r="M17" i="121"/>
  <c r="N17" i="121" s="1"/>
  <c r="O13" i="121"/>
  <c r="S13" i="121"/>
  <c r="Q13" i="121"/>
  <c r="M13" i="121"/>
  <c r="N13" i="121" s="1"/>
  <c r="O15" i="121"/>
  <c r="S15" i="121"/>
  <c r="M15" i="121"/>
  <c r="N15" i="121" s="1"/>
  <c r="Q15" i="121"/>
  <c r="O11" i="121"/>
  <c r="S11" i="121"/>
  <c r="Q11" i="121"/>
  <c r="M11" i="121"/>
  <c r="N11" i="121" s="1"/>
  <c r="O16" i="121"/>
  <c r="O12" i="121"/>
  <c r="N18" i="121"/>
  <c r="N16" i="121"/>
  <c r="N14" i="121"/>
  <c r="N12" i="121"/>
  <c r="S18" i="121"/>
  <c r="O18" i="121"/>
  <c r="S16" i="121"/>
  <c r="S14" i="121"/>
  <c r="O14" i="121"/>
  <c r="S12" i="121"/>
  <c r="Q18" i="121"/>
  <c r="Q16" i="121"/>
  <c r="Q14" i="121"/>
  <c r="Q12" i="121"/>
  <c r="Q10" i="121"/>
  <c r="S10" i="121"/>
  <c r="O10" i="121"/>
  <c r="M10" i="121"/>
  <c r="N10" i="121" s="1"/>
  <c r="O33" i="120"/>
  <c r="S33" i="120"/>
  <c r="M33" i="120"/>
  <c r="N33" i="120" s="1"/>
  <c r="Q33" i="120"/>
  <c r="O35" i="120"/>
  <c r="S35" i="120"/>
  <c r="M35" i="120"/>
  <c r="N35" i="120" s="1"/>
  <c r="Q35" i="120"/>
  <c r="O21" i="120"/>
  <c r="S21" i="120"/>
  <c r="M21" i="120"/>
  <c r="N21" i="120" s="1"/>
  <c r="Q21" i="120"/>
  <c r="S34" i="120"/>
  <c r="O34" i="120"/>
  <c r="N34" i="120"/>
  <c r="Q34" i="120"/>
  <c r="S19" i="120"/>
  <c r="O19" i="120"/>
  <c r="N19" i="120"/>
  <c r="S20" i="120"/>
  <c r="Q19" i="120"/>
  <c r="S18" i="120"/>
  <c r="M16" i="120"/>
  <c r="N16" i="120" s="1"/>
  <c r="Q16" i="120"/>
  <c r="O16" i="120"/>
  <c r="S16" i="120"/>
  <c r="O15" i="120"/>
  <c r="S15" i="120"/>
  <c r="M15" i="120"/>
  <c r="N15" i="120" s="1"/>
  <c r="Q15" i="120"/>
  <c r="M14" i="120"/>
  <c r="N14" i="120" s="1"/>
  <c r="Q14" i="120"/>
  <c r="O14" i="120"/>
  <c r="S14" i="120"/>
  <c r="O17" i="120"/>
  <c r="S17" i="120"/>
  <c r="M17" i="120"/>
  <c r="N17" i="120" s="1"/>
  <c r="Q17" i="120"/>
  <c r="O13" i="120"/>
  <c r="S13" i="120"/>
  <c r="M13" i="120"/>
  <c r="N13" i="120" s="1"/>
  <c r="Q13" i="120"/>
  <c r="S11" i="120"/>
  <c r="O11" i="120"/>
  <c r="N11" i="120"/>
  <c r="S12" i="120"/>
  <c r="Q11" i="120"/>
  <c r="S10" i="120"/>
  <c r="S9" i="120"/>
  <c r="O9" i="120"/>
  <c r="Q9" i="120"/>
  <c r="M9" i="120"/>
  <c r="N9" i="120" s="1"/>
  <c r="S12" i="134"/>
  <c r="O12" i="134"/>
  <c r="Q12" i="134"/>
  <c r="M12" i="134"/>
  <c r="N12" i="134" s="1"/>
  <c r="P12" i="134" s="1"/>
  <c r="Q10" i="134"/>
  <c r="M10" i="134"/>
  <c r="N10" i="134" s="1"/>
  <c r="S10" i="134"/>
  <c r="O10" i="134"/>
  <c r="Q10" i="127"/>
  <c r="M10" i="127"/>
  <c r="N10" i="127" s="1"/>
  <c r="S10" i="127"/>
  <c r="O10" i="127"/>
  <c r="O34" i="119"/>
  <c r="S34" i="119"/>
  <c r="Q34" i="119"/>
  <c r="M34" i="119"/>
  <c r="N34" i="119" s="1"/>
  <c r="M32" i="119"/>
  <c r="N32" i="119" s="1"/>
  <c r="S32" i="119"/>
  <c r="O32" i="119"/>
  <c r="Q32" i="119"/>
  <c r="Q31" i="119"/>
  <c r="M31" i="119"/>
  <c r="N31" i="119" s="1"/>
  <c r="S31" i="119"/>
  <c r="O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12" i="135" l="1"/>
  <c r="R12" i="132"/>
  <c r="T12" i="132" s="1"/>
  <c r="R11" i="132"/>
  <c r="T11" i="132" s="1"/>
  <c r="R13" i="132"/>
  <c r="P10" i="118"/>
  <c r="R10" i="118" s="1"/>
  <c r="P19" i="123"/>
  <c r="P33" i="123"/>
  <c r="X32" i="120"/>
  <c r="M28" i="121"/>
  <c r="P14" i="135"/>
  <c r="R14" i="135" s="1"/>
  <c r="P16" i="135"/>
  <c r="P18" i="135"/>
  <c r="R18" i="135" s="1"/>
  <c r="T10" i="118"/>
  <c r="P10" i="127"/>
  <c r="R10" i="127" s="1"/>
  <c r="T10" i="127" s="1"/>
  <c r="P10" i="134"/>
  <c r="R10" i="134" s="1"/>
  <c r="T10" i="134" s="1"/>
  <c r="P11" i="123"/>
  <c r="R11" i="123" s="1"/>
  <c r="T11" i="123" s="1"/>
  <c r="P31" i="123"/>
  <c r="R31" i="123" s="1"/>
  <c r="T31" i="123" s="1"/>
  <c r="P10" i="124"/>
  <c r="R10" i="124" s="1"/>
  <c r="T10" i="124" s="1"/>
  <c r="R14" i="132"/>
  <c r="T14" i="132" s="1"/>
  <c r="S19" i="135"/>
  <c r="V19" i="135" s="1"/>
  <c r="P32" i="119"/>
  <c r="R32" i="119" s="1"/>
  <c r="P14" i="120"/>
  <c r="R14" i="120" s="1"/>
  <c r="T14" i="120" s="1"/>
  <c r="P16" i="120"/>
  <c r="R16" i="120" s="1"/>
  <c r="T16" i="120" s="1"/>
  <c r="P21" i="120"/>
  <c r="R21" i="120" s="1"/>
  <c r="T21" i="120" s="1"/>
  <c r="P35" i="120"/>
  <c r="P32" i="121"/>
  <c r="R32" i="121" s="1"/>
  <c r="T32" i="121" s="1"/>
  <c r="P15" i="123"/>
  <c r="R15" i="123" s="1"/>
  <c r="T15" i="123" s="1"/>
  <c r="P18" i="123"/>
  <c r="R18" i="123" s="1"/>
  <c r="T18" i="123" s="1"/>
  <c r="P22" i="123"/>
  <c r="N9" i="135"/>
  <c r="P9" i="135" s="1"/>
  <c r="R9" i="135" s="1"/>
  <c r="N13" i="135"/>
  <c r="P13" i="135" s="1"/>
  <c r="R13" i="135" s="1"/>
  <c r="P20" i="135"/>
  <c r="R20" i="135" s="1"/>
  <c r="P14" i="133"/>
  <c r="R11" i="133"/>
  <c r="T32" i="119"/>
  <c r="P21" i="119"/>
  <c r="P30" i="119"/>
  <c r="P34" i="119"/>
  <c r="R34" i="119" s="1"/>
  <c r="T34" i="119" s="1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7" i="120"/>
  <c r="R17" i="120" s="1"/>
  <c r="N17" i="135"/>
  <c r="P17" i="135" s="1"/>
  <c r="R17" i="135" s="1"/>
  <c r="N10" i="135"/>
  <c r="P15" i="133"/>
  <c r="R15" i="133" s="1"/>
  <c r="T15" i="133" s="1"/>
  <c r="P10" i="133"/>
  <c r="R10" i="133" s="1"/>
  <c r="T10" i="133" s="1"/>
  <c r="R13" i="133"/>
  <c r="T13" i="133" s="1"/>
  <c r="Q28" i="121"/>
  <c r="P26" i="121"/>
  <c r="R26" i="121" s="1"/>
  <c r="T26" i="121" s="1"/>
  <c r="P11" i="121"/>
  <c r="R11" i="121" s="1"/>
  <c r="T11" i="121" s="1"/>
  <c r="P15" i="121"/>
  <c r="R15" i="121" s="1"/>
  <c r="T15" i="121" s="1"/>
  <c r="P27" i="121"/>
  <c r="R27" i="121" s="1"/>
  <c r="T27" i="121" s="1"/>
  <c r="P30" i="121"/>
  <c r="R30" i="121" s="1"/>
  <c r="T30" i="121" s="1"/>
  <c r="P20" i="120"/>
  <c r="R20" i="120" s="1"/>
  <c r="T20" i="120" s="1"/>
  <c r="P10" i="121"/>
  <c r="R10" i="121" s="1"/>
  <c r="T10" i="121" s="1"/>
  <c r="R12" i="135"/>
  <c r="T17" i="120"/>
  <c r="R35" i="120"/>
  <c r="T35" i="120" s="1"/>
  <c r="R12" i="118"/>
  <c r="T12" i="118" s="1"/>
  <c r="P10" i="135"/>
  <c r="R10" i="135" s="1"/>
  <c r="P18" i="119"/>
  <c r="R18" i="119" s="1"/>
  <c r="T18" i="119" s="1"/>
  <c r="P19" i="119"/>
  <c r="R19" i="119" s="1"/>
  <c r="T19" i="119" s="1"/>
  <c r="P16" i="121"/>
  <c r="R16" i="121" s="1"/>
  <c r="T16" i="121" s="1"/>
  <c r="P10" i="123"/>
  <c r="R10" i="123" s="1"/>
  <c r="T10" i="123" s="1"/>
  <c r="R13" i="123"/>
  <c r="T13" i="123" s="1"/>
  <c r="P17" i="123"/>
  <c r="R17" i="123" s="1"/>
  <c r="T17" i="123" s="1"/>
  <c r="P27" i="123"/>
  <c r="R27" i="123" s="1"/>
  <c r="T27" i="123" s="1"/>
  <c r="P10" i="132"/>
  <c r="R10" i="132" s="1"/>
  <c r="T10" i="132" s="1"/>
  <c r="T13" i="132"/>
  <c r="T12" i="120"/>
  <c r="R14" i="133"/>
  <c r="T14" i="133" s="1"/>
  <c r="P31" i="119"/>
  <c r="R31" i="119" s="1"/>
  <c r="T31" i="119" s="1"/>
  <c r="P13" i="120"/>
  <c r="R13" i="120" s="1"/>
  <c r="T13" i="120" s="1"/>
  <c r="P9" i="120"/>
  <c r="R9" i="120" s="1"/>
  <c r="T9" i="120" s="1"/>
  <c r="P15" i="120"/>
  <c r="R15" i="120" s="1"/>
  <c r="T15" i="120" s="1"/>
  <c r="P18" i="121"/>
  <c r="R18" i="121" s="1"/>
  <c r="T18" i="121" s="1"/>
  <c r="P13" i="121"/>
  <c r="R13" i="121" s="1"/>
  <c r="T13" i="121" s="1"/>
  <c r="P17" i="121"/>
  <c r="R17" i="121" s="1"/>
  <c r="T17" i="121" s="1"/>
  <c r="P19" i="121"/>
  <c r="R19" i="121" s="1"/>
  <c r="T19" i="121" s="1"/>
  <c r="S28" i="121"/>
  <c r="R18" i="120"/>
  <c r="T18" i="120" s="1"/>
  <c r="P12" i="133"/>
  <c r="R12" i="133" s="1"/>
  <c r="T12" i="133" s="1"/>
  <c r="T11" i="133"/>
  <c r="R16" i="135"/>
  <c r="N15" i="135"/>
  <c r="P15" i="135" s="1"/>
  <c r="R15" i="135" s="1"/>
  <c r="N11" i="135"/>
  <c r="P11" i="135" s="1"/>
  <c r="R11" i="135" s="1"/>
  <c r="R11" i="118"/>
  <c r="T11" i="118" s="1"/>
  <c r="R33" i="123"/>
  <c r="T33" i="123" s="1"/>
  <c r="R29" i="123"/>
  <c r="T29" i="123" s="1"/>
  <c r="R22" i="123"/>
  <c r="T22" i="123" s="1"/>
  <c r="P21" i="123"/>
  <c r="R21" i="123" s="1"/>
  <c r="T21" i="123" s="1"/>
  <c r="R19" i="123"/>
  <c r="T19" i="123" s="1"/>
  <c r="N29" i="121"/>
  <c r="P14" i="121"/>
  <c r="R14" i="121" s="1"/>
  <c r="T14" i="121" s="1"/>
  <c r="P12" i="121"/>
  <c r="R12" i="121" s="1"/>
  <c r="T12" i="121" s="1"/>
  <c r="P33" i="120"/>
  <c r="R33" i="120" s="1"/>
  <c r="T33" i="120" s="1"/>
  <c r="P34" i="120"/>
  <c r="R34" i="120" s="1"/>
  <c r="T34" i="120" s="1"/>
  <c r="P19" i="120"/>
  <c r="R19" i="120" s="1"/>
  <c r="T19" i="120" s="1"/>
  <c r="P11" i="120"/>
  <c r="R11" i="120" s="1"/>
  <c r="T11" i="120" s="1"/>
  <c r="R12" i="134"/>
  <c r="T12" i="134" s="1"/>
  <c r="R30" i="119"/>
  <c r="T30" i="119" s="1"/>
  <c r="R21" i="119"/>
  <c r="T21" i="119" s="1"/>
  <c r="P12" i="119"/>
  <c r="R12" i="119" s="1"/>
  <c r="T12" i="119" s="1"/>
  <c r="P29" i="121" l="1"/>
  <c r="R29" i="121" s="1"/>
  <c r="T29" i="121" s="1"/>
  <c r="N28" i="121"/>
  <c r="H20" i="135"/>
  <c r="J30" i="121" l="1"/>
  <c r="F21" i="135" l="1"/>
  <c r="G21" i="135"/>
  <c r="V30" i="121" l="1"/>
  <c r="W30" i="121" s="1"/>
  <c r="U30" i="121"/>
  <c r="H18" i="135"/>
  <c r="H17" i="135"/>
  <c r="H16" i="135"/>
  <c r="J16" i="120"/>
  <c r="X30" i="121" l="1"/>
  <c r="J11" i="133"/>
  <c r="J10" i="133"/>
  <c r="J14" i="133"/>
  <c r="J15" i="133"/>
  <c r="J12" i="133" l="1"/>
  <c r="J13" i="133"/>
  <c r="J17" i="121" l="1"/>
  <c r="J15" i="120"/>
  <c r="J19" i="123" l="1"/>
  <c r="J15" i="123" l="1"/>
  <c r="I16" i="123" l="1"/>
  <c r="O21" i="135" l="1"/>
  <c r="K21" i="135"/>
  <c r="I21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1" i="135" l="1"/>
  <c r="J21" i="135"/>
  <c r="J21" i="123"/>
  <c r="L21" i="135" l="1"/>
  <c r="J10" i="123"/>
  <c r="J14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O16" i="131" s="1"/>
  <c r="Q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M14" i="131" s="1"/>
  <c r="P14" i="131"/>
  <c r="R14" i="131"/>
  <c r="N14" i="131"/>
  <c r="L18" i="131"/>
  <c r="N18" i="131"/>
  <c r="R18" i="131"/>
  <c r="M18" i="131"/>
  <c r="P18" i="131"/>
  <c r="N12" i="131"/>
  <c r="P12" i="131"/>
  <c r="L12" i="131"/>
  <c r="M12" i="131" s="1"/>
  <c r="O12" i="131" s="1"/>
  <c r="Q12" i="131" s="1"/>
  <c r="S12" i="131" s="1"/>
  <c r="R12" i="131"/>
  <c r="P11" i="131"/>
  <c r="L11" i="131"/>
  <c r="M11" i="131" s="1"/>
  <c r="R11" i="131"/>
  <c r="N11" i="131"/>
  <c r="N15" i="131"/>
  <c r="P15" i="131"/>
  <c r="L15" i="131"/>
  <c r="M15" i="131" s="1"/>
  <c r="O15" i="131" s="1"/>
  <c r="Q15" i="131" s="1"/>
  <c r="R15" i="131"/>
  <c r="J14" i="121"/>
  <c r="J13" i="123"/>
  <c r="I36" i="120"/>
  <c r="G18" i="120"/>
  <c r="J11" i="132"/>
  <c r="O10" i="131" l="1"/>
  <c r="Q10" i="131" s="1"/>
  <c r="S10" i="131" s="1"/>
  <c r="O14" i="131"/>
  <c r="Q14" i="131" s="1"/>
  <c r="S14" i="131" s="1"/>
  <c r="O17" i="131"/>
  <c r="S15" i="131"/>
  <c r="O11" i="131"/>
  <c r="Q11" i="131" s="1"/>
  <c r="S11" i="131" s="1"/>
  <c r="O18" i="131"/>
  <c r="Q18" i="131" s="1"/>
  <c r="S18" i="131" s="1"/>
  <c r="Q17" i="131"/>
  <c r="S17" i="131" s="1"/>
  <c r="O13" i="131"/>
  <c r="Q13" i="131" s="1"/>
  <c r="S13" i="131" s="1"/>
  <c r="S16" i="131"/>
  <c r="J18" i="120"/>
  <c r="J33" i="120"/>
  <c r="J10" i="132"/>
  <c r="J12" i="132"/>
  <c r="J27" i="123" l="1"/>
  <c r="I9" i="121"/>
  <c r="I29" i="119"/>
  <c r="H29" i="119"/>
  <c r="I20" i="123" l="1"/>
  <c r="J19" i="121"/>
  <c r="J14" i="120"/>
  <c r="I33" i="119"/>
  <c r="J10" i="134" l="1"/>
  <c r="V33" i="123" l="1"/>
  <c r="W33" i="123" s="1"/>
  <c r="U33" i="123"/>
  <c r="J33" i="123"/>
  <c r="X33" i="123" l="1"/>
  <c r="J35" i="120" l="1"/>
  <c r="J18" i="123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5" i="121"/>
  <c r="P14" i="134" l="1"/>
  <c r="R14" i="134"/>
  <c r="V10" i="120" l="1"/>
  <c r="W10" i="120" s="1"/>
  <c r="J10" i="120"/>
  <c r="G10" i="120"/>
  <c r="G11" i="121"/>
  <c r="J13" i="121"/>
  <c r="J27" i="121"/>
  <c r="J34" i="120"/>
  <c r="G34" i="120"/>
  <c r="U10" i="120" l="1"/>
  <c r="X10" i="120" s="1"/>
  <c r="J11" i="121"/>
  <c r="G19" i="120"/>
  <c r="J19" i="120"/>
  <c r="J20" i="120"/>
  <c r="J18" i="119" l="1"/>
  <c r="J14" i="119" l="1"/>
  <c r="J32" i="119" l="1"/>
  <c r="J31" i="119"/>
  <c r="H25" i="121"/>
  <c r="H20" i="123"/>
  <c r="H16" i="123"/>
  <c r="H33" i="119"/>
  <c r="H9" i="121" l="1"/>
  <c r="J12" i="121"/>
  <c r="J26" i="121" l="1"/>
  <c r="J25" i="121" s="1"/>
  <c r="G17" i="120" l="1"/>
  <c r="J17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13" i="132"/>
  <c r="J22" i="123" l="1"/>
  <c r="J20" i="123" s="1"/>
  <c r="J18" i="121" l="1"/>
  <c r="J34" i="119" l="1"/>
  <c r="J33" i="119" s="1"/>
  <c r="G33" i="123" l="1"/>
  <c r="I32" i="123"/>
  <c r="H32" i="123"/>
  <c r="G14" i="133" l="1"/>
  <c r="G12" i="133"/>
  <c r="Q16" i="133"/>
  <c r="M16" i="133"/>
  <c r="K16" i="133"/>
  <c r="I16" i="133"/>
  <c r="U32" i="123" l="1"/>
  <c r="J32" i="123"/>
  <c r="G15" i="133"/>
  <c r="G10" i="133"/>
  <c r="H16" i="133"/>
  <c r="N16" i="133" l="1"/>
  <c r="V32" i="123"/>
  <c r="J16" i="133"/>
  <c r="L16" i="133" l="1"/>
  <c r="W32" i="123"/>
  <c r="X32" i="123"/>
  <c r="J13" i="120" l="1"/>
  <c r="J29" i="121" l="1"/>
  <c r="J28" i="121" s="1"/>
  <c r="J32" i="121"/>
  <c r="J15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1" i="121"/>
  <c r="H31" i="121"/>
  <c r="H35" i="123" l="1"/>
  <c r="I35" i="123"/>
  <c r="H34" i="121"/>
  <c r="I34" i="121"/>
  <c r="G29" i="121" l="1"/>
  <c r="G18" i="121" l="1"/>
  <c r="J16" i="121"/>
  <c r="J9" i="121" s="1"/>
  <c r="G16" i="121"/>
  <c r="G12" i="121"/>
  <c r="G10" i="121"/>
  <c r="I20" i="119" l="1"/>
  <c r="H20" i="119"/>
  <c r="I15" i="119"/>
  <c r="H15" i="119"/>
  <c r="I13" i="119"/>
  <c r="H13" i="119"/>
  <c r="J12" i="119"/>
  <c r="H36" i="119" l="1"/>
  <c r="I36" i="119"/>
  <c r="Q16" i="132" l="1"/>
  <c r="M16" i="132"/>
  <c r="K16" i="132"/>
  <c r="I16" i="132"/>
  <c r="G10" i="132"/>
  <c r="H16" i="132" l="1"/>
  <c r="J16" i="132" l="1"/>
  <c r="S16" i="132"/>
  <c r="N16" i="132"/>
  <c r="L16" i="132"/>
  <c r="J17" i="119" l="1"/>
  <c r="J13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2" i="121"/>
  <c r="G26" i="121"/>
  <c r="G13" i="120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1" i="121"/>
  <c r="K34" i="121"/>
  <c r="K36" i="120"/>
  <c r="J12" i="120"/>
  <c r="J11" i="120"/>
  <c r="J34" i="121" l="1"/>
  <c r="L12" i="127"/>
  <c r="L12" i="124"/>
  <c r="H14" i="118"/>
  <c r="L35" i="123"/>
  <c r="L34" i="121"/>
  <c r="L14" i="118" l="1"/>
  <c r="K36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6" i="119" l="1"/>
  <c r="L36" i="119"/>
  <c r="V12" i="133" l="1"/>
  <c r="O12" i="124"/>
  <c r="Q12" i="127"/>
  <c r="Q12" i="124"/>
  <c r="O12" i="127"/>
  <c r="S12" i="127"/>
  <c r="S10" i="119"/>
  <c r="S14" i="135" l="1"/>
  <c r="T16" i="135"/>
  <c r="U16" i="135" s="1"/>
  <c r="S11" i="135"/>
  <c r="U21" i="123"/>
  <c r="T13" i="131"/>
  <c r="S12" i="135"/>
  <c r="T20" i="135"/>
  <c r="U20" i="135" s="1"/>
  <c r="V13" i="123"/>
  <c r="U18" i="131"/>
  <c r="V18" i="131" s="1"/>
  <c r="Q21" i="135"/>
  <c r="V10" i="124"/>
  <c r="W10" i="124" s="1"/>
  <c r="U10" i="124"/>
  <c r="S12" i="124"/>
  <c r="U22" i="123"/>
  <c r="V22" i="123"/>
  <c r="W22" i="123" s="1"/>
  <c r="V26" i="121"/>
  <c r="U26" i="121"/>
  <c r="U34" i="120"/>
  <c r="V34" i="120"/>
  <c r="W34" i="120" s="1"/>
  <c r="S14" i="134"/>
  <c r="U13" i="133"/>
  <c r="V13" i="133"/>
  <c r="W13" i="133" s="1"/>
  <c r="V16" i="119"/>
  <c r="W16" i="119" s="1"/>
  <c r="U16" i="119"/>
  <c r="V15" i="133"/>
  <c r="W15" i="133" s="1"/>
  <c r="U15" i="133"/>
  <c r="U12" i="131"/>
  <c r="V12" i="131" s="1"/>
  <c r="U10" i="123"/>
  <c r="T18" i="135"/>
  <c r="U18" i="135" s="1"/>
  <c r="V29" i="123"/>
  <c r="W29" i="123" s="1"/>
  <c r="U29" i="123"/>
  <c r="V14" i="119"/>
  <c r="W14" i="119" s="1"/>
  <c r="U14" i="119"/>
  <c r="V27" i="121"/>
  <c r="W27" i="121" s="1"/>
  <c r="U27" i="121"/>
  <c r="V14" i="120"/>
  <c r="W14" i="120" s="1"/>
  <c r="U14" i="120"/>
  <c r="V14" i="133"/>
  <c r="W14" i="133" s="1"/>
  <c r="U14" i="133"/>
  <c r="V16" i="120"/>
  <c r="W16" i="120" s="1"/>
  <c r="U16" i="120"/>
  <c r="U27" i="123"/>
  <c r="V27" i="123"/>
  <c r="W27" i="123" s="1"/>
  <c r="V19" i="120"/>
  <c r="W19" i="120" s="1"/>
  <c r="V33" i="120"/>
  <c r="W33" i="120" s="1"/>
  <c r="T15" i="131"/>
  <c r="U10" i="133"/>
  <c r="U17" i="123"/>
  <c r="V17" i="123"/>
  <c r="W17" i="123" s="1"/>
  <c r="U35" i="120"/>
  <c r="V35" i="120"/>
  <c r="W35" i="120" s="1"/>
  <c r="V15" i="120"/>
  <c r="W15" i="120" s="1"/>
  <c r="U15" i="120"/>
  <c r="T17" i="135"/>
  <c r="U17" i="135" s="1"/>
  <c r="S17" i="135"/>
  <c r="U18" i="120"/>
  <c r="V18" i="120"/>
  <c r="W18" i="120" s="1"/>
  <c r="T14" i="131"/>
  <c r="U14" i="131"/>
  <c r="V14" i="131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1" i="135"/>
  <c r="V17" i="120"/>
  <c r="W17" i="120" s="1"/>
  <c r="U17" i="120"/>
  <c r="U10" i="131"/>
  <c r="V10" i="131" s="1"/>
  <c r="T10" i="131"/>
  <c r="U11" i="133"/>
  <c r="V11" i="133"/>
  <c r="W11" i="133" s="1"/>
  <c r="V20" i="120"/>
  <c r="W20" i="120" s="1"/>
  <c r="U20" i="120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21" i="120"/>
  <c r="W21" i="120" s="1"/>
  <c r="U21" i="120"/>
  <c r="V32" i="119"/>
  <c r="W32" i="119" s="1"/>
  <c r="U32" i="119"/>
  <c r="U10" i="121"/>
  <c r="V10" i="121"/>
  <c r="W10" i="121" s="1"/>
  <c r="V12" i="132"/>
  <c r="W12" i="132" s="1"/>
  <c r="U12" i="132"/>
  <c r="U14" i="132"/>
  <c r="V14" i="132"/>
  <c r="W14" i="132" s="1"/>
  <c r="O28" i="121"/>
  <c r="O34" i="121" s="1"/>
  <c r="V18" i="121"/>
  <c r="W18" i="121" s="1"/>
  <c r="U18" i="121"/>
  <c r="V31" i="119"/>
  <c r="W31" i="119" s="1"/>
  <c r="U31" i="119"/>
  <c r="V18" i="123"/>
  <c r="U18" i="123"/>
  <c r="V10" i="132"/>
  <c r="W10" i="132" s="1"/>
  <c r="U10" i="132"/>
  <c r="U17" i="121"/>
  <c r="V17" i="121"/>
  <c r="W17" i="121" s="1"/>
  <c r="U13" i="132"/>
  <c r="V13" i="132"/>
  <c r="W13" i="132" s="1"/>
  <c r="V11" i="121"/>
  <c r="W11" i="121" s="1"/>
  <c r="U11" i="121"/>
  <c r="V14" i="121"/>
  <c r="W14" i="121" s="1"/>
  <c r="U14" i="121"/>
  <c r="U19" i="123"/>
  <c r="V19" i="123"/>
  <c r="W19" i="123" s="1"/>
  <c r="U12" i="121"/>
  <c r="V12" i="121"/>
  <c r="W12" i="121" s="1"/>
  <c r="V13" i="121"/>
  <c r="W13" i="121" s="1"/>
  <c r="U13" i="121"/>
  <c r="V19" i="121"/>
  <c r="W19" i="121" s="1"/>
  <c r="U19" i="121"/>
  <c r="V11" i="132"/>
  <c r="W11" i="132" s="1"/>
  <c r="U11" i="132"/>
  <c r="S16" i="133"/>
  <c r="V31" i="123"/>
  <c r="U31" i="123"/>
  <c r="U11" i="118"/>
  <c r="O16" i="133"/>
  <c r="W12" i="133"/>
  <c r="U12" i="133"/>
  <c r="U11" i="123"/>
  <c r="U15" i="121"/>
  <c r="V15" i="121"/>
  <c r="O16" i="132"/>
  <c r="W12" i="119"/>
  <c r="U12" i="119"/>
  <c r="R20" i="131"/>
  <c r="U16" i="121"/>
  <c r="V16" i="121"/>
  <c r="W16" i="121" s="1"/>
  <c r="N20" i="131"/>
  <c r="U12" i="118"/>
  <c r="Q36" i="120"/>
  <c r="O35" i="123"/>
  <c r="S36" i="119"/>
  <c r="S35" i="123"/>
  <c r="Q34" i="121"/>
  <c r="M36" i="120"/>
  <c r="M35" i="123"/>
  <c r="S14" i="118"/>
  <c r="O36" i="119"/>
  <c r="Q14" i="118"/>
  <c r="V12" i="120"/>
  <c r="W12" i="120" s="1"/>
  <c r="M12" i="127"/>
  <c r="M12" i="124"/>
  <c r="Q35" i="123"/>
  <c r="S34" i="121"/>
  <c r="N10" i="119"/>
  <c r="M36" i="119"/>
  <c r="Q36" i="119"/>
  <c r="O14" i="118"/>
  <c r="M14" i="118"/>
  <c r="M34" i="121"/>
  <c r="T14" i="135" l="1"/>
  <c r="U14" i="135" s="1"/>
  <c r="V21" i="123"/>
  <c r="W21" i="123" s="1"/>
  <c r="W20" i="123" s="1"/>
  <c r="U15" i="131"/>
  <c r="V15" i="131" s="1"/>
  <c r="W15" i="131" s="1"/>
  <c r="U13" i="123"/>
  <c r="U12" i="123" s="1"/>
  <c r="S16" i="135"/>
  <c r="V16" i="135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T12" i="135"/>
  <c r="U12" i="135" s="1"/>
  <c r="V12" i="135" s="1"/>
  <c r="X35" i="120"/>
  <c r="X27" i="123"/>
  <c r="T11" i="135"/>
  <c r="U11" i="135" s="1"/>
  <c r="V11" i="135" s="1"/>
  <c r="U19" i="120"/>
  <c r="X19" i="120" s="1"/>
  <c r="X17" i="123"/>
  <c r="U33" i="120"/>
  <c r="X33" i="120" s="1"/>
  <c r="T12" i="131"/>
  <c r="W12" i="131" s="1"/>
  <c r="S20" i="135"/>
  <c r="V20" i="135" s="1"/>
  <c r="X10" i="124"/>
  <c r="X12" i="133"/>
  <c r="X13" i="133"/>
  <c r="X34" i="120"/>
  <c r="X22" i="123"/>
  <c r="X19" i="121"/>
  <c r="X14" i="121"/>
  <c r="X11" i="121"/>
  <c r="X18" i="121"/>
  <c r="X10" i="121"/>
  <c r="X21" i="120"/>
  <c r="W16" i="131"/>
  <c r="X20" i="120"/>
  <c r="W10" i="131"/>
  <c r="X17" i="120"/>
  <c r="S18" i="135"/>
  <c r="V18" i="135" s="1"/>
  <c r="W11" i="131"/>
  <c r="X14" i="133"/>
  <c r="X27" i="121"/>
  <c r="X29" i="123"/>
  <c r="X16" i="119"/>
  <c r="U25" i="121"/>
  <c r="V10" i="134"/>
  <c r="U10" i="134"/>
  <c r="T14" i="134"/>
  <c r="W26" i="121"/>
  <c r="W25" i="121" s="1"/>
  <c r="V25" i="121"/>
  <c r="V10" i="135"/>
  <c r="X18" i="119"/>
  <c r="X15" i="120"/>
  <c r="X16" i="120"/>
  <c r="X14" i="120"/>
  <c r="X14" i="119"/>
  <c r="X15" i="133"/>
  <c r="W17" i="131"/>
  <c r="W13" i="123"/>
  <c r="W12" i="123" s="1"/>
  <c r="V12" i="123"/>
  <c r="X11" i="133"/>
  <c r="V15" i="135"/>
  <c r="X18" i="120"/>
  <c r="U14" i="123"/>
  <c r="U20" i="123"/>
  <c r="V17" i="135"/>
  <c r="W15" i="123"/>
  <c r="W14" i="123" s="1"/>
  <c r="V14" i="123"/>
  <c r="V20" i="123"/>
  <c r="N21" i="135"/>
  <c r="V14" i="135"/>
  <c r="V13" i="135"/>
  <c r="W14" i="131"/>
  <c r="X11" i="132"/>
  <c r="X13" i="121"/>
  <c r="X10" i="132"/>
  <c r="X31" i="119"/>
  <c r="X12" i="132"/>
  <c r="X32" i="119"/>
  <c r="X19" i="123"/>
  <c r="X13" i="132"/>
  <c r="P28" i="121"/>
  <c r="U16" i="123"/>
  <c r="X12" i="121"/>
  <c r="X17" i="121"/>
  <c r="W18" i="123"/>
  <c r="W16" i="123" s="1"/>
  <c r="V16" i="123"/>
  <c r="X14" i="132"/>
  <c r="W15" i="121"/>
  <c r="X15" i="121" s="1"/>
  <c r="V9" i="121"/>
  <c r="U9" i="121"/>
  <c r="X16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6" i="133"/>
  <c r="V11" i="120"/>
  <c r="X12" i="119"/>
  <c r="W28" i="123"/>
  <c r="V28" i="123"/>
  <c r="O20" i="131"/>
  <c r="R16" i="132"/>
  <c r="V17" i="119"/>
  <c r="U17" i="119"/>
  <c r="P16" i="132"/>
  <c r="U28" i="123"/>
  <c r="V12" i="118"/>
  <c r="W12" i="118" s="1"/>
  <c r="X12" i="118" s="1"/>
  <c r="U11" i="119"/>
  <c r="V11" i="119"/>
  <c r="V34" i="119"/>
  <c r="U34" i="119"/>
  <c r="U33" i="119" s="1"/>
  <c r="N35" i="123"/>
  <c r="U12" i="120"/>
  <c r="P10" i="119"/>
  <c r="N36" i="119"/>
  <c r="U21" i="119"/>
  <c r="U20" i="119" s="1"/>
  <c r="V21" i="119"/>
  <c r="U15" i="119"/>
  <c r="N34" i="121"/>
  <c r="N12" i="127"/>
  <c r="U30" i="119"/>
  <c r="U29" i="119" s="1"/>
  <c r="V30" i="119"/>
  <c r="V29" i="119" s="1"/>
  <c r="N14" i="118"/>
  <c r="N12" i="124"/>
  <c r="U32" i="121"/>
  <c r="U31" i="121" s="1"/>
  <c r="V32" i="121"/>
  <c r="X26" i="121" l="1"/>
  <c r="X25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1" i="135"/>
  <c r="X13" i="123"/>
  <c r="X12" i="123" s="1"/>
  <c r="X18" i="123"/>
  <c r="X16" i="123" s="1"/>
  <c r="R28" i="121"/>
  <c r="W9" i="121"/>
  <c r="W11" i="120"/>
  <c r="X9" i="121"/>
  <c r="W34" i="119"/>
  <c r="W33" i="119" s="1"/>
  <c r="V33" i="119"/>
  <c r="U13" i="120"/>
  <c r="V13" i="120"/>
  <c r="W13" i="120" s="1"/>
  <c r="U11" i="120"/>
  <c r="R16" i="133"/>
  <c r="X31" i="123"/>
  <c r="X30" i="123" s="1"/>
  <c r="X28" i="123"/>
  <c r="U13" i="119"/>
  <c r="W17" i="119"/>
  <c r="T16" i="132"/>
  <c r="Q20" i="131"/>
  <c r="W13" i="119"/>
  <c r="V13" i="119"/>
  <c r="W32" i="121"/>
  <c r="W31" i="121" s="1"/>
  <c r="V31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4" i="121"/>
  <c r="P35" i="123"/>
  <c r="R10" i="119"/>
  <c r="P36" i="119"/>
  <c r="X10" i="134" l="1"/>
  <c r="X9" i="134" s="1"/>
  <c r="X14" i="134" s="1"/>
  <c r="T9" i="135"/>
  <c r="S9" i="135"/>
  <c r="R21" i="135"/>
  <c r="T28" i="121"/>
  <c r="V29" i="121"/>
  <c r="U29" i="121"/>
  <c r="X11" i="120"/>
  <c r="X34" i="119"/>
  <c r="X33" i="119" s="1"/>
  <c r="X13" i="120"/>
  <c r="T16" i="133"/>
  <c r="X17" i="119"/>
  <c r="X32" i="121"/>
  <c r="X31" i="121" s="1"/>
  <c r="V16" i="132"/>
  <c r="W16" i="132"/>
  <c r="U16" i="132"/>
  <c r="S20" i="131"/>
  <c r="X13" i="119"/>
  <c r="X15" i="119"/>
  <c r="X21" i="119"/>
  <c r="X20" i="119" s="1"/>
  <c r="X30" i="119"/>
  <c r="X29" i="119" s="1"/>
  <c r="X11" i="119"/>
  <c r="R34" i="121"/>
  <c r="R35" i="123"/>
  <c r="R12" i="127"/>
  <c r="R14" i="118"/>
  <c r="R36" i="119"/>
  <c r="T10" i="119"/>
  <c r="R12" i="124"/>
  <c r="S21" i="135" l="1"/>
  <c r="T21" i="135"/>
  <c r="U9" i="135"/>
  <c r="U21" i="135" s="1"/>
  <c r="V28" i="121"/>
  <c r="V34" i="121" s="1"/>
  <c r="W29" i="121"/>
  <c r="W28" i="121" s="1"/>
  <c r="U28" i="121"/>
  <c r="U34" i="121" s="1"/>
  <c r="W16" i="133"/>
  <c r="V16" i="133"/>
  <c r="U16" i="133"/>
  <c r="X16" i="132"/>
  <c r="V20" i="131"/>
  <c r="U20" i="131"/>
  <c r="T20" i="131"/>
  <c r="U10" i="127"/>
  <c r="V10" i="127"/>
  <c r="T12" i="127"/>
  <c r="V10" i="119"/>
  <c r="V9" i="119" s="1"/>
  <c r="V36" i="119" s="1"/>
  <c r="T36" i="119"/>
  <c r="U10" i="119"/>
  <c r="U9" i="119" s="1"/>
  <c r="U36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4" i="121"/>
  <c r="V9" i="135" l="1"/>
  <c r="V21" i="135" s="1"/>
  <c r="X29" i="121"/>
  <c r="X28" i="121" s="1"/>
  <c r="X16" i="133"/>
  <c r="W20" i="131"/>
  <c r="W34" i="121"/>
  <c r="V12" i="124"/>
  <c r="W12" i="124"/>
  <c r="U12" i="127"/>
  <c r="V12" i="127"/>
  <c r="W10" i="127"/>
  <c r="W12" i="127" s="1"/>
  <c r="U12" i="124"/>
  <c r="W10" i="119"/>
  <c r="W9" i="119" s="1"/>
  <c r="W36" i="119" s="1"/>
  <c r="W9" i="123"/>
  <c r="W35" i="123" s="1"/>
  <c r="W10" i="118"/>
  <c r="W14" i="118" s="1"/>
  <c r="X12" i="124" l="1"/>
  <c r="X34" i="121"/>
  <c r="X10" i="127"/>
  <c r="X12" i="127" s="1"/>
  <c r="X10" i="119"/>
  <c r="X9" i="119" s="1"/>
  <c r="X36" i="119" s="1"/>
  <c r="X9" i="123"/>
  <c r="X35" i="123" s="1"/>
  <c r="X10" i="118"/>
  <c r="X14" i="118" s="1"/>
  <c r="H36" i="120"/>
  <c r="G9" i="120"/>
  <c r="J9" i="120"/>
  <c r="S36" i="120" l="1"/>
  <c r="O36" i="120"/>
  <c r="L36" i="120"/>
  <c r="N36" i="120"/>
  <c r="J36" i="120"/>
  <c r="P36" i="120" l="1"/>
  <c r="R36" i="120" l="1"/>
  <c r="T36" i="120" l="1"/>
  <c r="U9" i="120" l="1"/>
  <c r="U36" i="120" s="1"/>
  <c r="V9" i="120"/>
  <c r="W9" i="120" s="1"/>
  <c r="W36" i="120" s="1"/>
  <c r="V36" i="120" l="1"/>
  <c r="X9" i="120"/>
  <c r="X36" i="120" s="1"/>
</calcChain>
</file>

<file path=xl/sharedStrings.xml><?xml version="1.0" encoding="utf-8"?>
<sst xmlns="http://schemas.openxmlformats.org/spreadsheetml/2006/main" count="1305" uniqueCount="377">
  <si>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</si>
  <si>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</si>
  <si>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</si>
  <si>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</si>
  <si>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</si>
  <si>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</si>
  <si>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</si>
  <si>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</si>
  <si>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</si>
  <si>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</si>
  <si>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</si>
  <si>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</si>
  <si>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</si>
  <si>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</si>
  <si>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</si>
  <si>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</si>
  <si>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</si>
  <si>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</si>
  <si>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</si>
  <si>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</si>
  <si>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</si>
  <si>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</si>
  <si>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</si>
  <si>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</si>
  <si>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</si>
  <si>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</si>
  <si>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</si>
  <si>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</si>
  <si>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</si>
  <si>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</si>
  <si>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</si>
  <si>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</si>
  <si>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</si>
  <si>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</si>
  <si>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</si>
  <si>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</si>
  <si>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</si>
  <si>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</si>
  <si>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</si>
  <si>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</si>
  <si>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</si>
  <si>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</si>
  <si>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</si>
  <si>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</si>
  <si>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</si>
  <si>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</si>
  <si>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</si>
  <si>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</si>
  <si>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</si>
  <si>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</si>
  <si>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</si>
  <si>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</si>
  <si>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</si>
  <si>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</si>
  <si>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</si>
  <si>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</si>
  <si>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</si>
  <si>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</si>
  <si>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</si>
  <si>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</si>
  <si>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</si>
  <si>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</si>
  <si>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</si>
  <si>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</si>
  <si>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</si>
  <si>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</si>
  <si>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</si>
  <si>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</si>
  <si>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</si>
  <si>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</si>
  <si>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</si>
  <si>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</si>
  <si>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</si>
  <si>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</si>
  <si>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</si>
  <si>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</si>
  <si>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</si>
  <si>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</si>
  <si>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</si>
  <si>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</si>
  <si>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</si>
  <si>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</si>
  <si>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</si>
  <si>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</si>
  <si>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</si>
  <si>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</si>
  <si>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</si>
  <si>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</si>
  <si>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</si>
  <si>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</si>
  <si>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</si>
  <si>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</si>
  <si>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</si>
  <si>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</si>
  <si>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</si>
  <si>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</si>
  <si>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</si>
  <si>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</si>
  <si>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</si>
  <si>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</si>
  <si>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</si>
  <si>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</si>
  <si>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</si>
  <si>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</si>
  <si>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</si>
  <si>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</si>
  <si>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</si>
  <si>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</si>
  <si>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</si>
  <si>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</si>
  <si>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</si>
  <si>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</si>
  <si>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</si>
  <si>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</si>
  <si>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</si>
  <si>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</si>
  <si>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</si>
  <si>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</si>
  <si>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</si>
  <si>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</si>
  <si>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</si>
  <si>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</si>
  <si>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</si>
  <si>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</si>
  <si>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</si>
  <si>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</si>
  <si>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</si>
  <si>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</si>
  <si>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</si>
  <si>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</si>
  <si>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</si>
  <si>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</si>
  <si>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</si>
  <si>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</si>
  <si>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</si>
  <si>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</si>
  <si>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</si>
  <si>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</si>
  <si>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</si>
  <si>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</si>
  <si>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</si>
  <si>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</si>
  <si>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025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</si>
  <si>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</si>
  <si>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</si>
  <si>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</si>
  <si>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</si>
  <si>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</si>
  <si>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</si>
  <si>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</si>
  <si>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</si>
  <si>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</si>
  <si>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</si>
  <si>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</si>
  <si>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</si>
  <si>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</si>
  <si>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</si>
  <si>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</si>
  <si>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</si>
  <si>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</si>
  <si>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</si>
  <si>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</si>
  <si>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</si>
  <si>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</si>
  <si>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</si>
  <si>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</si>
  <si>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</si>
  <si>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</si>
  <si>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</si>
  <si>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</si>
  <si>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</si>
  <si>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</si>
  <si>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</si>
  <si>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</si>
  <si>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</si>
  <si>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</si>
  <si>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</si>
  <si>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</si>
  <si>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</si>
  <si>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</si>
  <si>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</si>
  <si>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</si>
  <si>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</si>
  <si>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</si>
  <si>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</si>
  <si>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</si>
  <si>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</si>
  <si>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</si>
  <si>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</si>
  <si>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</si>
  <si>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</si>
  <si>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</si>
  <si>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</si>
  <si>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</si>
  <si>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</si>
  <si>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</si>
  <si>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</si>
  <si>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</si>
  <si>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</si>
  <si>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</si>
  <si>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</si>
  <si>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</si>
  <si>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</si>
  <si>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</si>
  <si>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</si>
  <si>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</si>
  <si>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</si>
  <si>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</si>
  <si>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</si>
  <si>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</si>
  <si>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</si>
  <si>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</si>
  <si>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</si>
  <si>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</si>
  <si>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</si>
  <si>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</si>
  <si>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</si>
  <si>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</si>
  <si>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</si>
  <si>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</si>
  <si>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</si>
  <si>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</si>
  <si>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</si>
  <si>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</si>
  <si>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</si>
  <si>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</si>
  <si>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</si>
  <si>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</si>
  <si>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</si>
  <si>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</si>
  <si>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</si>
  <si>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</si>
  <si>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</si>
  <si>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</si>
  <si>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</si>
  <si>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</si>
  <si>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</si>
  <si>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</si>
  <si>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</si>
  <si>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</si>
  <si>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</si>
  <si>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</si>
  <si>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</si>
  <si>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</si>
  <si>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</si>
  <si>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</si>
  <si>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</si>
  <si>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</si>
  <si>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</si>
  <si>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</si>
  <si>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</si>
  <si>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</si>
  <si>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</si>
  <si>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</si>
  <si>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</si>
  <si>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</si>
  <si>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</si>
  <si>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</si>
  <si>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</si>
  <si>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</si>
  <si>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</si>
  <si>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</si>
  <si>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</si>
  <si>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</si>
  <si>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</si>
  <si>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</si>
  <si>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</si>
  <si>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</si>
  <si>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</si>
  <si>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</si>
  <si>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</si>
  <si>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</si>
  <si>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</si>
  <si>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</si>
  <si>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</si>
  <si>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</si>
  <si>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</si>
  <si>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</si>
  <si>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</si>
  <si>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</si>
  <si>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</si>
  <si>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</si>
  <si>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</si>
  <si>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</si>
  <si>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</si>
  <si>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</si>
  <si>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</si>
  <si>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</si>
  <si>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</si>
  <si>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</si>
  <si>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</si>
  <si>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</si>
  <si>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</si>
  <si>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</si>
  <si>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</si>
  <si>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</si>
  <si>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</si>
  <si>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</si>
  <si>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</si>
  <si>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</si>
  <si>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</si>
  <si>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</si>
  <si>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</si>
  <si>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</si>
  <si>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</si>
  <si>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</si>
  <si>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</si>
  <si>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</si>
  <si>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</si>
  <si>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</si>
  <si>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</si>
  <si>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</si>
  <si>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</si>
  <si>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</si>
  <si>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</si>
  <si>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</si>
  <si>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</si>
  <si>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</si>
  <si>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</si>
  <si>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</si>
  <si>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</si>
  <si>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</si>
  <si>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</si>
  <si>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</si>
  <si>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</si>
  <si>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</si>
  <si>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</si>
  <si>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</si>
  <si>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</si>
  <si>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</si>
  <si>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</si>
  <si>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</si>
  <si>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</si>
  <si>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</si>
  <si>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</si>
  <si>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</si>
  <si>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</si>
  <si>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</si>
  <si>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</si>
  <si>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</si>
  <si>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</si>
  <si>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</si>
  <si>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</si>
  <si>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</si>
  <si>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</si>
  <si>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</si>
  <si>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</si>
  <si>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</si>
  <si>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</si>
  <si>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</si>
  <si>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</si>
  <si>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</si>
  <si>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</si>
  <si>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</si>
  <si>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</si>
  <si>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</si>
  <si>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</si>
  <si>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</si>
  <si>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</si>
  <si>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</si>
  <si>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</si>
  <si>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</si>
  <si>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</si>
  <si>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</si>
  <si>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</si>
  <si>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237</t>
  </si>
  <si>
    <t>ABRAHAM CASTRO CASTRO</t>
  </si>
  <si>
    <t>239</t>
  </si>
  <si>
    <t>ENCARGADO DEL DEPORTE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</si>
  <si>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</si>
  <si>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</si>
  <si>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</si>
  <si>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</si>
  <si>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</si>
  <si>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</si>
  <si>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</si>
  <si>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SUELDO  DEL 01 AL 15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</si>
</sst>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34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49" fontId="32" fillId="0" borderId="20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22</xdr:row>
      <xdr:rowOff>142875</xdr:rowOff>
    </xdr:from>
    <xdr:to>
      <xdr:col>3</xdr:col>
      <xdr:colOff>1369218</xdr:colOff>
      <xdr:row>26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372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89" t="s">
        <v>11</v>
      </c>
      <c r="C7" s="289"/>
      <c r="D7" s="289"/>
      <c r="E7" s="7"/>
      <c r="F7" s="282" t="s">
        <v>50</v>
      </c>
      <c r="G7" s="283"/>
    </row>
    <row r="8" spans="1:7" ht="14.25" customHeight="1" x14ac:dyDescent="0.2">
      <c r="B8" s="286" t="s">
        <v>10</v>
      </c>
      <c r="C8" s="286"/>
      <c r="D8" s="286"/>
      <c r="E8" s="7"/>
      <c r="F8" s="287" t="s">
        <v>51</v>
      </c>
      <c r="G8" s="288"/>
    </row>
    <row r="9" spans="1:7" ht="8.25" customHeight="1" x14ac:dyDescent="0.2">
      <c r="B9" s="290"/>
      <c r="C9" s="290"/>
      <c r="D9" s="290"/>
      <c r="E9" s="7"/>
      <c r="F9" s="284"/>
      <c r="G9" s="285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373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82" t="s">
        <v>55</v>
      </c>
      <c r="G44" s="283"/>
    </row>
    <row r="45" spans="2:7" x14ac:dyDescent="0.2">
      <c r="E45" s="7"/>
      <c r="F45" s="287" t="s">
        <v>56</v>
      </c>
      <c r="G45" s="288"/>
    </row>
    <row r="46" spans="2:7" ht="5.25" customHeight="1" x14ac:dyDescent="0.2">
      <c r="E46" s="7"/>
      <c r="F46" s="284"/>
      <c r="G46" s="285"/>
    </row>
    <row r="47" spans="2:7" x14ac:dyDescent="0.2">
      <c r="B47" s="289" t="s">
        <v>11</v>
      </c>
      <c r="C47" s="289"/>
      <c r="D47" s="289"/>
      <c r="E47" s="7"/>
      <c r="F47" s="9" t="s">
        <v>17</v>
      </c>
      <c r="G47" s="9" t="s">
        <v>18</v>
      </c>
    </row>
    <row r="48" spans="2:7" x14ac:dyDescent="0.2">
      <c r="B48" s="286" t="s">
        <v>10</v>
      </c>
      <c r="C48" s="286"/>
      <c r="D48" s="286"/>
      <c r="E48" s="7"/>
      <c r="F48" s="9"/>
      <c r="G48" s="9" t="s">
        <v>19</v>
      </c>
    </row>
    <row r="49" spans="2:7" x14ac:dyDescent="0.2">
      <c r="B49" s="290"/>
      <c r="C49" s="290"/>
      <c r="D49" s="290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5" t="s">
        <v>1</v>
      </c>
      <c r="I6" s="306"/>
      <c r="J6" s="307"/>
      <c r="K6" s="24" t="s">
        <v>26</v>
      </c>
      <c r="L6" s="25"/>
      <c r="M6" s="308" t="s">
        <v>9</v>
      </c>
      <c r="N6" s="309"/>
      <c r="O6" s="309"/>
      <c r="P6" s="309"/>
      <c r="Q6" s="309"/>
      <c r="R6" s="310"/>
      <c r="S6" s="24" t="s">
        <v>30</v>
      </c>
      <c r="T6" s="24" t="s">
        <v>10</v>
      </c>
      <c r="U6" s="23" t="s">
        <v>54</v>
      </c>
      <c r="V6" s="311" t="s">
        <v>2</v>
      </c>
      <c r="W6" s="312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87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101</v>
      </c>
      <c r="B10" s="138" t="s">
        <v>282</v>
      </c>
      <c r="C10" s="62" t="s">
        <v>147</v>
      </c>
      <c r="D10" s="166" t="s">
        <v>230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291" t="s">
        <v>45</v>
      </c>
      <c r="B12" s="292"/>
      <c r="C12" s="292"/>
      <c r="D12" s="292"/>
      <c r="E12" s="292"/>
      <c r="F12" s="292"/>
      <c r="G12" s="293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294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295</v>
      </c>
      <c r="W23" s="188"/>
      <c r="X23" s="188"/>
      <c r="Y23" s="188"/>
    </row>
    <row r="24" spans="4:37" ht="15" x14ac:dyDescent="0.25">
      <c r="D24" s="193" t="s">
        <v>236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253</v>
      </c>
      <c r="W24" s="188"/>
      <c r="X24" s="188"/>
      <c r="Y24" s="188"/>
    </row>
    <row r="25" spans="4:37" ht="15" x14ac:dyDescent="0.25">
      <c r="D25" s="193" t="s">
        <v>296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99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5" t="s">
        <v>1</v>
      </c>
      <c r="I6" s="306"/>
      <c r="J6" s="307"/>
      <c r="K6" s="24" t="s">
        <v>26</v>
      </c>
      <c r="L6" s="25"/>
      <c r="M6" s="308" t="s">
        <v>9</v>
      </c>
      <c r="N6" s="309"/>
      <c r="O6" s="309"/>
      <c r="P6" s="309"/>
      <c r="Q6" s="309"/>
      <c r="R6" s="310"/>
      <c r="S6" s="24" t="s">
        <v>30</v>
      </c>
      <c r="T6" s="24" t="s">
        <v>10</v>
      </c>
      <c r="U6" s="23" t="s">
        <v>54</v>
      </c>
      <c r="V6" s="311" t="s">
        <v>2</v>
      </c>
      <c r="W6" s="312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149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102</v>
      </c>
      <c r="B10" s="62" t="s">
        <v>151</v>
      </c>
      <c r="C10" s="62" t="s">
        <v>147</v>
      </c>
      <c r="D10" s="176" t="s">
        <v>152</v>
      </c>
      <c r="E10" s="166" t="s">
        <v>150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103</v>
      </c>
      <c r="B11" s="62" t="s">
        <v>153</v>
      </c>
      <c r="C11" s="62" t="s">
        <v>147</v>
      </c>
      <c r="D11" s="176" t="s">
        <v>154</v>
      </c>
      <c r="E11" s="166" t="s">
        <v>150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4" si="0">IF(H11/15&lt;=123.22,I11,I11/2)</f>
        <v>0</v>
      </c>
      <c r="L11" s="172">
        <f t="shared" ref="L11:L14" si="1">H11+K11</f>
        <v>3618.48</v>
      </c>
      <c r="M11" s="172">
        <f>VLOOKUP(L11,Tarifa1,1)</f>
        <v>2422.81</v>
      </c>
      <c r="N11" s="172">
        <f t="shared" ref="N11:N14" si="2">L11-M11</f>
        <v>1195.67</v>
      </c>
      <c r="O11" s="173">
        <f>VLOOKUP(L11,Tarifa1,3)</f>
        <v>0.10879999999999999</v>
      </c>
      <c r="P11" s="172">
        <f t="shared" ref="P11:P14" si="3">N11*O11</f>
        <v>130.08889600000001</v>
      </c>
      <c r="Q11" s="174">
        <f>VLOOKUP(L11,Tarifa1,2)</f>
        <v>142.19999999999999</v>
      </c>
      <c r="R11" s="172">
        <f t="shared" ref="R11:R14" si="4">P11+Q11</f>
        <v>272.28889600000002</v>
      </c>
      <c r="S11" s="172">
        <f>VLOOKUP(L11,Credito1,2)</f>
        <v>107.4</v>
      </c>
      <c r="T11" s="172">
        <f t="shared" ref="T11:T14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286</v>
      </c>
      <c r="C12" s="62" t="s">
        <v>147</v>
      </c>
      <c r="D12" s="211" t="s">
        <v>232</v>
      </c>
      <c r="E12" s="166" t="s">
        <v>150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12"/>
      <c r="B13" s="213">
        <v>185</v>
      </c>
      <c r="C13" s="62" t="s">
        <v>147</v>
      </c>
      <c r="D13" s="214" t="s">
        <v>231</v>
      </c>
      <c r="E13" s="166" t="s">
        <v>150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s="188" customFormat="1" ht="69.95" customHeight="1" x14ac:dyDescent="0.2">
      <c r="A14" s="202"/>
      <c r="B14" s="213">
        <v>188</v>
      </c>
      <c r="C14" s="62" t="s">
        <v>147</v>
      </c>
      <c r="D14" s="214" t="s">
        <v>293</v>
      </c>
      <c r="E14" s="166" t="s">
        <v>150</v>
      </c>
      <c r="F14" s="167">
        <v>7</v>
      </c>
      <c r="G14" s="168">
        <v>208.2</v>
      </c>
      <c r="H14" s="169">
        <v>3618.48</v>
      </c>
      <c r="I14" s="170">
        <v>0</v>
      </c>
      <c r="J14" s="171">
        <f>SUM(H14:I14)</f>
        <v>3618.48</v>
      </c>
      <c r="K14" s="172">
        <f t="shared" si="0"/>
        <v>0</v>
      </c>
      <c r="L14" s="172">
        <f t="shared" si="1"/>
        <v>3618.48</v>
      </c>
      <c r="M14" s="172">
        <f>VLOOKUP(L14,Tarifa1,1)</f>
        <v>2422.81</v>
      </c>
      <c r="N14" s="172">
        <f t="shared" si="2"/>
        <v>1195.67</v>
      </c>
      <c r="O14" s="173">
        <f>VLOOKUP(L14,Tarifa1,3)</f>
        <v>0.10879999999999999</v>
      </c>
      <c r="P14" s="172">
        <f t="shared" si="3"/>
        <v>130.08889600000001</v>
      </c>
      <c r="Q14" s="174">
        <f>VLOOKUP(L14,Tarifa1,2)</f>
        <v>142.19999999999999</v>
      </c>
      <c r="R14" s="172">
        <f t="shared" si="4"/>
        <v>272.28889600000002</v>
      </c>
      <c r="S14" s="172">
        <f>VLOOKUP(L14,Credito1,2)</f>
        <v>107.4</v>
      </c>
      <c r="T14" s="172">
        <f t="shared" si="5"/>
        <v>164.88889600000002</v>
      </c>
      <c r="U14" s="171">
        <f>-IF(T14&gt;0,0,T14)</f>
        <v>0</v>
      </c>
      <c r="V14" s="175">
        <f>IF(T14&lt;0,0,T14)</f>
        <v>164.88889600000002</v>
      </c>
      <c r="W14" s="171">
        <f>SUM(V14:V14)</f>
        <v>164.88889600000002</v>
      </c>
      <c r="X14" s="171">
        <f>J14+U14-W14</f>
        <v>3453.5911040000001</v>
      </c>
      <c r="Y14" s="187"/>
    </row>
    <row r="15" spans="1:25" x14ac:dyDescent="0.2">
      <c r="A15" s="56"/>
      <c r="B15" s="56"/>
      <c r="C15" s="56"/>
      <c r="D15" s="56"/>
      <c r="E15" s="56"/>
      <c r="F15" s="57"/>
      <c r="G15" s="56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291" t="s">
        <v>45</v>
      </c>
      <c r="B16" s="292"/>
      <c r="C16" s="292"/>
      <c r="D16" s="292"/>
      <c r="E16" s="292"/>
      <c r="F16" s="292"/>
      <c r="G16" s="293"/>
      <c r="H16" s="39">
        <f>SUM(H10:H15)</f>
        <v>18092.400000000001</v>
      </c>
      <c r="I16" s="39">
        <f>SUM(I10:I15)</f>
        <v>0</v>
      </c>
      <c r="J16" s="39">
        <f>SUM(J10:J15)</f>
        <v>18092.400000000001</v>
      </c>
      <c r="K16" s="40">
        <f t="shared" ref="K16:T16" si="6">SUM(K10:K15)</f>
        <v>0</v>
      </c>
      <c r="L16" s="40">
        <f t="shared" si="6"/>
        <v>18092.400000000001</v>
      </c>
      <c r="M16" s="40">
        <f t="shared" si="6"/>
        <v>12114.05</v>
      </c>
      <c r="N16" s="40">
        <f t="shared" si="6"/>
        <v>5978.35</v>
      </c>
      <c r="O16" s="40">
        <f t="shared" si="6"/>
        <v>0.54399999999999993</v>
      </c>
      <c r="P16" s="40">
        <f t="shared" si="6"/>
        <v>650.44448</v>
      </c>
      <c r="Q16" s="40">
        <f t="shared" si="6"/>
        <v>711</v>
      </c>
      <c r="R16" s="40">
        <f t="shared" si="6"/>
        <v>1361.4444800000001</v>
      </c>
      <c r="S16" s="40">
        <f t="shared" si="6"/>
        <v>537</v>
      </c>
      <c r="T16" s="40">
        <f t="shared" si="6"/>
        <v>824.44448000000011</v>
      </c>
      <c r="U16" s="39">
        <f>SUM(U10:U15)</f>
        <v>0</v>
      </c>
      <c r="V16" s="39">
        <f>SUM(V10:V15)</f>
        <v>824.44448000000011</v>
      </c>
      <c r="W16" s="39">
        <f>SUM(W10:W15)</f>
        <v>824.44448000000011</v>
      </c>
      <c r="X16" s="39">
        <f>SUM(X10:X15)</f>
        <v>17267.95552</v>
      </c>
    </row>
    <row r="17" spans="4:25" ht="13.5" thickTop="1" x14ac:dyDescent="0.2"/>
    <row r="25" spans="4:25" x14ac:dyDescent="0.2">
      <c r="D25" s="4" t="s">
        <v>255</v>
      </c>
      <c r="V25" s="4" t="s">
        <v>244</v>
      </c>
    </row>
    <row r="26" spans="4:25" x14ac:dyDescent="0.2">
      <c r="D26" s="78" t="s">
        <v>236</v>
      </c>
      <c r="H26" s="4"/>
      <c r="V26" s="78" t="s">
        <v>257</v>
      </c>
    </row>
    <row r="27" spans="4:25" x14ac:dyDescent="0.2">
      <c r="D27" s="51" t="s">
        <v>256</v>
      </c>
      <c r="E27" s="51"/>
      <c r="F27" s="51"/>
      <c r="G27" s="51"/>
      <c r="H27" s="51"/>
      <c r="I27" s="51"/>
      <c r="V27" s="51" t="s">
        <v>254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29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2.7109375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294" t="s">
        <v>93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4"/>
    </row>
    <row r="3" spans="1:25" ht="15" x14ac:dyDescent="0.2">
      <c r="A3" s="50" t="s">
        <v>354</v>
      </c>
      <c r="B3" s="295" t="s">
        <v>376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120"/>
      <c r="Y3" s="1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05" t="s">
        <v>1</v>
      </c>
      <c r="G5" s="306"/>
      <c r="H5" s="307"/>
      <c r="I5" s="24" t="s">
        <v>26</v>
      </c>
      <c r="J5" s="25"/>
      <c r="K5" s="308" t="s">
        <v>9</v>
      </c>
      <c r="L5" s="309"/>
      <c r="M5" s="309"/>
      <c r="N5" s="309"/>
      <c r="O5" s="309"/>
      <c r="P5" s="310"/>
      <c r="Q5" s="24" t="s">
        <v>30</v>
      </c>
      <c r="R5" s="24" t="s">
        <v>10</v>
      </c>
      <c r="S5" s="23" t="s">
        <v>54</v>
      </c>
      <c r="T5" s="311" t="s">
        <v>2</v>
      </c>
      <c r="U5" s="312"/>
      <c r="V5" s="23" t="s">
        <v>0</v>
      </c>
      <c r="W5" s="229"/>
      <c r="X5" s="4"/>
    </row>
    <row r="6" spans="1:25" ht="22.5" x14ac:dyDescent="0.2">
      <c r="A6" s="26" t="s">
        <v>21</v>
      </c>
      <c r="B6" s="61" t="s">
        <v>124</v>
      </c>
      <c r="C6" s="61" t="s">
        <v>148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171</v>
      </c>
      <c r="S7" s="26" t="s">
        <v>53</v>
      </c>
      <c r="T7" s="26"/>
      <c r="U7" s="26" t="s">
        <v>44</v>
      </c>
      <c r="V7" s="26" t="s">
        <v>5</v>
      </c>
      <c r="W7" s="230"/>
      <c r="X7" s="4"/>
    </row>
    <row r="8" spans="1:25" ht="28.5" customHeight="1" x14ac:dyDescent="0.25">
      <c r="A8" s="47"/>
      <c r="B8" s="216"/>
      <c r="C8" s="216"/>
      <c r="D8" s="45" t="s">
        <v>62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197"/>
      <c r="X8" s="4"/>
    </row>
    <row r="9" spans="1:25" ht="72" customHeight="1" x14ac:dyDescent="0.2">
      <c r="A9" s="237" t="s">
        <v>101</v>
      </c>
      <c r="B9" s="238" t="s">
        <v>190</v>
      </c>
      <c r="C9" s="238" t="s">
        <v>147</v>
      </c>
      <c r="D9" s="239" t="s">
        <v>73</v>
      </c>
      <c r="E9" s="240">
        <v>15</v>
      </c>
      <c r="F9" s="241">
        <v>9346.8799999999992</v>
      </c>
      <c r="G9" s="242">
        <v>0</v>
      </c>
      <c r="H9" s="243">
        <f t="shared" ref="H9:H15" si="0">SUM(F9:G9)</f>
        <v>9346.8799999999992</v>
      </c>
      <c r="I9" s="244">
        <f>IF(F9/15&lt;=123.22,G9,G9/2)</f>
        <v>0</v>
      </c>
      <c r="J9" s="244">
        <f>F9+I9</f>
        <v>9346.8799999999992</v>
      </c>
      <c r="K9" s="244">
        <f t="shared" ref="K9:K20" si="1">VLOOKUP(J9,Tarifa1,1)</f>
        <v>5925.91</v>
      </c>
      <c r="L9" s="244">
        <f>J9-K9</f>
        <v>3420.9699999999993</v>
      </c>
      <c r="M9" s="245">
        <f t="shared" ref="M9:M20" si="2">VLOOKUP(J9,Tarifa1,3)</f>
        <v>0.21360000000000001</v>
      </c>
      <c r="N9" s="244">
        <f>L9*M9</f>
        <v>730.71919199999991</v>
      </c>
      <c r="O9" s="246">
        <f t="shared" ref="O9:O20" si="3">VLOOKUP(J9,Tarifa1,2)</f>
        <v>627.6</v>
      </c>
      <c r="P9" s="244">
        <f>N9+O9</f>
        <v>1358.3191919999999</v>
      </c>
      <c r="Q9" s="244">
        <f t="shared" ref="Q9:Q20" si="4">VLOOKUP(J9,Credito1,2)</f>
        <v>0</v>
      </c>
      <c r="R9" s="244">
        <f>P9-Q9</f>
        <v>1358.3191919999999</v>
      </c>
      <c r="S9" s="243">
        <f t="shared" ref="S9:S11" si="5">-IF(R9&gt;0,0,R9)</f>
        <v>0</v>
      </c>
      <c r="T9" s="243">
        <f t="shared" ref="T9:T11" si="6">IF(R9&lt;0,0,R9)</f>
        <v>1358.3191919999999</v>
      </c>
      <c r="U9" s="243">
        <f>SUM(T9:T9)</f>
        <v>1358.3191919999999</v>
      </c>
      <c r="V9" s="243">
        <f>H9+S9-U9</f>
        <v>7988.5608079999993</v>
      </c>
      <c r="W9" s="121"/>
      <c r="X9" s="4"/>
    </row>
    <row r="10" spans="1:25" s="188" customFormat="1" ht="72" customHeight="1" x14ac:dyDescent="0.2">
      <c r="A10" s="237"/>
      <c r="B10" s="238" t="s">
        <v>330</v>
      </c>
      <c r="C10" s="238" t="s">
        <v>147</v>
      </c>
      <c r="D10" s="239" t="s">
        <v>95</v>
      </c>
      <c r="E10" s="240">
        <v>15</v>
      </c>
      <c r="F10" s="241">
        <v>7636.04</v>
      </c>
      <c r="G10" s="242">
        <v>0</v>
      </c>
      <c r="H10" s="243">
        <f t="shared" si="0"/>
        <v>7636.04</v>
      </c>
      <c r="I10" s="244">
        <f t="shared" ref="I10:I14" si="7">IF(F10/15&lt;=123.22,G10,G10/2)</f>
        <v>0</v>
      </c>
      <c r="J10" s="244">
        <f t="shared" ref="J10:J14" si="8">F10+I10</f>
        <v>7636.04</v>
      </c>
      <c r="K10" s="244">
        <f t="shared" si="1"/>
        <v>5925.91</v>
      </c>
      <c r="L10" s="244">
        <f t="shared" ref="L10:L14" si="9">J10-K10</f>
        <v>1710.13</v>
      </c>
      <c r="M10" s="245">
        <f t="shared" si="2"/>
        <v>0.21360000000000001</v>
      </c>
      <c r="N10" s="244">
        <f t="shared" ref="N10:N14" si="10">L10*M10</f>
        <v>365.28376800000007</v>
      </c>
      <c r="O10" s="246">
        <f t="shared" si="3"/>
        <v>627.6</v>
      </c>
      <c r="P10" s="244">
        <f t="shared" ref="P10:P14" si="11">N10+O10</f>
        <v>992.88376800000015</v>
      </c>
      <c r="Q10" s="244">
        <f t="shared" si="4"/>
        <v>0</v>
      </c>
      <c r="R10" s="244">
        <f t="shared" ref="R10:R14" si="12">P10-Q10</f>
        <v>992.88376800000015</v>
      </c>
      <c r="S10" s="243">
        <f t="shared" si="5"/>
        <v>0</v>
      </c>
      <c r="T10" s="243">
        <f t="shared" si="6"/>
        <v>992.88376800000015</v>
      </c>
      <c r="U10" s="243">
        <f>SUM(T10:T10)</f>
        <v>992.88376800000015</v>
      </c>
      <c r="V10" s="243">
        <f>H10+S10-U10</f>
        <v>6643.1562319999994</v>
      </c>
      <c r="W10" s="121"/>
      <c r="X10" s="4"/>
    </row>
    <row r="11" spans="1:25" s="188" customFormat="1" ht="72" customHeight="1" x14ac:dyDescent="0.2">
      <c r="A11" s="237"/>
      <c r="B11" s="238" t="s">
        <v>353</v>
      </c>
      <c r="C11" s="238" t="s">
        <v>147</v>
      </c>
      <c r="D11" s="239" t="s">
        <v>95</v>
      </c>
      <c r="E11" s="240">
        <v>15</v>
      </c>
      <c r="F11" s="241">
        <v>7636.04</v>
      </c>
      <c r="G11" s="242">
        <v>0</v>
      </c>
      <c r="H11" s="243">
        <f t="shared" si="0"/>
        <v>7636.04</v>
      </c>
      <c r="I11" s="244">
        <f t="shared" si="7"/>
        <v>0</v>
      </c>
      <c r="J11" s="244">
        <f t="shared" si="8"/>
        <v>7636.04</v>
      </c>
      <c r="K11" s="244">
        <f t="shared" si="1"/>
        <v>5925.91</v>
      </c>
      <c r="L11" s="244">
        <f t="shared" si="9"/>
        <v>1710.13</v>
      </c>
      <c r="M11" s="245">
        <f t="shared" si="2"/>
        <v>0.21360000000000001</v>
      </c>
      <c r="N11" s="244">
        <f t="shared" si="10"/>
        <v>365.28376800000007</v>
      </c>
      <c r="O11" s="246">
        <f t="shared" si="3"/>
        <v>627.6</v>
      </c>
      <c r="P11" s="244">
        <f t="shared" si="11"/>
        <v>992.88376800000015</v>
      </c>
      <c r="Q11" s="244">
        <f t="shared" si="4"/>
        <v>0</v>
      </c>
      <c r="R11" s="244">
        <f t="shared" si="12"/>
        <v>992.88376800000015</v>
      </c>
      <c r="S11" s="243">
        <f t="shared" si="5"/>
        <v>0</v>
      </c>
      <c r="T11" s="243">
        <f t="shared" si="6"/>
        <v>992.88376800000015</v>
      </c>
      <c r="U11" s="243">
        <f>SUM(T11:T11)</f>
        <v>992.88376800000015</v>
      </c>
      <c r="V11" s="243">
        <f>H11+S11-U11</f>
        <v>6643.1562319999994</v>
      </c>
      <c r="W11" s="121"/>
      <c r="X11" s="4"/>
    </row>
    <row r="12" spans="1:25" s="188" customFormat="1" ht="72" customHeight="1" x14ac:dyDescent="0.2">
      <c r="A12" s="267"/>
      <c r="B12" s="238" t="s">
        <v>130</v>
      </c>
      <c r="C12" s="238" t="s">
        <v>147</v>
      </c>
      <c r="D12" s="239" t="s">
        <v>96</v>
      </c>
      <c r="E12" s="240">
        <v>15</v>
      </c>
      <c r="F12" s="241">
        <v>6922.63</v>
      </c>
      <c r="G12" s="242">
        <v>0</v>
      </c>
      <c r="H12" s="243">
        <f t="shared" si="0"/>
        <v>6922.63</v>
      </c>
      <c r="I12" s="244">
        <f t="shared" si="7"/>
        <v>0</v>
      </c>
      <c r="J12" s="244">
        <f t="shared" si="8"/>
        <v>6922.63</v>
      </c>
      <c r="K12" s="244">
        <f t="shared" si="1"/>
        <v>5925.91</v>
      </c>
      <c r="L12" s="244">
        <f t="shared" si="9"/>
        <v>996.72000000000025</v>
      </c>
      <c r="M12" s="245">
        <f t="shared" si="2"/>
        <v>0.21360000000000001</v>
      </c>
      <c r="N12" s="244">
        <f t="shared" si="10"/>
        <v>212.89939200000006</v>
      </c>
      <c r="O12" s="246">
        <f t="shared" si="3"/>
        <v>627.6</v>
      </c>
      <c r="P12" s="244">
        <f t="shared" si="11"/>
        <v>840.49939200000006</v>
      </c>
      <c r="Q12" s="244">
        <f t="shared" si="4"/>
        <v>0</v>
      </c>
      <c r="R12" s="244">
        <f t="shared" si="12"/>
        <v>840.49939200000006</v>
      </c>
      <c r="S12" s="243">
        <f t="shared" ref="S12:S16" si="13">-IF(R12&gt;0,0,R12)</f>
        <v>0</v>
      </c>
      <c r="T12" s="243">
        <f t="shared" ref="T12:T16" si="14">IF(R12&lt;0,0,R12)</f>
        <v>840.49939200000006</v>
      </c>
      <c r="U12" s="243">
        <f>SUM(T12:T12)</f>
        <v>840.49939200000006</v>
      </c>
      <c r="V12" s="243">
        <f>H12+S12-U12</f>
        <v>6082.1306080000004</v>
      </c>
      <c r="W12" s="122"/>
      <c r="X12" s="4"/>
    </row>
    <row r="13" spans="1:25" s="188" customFormat="1" ht="72" customHeight="1" x14ac:dyDescent="0.2">
      <c r="A13" s="267"/>
      <c r="B13" s="238" t="s">
        <v>318</v>
      </c>
      <c r="C13" s="238" t="s">
        <v>147</v>
      </c>
      <c r="D13" s="239" t="s">
        <v>96</v>
      </c>
      <c r="E13" s="240">
        <v>15</v>
      </c>
      <c r="F13" s="241">
        <v>6922.63</v>
      </c>
      <c r="G13" s="242">
        <v>0</v>
      </c>
      <c r="H13" s="243">
        <f t="shared" si="0"/>
        <v>6922.63</v>
      </c>
      <c r="I13" s="244">
        <f t="shared" si="7"/>
        <v>0</v>
      </c>
      <c r="J13" s="244">
        <f t="shared" si="8"/>
        <v>6922.63</v>
      </c>
      <c r="K13" s="244">
        <f t="shared" si="1"/>
        <v>5925.91</v>
      </c>
      <c r="L13" s="244">
        <f t="shared" si="9"/>
        <v>996.72000000000025</v>
      </c>
      <c r="M13" s="245">
        <f t="shared" si="2"/>
        <v>0.21360000000000001</v>
      </c>
      <c r="N13" s="244">
        <f t="shared" si="10"/>
        <v>212.89939200000006</v>
      </c>
      <c r="O13" s="246">
        <f t="shared" si="3"/>
        <v>627.6</v>
      </c>
      <c r="P13" s="244">
        <f t="shared" si="11"/>
        <v>840.49939200000006</v>
      </c>
      <c r="Q13" s="244">
        <f t="shared" si="4"/>
        <v>0</v>
      </c>
      <c r="R13" s="244">
        <f t="shared" si="12"/>
        <v>840.49939200000006</v>
      </c>
      <c r="S13" s="243">
        <f t="shared" si="13"/>
        <v>0</v>
      </c>
      <c r="T13" s="243">
        <f t="shared" si="14"/>
        <v>840.49939200000006</v>
      </c>
      <c r="U13" s="243">
        <f>SUM(T13:T13)</f>
        <v>840.49939200000006</v>
      </c>
      <c r="V13" s="243">
        <f>H13+S13-U13</f>
        <v>6082.1306080000004</v>
      </c>
      <c r="W13" s="122"/>
      <c r="X13" s="4"/>
    </row>
    <row r="14" spans="1:25" s="188" customFormat="1" ht="72" customHeight="1" x14ac:dyDescent="0.2">
      <c r="A14" s="267"/>
      <c r="B14" s="238" t="s">
        <v>329</v>
      </c>
      <c r="C14" s="238" t="s">
        <v>147</v>
      </c>
      <c r="D14" s="239" t="s">
        <v>96</v>
      </c>
      <c r="E14" s="240">
        <v>15</v>
      </c>
      <c r="F14" s="241">
        <v>6922.63</v>
      </c>
      <c r="G14" s="242">
        <v>0</v>
      </c>
      <c r="H14" s="243">
        <f t="shared" si="0"/>
        <v>6922.63</v>
      </c>
      <c r="I14" s="244">
        <f t="shared" si="7"/>
        <v>0</v>
      </c>
      <c r="J14" s="244">
        <f t="shared" si="8"/>
        <v>6922.63</v>
      </c>
      <c r="K14" s="244">
        <f t="shared" si="1"/>
        <v>5925.91</v>
      </c>
      <c r="L14" s="244">
        <f t="shared" si="9"/>
        <v>996.72000000000025</v>
      </c>
      <c r="M14" s="245">
        <f t="shared" si="2"/>
        <v>0.21360000000000001</v>
      </c>
      <c r="N14" s="244">
        <f t="shared" si="10"/>
        <v>212.89939200000006</v>
      </c>
      <c r="O14" s="246">
        <f t="shared" si="3"/>
        <v>627.6</v>
      </c>
      <c r="P14" s="244">
        <f t="shared" si="11"/>
        <v>840.49939200000006</v>
      </c>
      <c r="Q14" s="244">
        <f t="shared" si="4"/>
        <v>0</v>
      </c>
      <c r="R14" s="244">
        <f t="shared" si="12"/>
        <v>840.49939200000006</v>
      </c>
      <c r="S14" s="243">
        <f t="shared" si="13"/>
        <v>0</v>
      </c>
      <c r="T14" s="243">
        <f t="shared" si="14"/>
        <v>840.49939200000006</v>
      </c>
      <c r="U14" s="243">
        <f>SUM(T14:T14)</f>
        <v>840.49939200000006</v>
      </c>
      <c r="V14" s="243">
        <f>H14+S14-U14</f>
        <v>6082.1306080000004</v>
      </c>
      <c r="W14" s="122"/>
      <c r="X14" s="4"/>
    </row>
    <row r="15" spans="1:25" ht="72" customHeight="1" x14ac:dyDescent="0.2">
      <c r="A15" s="267"/>
      <c r="B15" s="238" t="s">
        <v>343</v>
      </c>
      <c r="C15" s="238" t="s">
        <v>147</v>
      </c>
      <c r="D15" s="239" t="s">
        <v>96</v>
      </c>
      <c r="E15" s="240">
        <v>15</v>
      </c>
      <c r="F15" s="241">
        <v>6922.63</v>
      </c>
      <c r="G15" s="242">
        <v>0</v>
      </c>
      <c r="H15" s="243">
        <f t="shared" si="0"/>
        <v>6922.63</v>
      </c>
      <c r="I15" s="244">
        <f t="shared" ref="I15:I20" si="15">IF(F15/15&lt;=123.22,G15,G15/2)</f>
        <v>0</v>
      </c>
      <c r="J15" s="244">
        <f t="shared" ref="J15:J20" si="16">F15+I15</f>
        <v>6922.63</v>
      </c>
      <c r="K15" s="244">
        <f t="shared" si="1"/>
        <v>5925.91</v>
      </c>
      <c r="L15" s="244">
        <f t="shared" ref="L15:L20" si="17">J15-K15</f>
        <v>996.72000000000025</v>
      </c>
      <c r="M15" s="245">
        <f t="shared" si="2"/>
        <v>0.21360000000000001</v>
      </c>
      <c r="N15" s="244">
        <f t="shared" ref="N15:N20" si="18">L15*M15</f>
        <v>212.89939200000006</v>
      </c>
      <c r="O15" s="246">
        <f t="shared" si="3"/>
        <v>627.6</v>
      </c>
      <c r="P15" s="244">
        <f t="shared" ref="P15:P20" si="19">N15+O15</f>
        <v>840.49939200000006</v>
      </c>
      <c r="Q15" s="244">
        <f t="shared" si="4"/>
        <v>0</v>
      </c>
      <c r="R15" s="244">
        <f t="shared" ref="R15:R20" si="20">P15-Q15</f>
        <v>840.49939200000006</v>
      </c>
      <c r="S15" s="243">
        <f t="shared" si="13"/>
        <v>0</v>
      </c>
      <c r="T15" s="243">
        <f t="shared" si="14"/>
        <v>840.49939200000006</v>
      </c>
      <c r="U15" s="243">
        <f>SUM(T15:T15)</f>
        <v>840.49939200000006</v>
      </c>
      <c r="V15" s="243">
        <f>H15+S15-U15</f>
        <v>6082.1306080000004</v>
      </c>
      <c r="W15" s="122"/>
      <c r="X15" s="4"/>
    </row>
    <row r="16" spans="1:25" ht="72" customHeight="1" x14ac:dyDescent="0.2">
      <c r="A16" s="267"/>
      <c r="B16" s="268">
        <v>231</v>
      </c>
      <c r="C16" s="238" t="s">
        <v>147</v>
      </c>
      <c r="D16" s="239" t="s">
        <v>96</v>
      </c>
      <c r="E16" s="269">
        <v>15</v>
      </c>
      <c r="F16" s="241">
        <v>6922.63</v>
      </c>
      <c r="G16" s="242">
        <v>0</v>
      </c>
      <c r="H16" s="243">
        <f t="shared" ref="H16" si="21">SUM(F16:G16)</f>
        <v>6922.63</v>
      </c>
      <c r="I16" s="244">
        <f t="shared" si="15"/>
        <v>0</v>
      </c>
      <c r="J16" s="244">
        <f t="shared" si="16"/>
        <v>6922.63</v>
      </c>
      <c r="K16" s="244">
        <f t="shared" si="1"/>
        <v>5925.91</v>
      </c>
      <c r="L16" s="244">
        <f t="shared" si="17"/>
        <v>996.72000000000025</v>
      </c>
      <c r="M16" s="245">
        <f t="shared" si="2"/>
        <v>0.21360000000000001</v>
      </c>
      <c r="N16" s="244">
        <f t="shared" si="18"/>
        <v>212.89939200000006</v>
      </c>
      <c r="O16" s="246">
        <f t="shared" si="3"/>
        <v>627.6</v>
      </c>
      <c r="P16" s="244">
        <f t="shared" si="19"/>
        <v>840.49939200000006</v>
      </c>
      <c r="Q16" s="244">
        <f t="shared" si="4"/>
        <v>0</v>
      </c>
      <c r="R16" s="244">
        <f t="shared" si="20"/>
        <v>840.49939200000006</v>
      </c>
      <c r="S16" s="243">
        <f t="shared" si="13"/>
        <v>0</v>
      </c>
      <c r="T16" s="243">
        <f t="shared" si="14"/>
        <v>840.49939200000006</v>
      </c>
      <c r="U16" s="243">
        <f>SUM(T16:T16)</f>
        <v>840.49939200000006</v>
      </c>
      <c r="V16" s="243">
        <f>H16+S16-U16</f>
        <v>6082.1306080000004</v>
      </c>
      <c r="W16" s="122"/>
      <c r="X16" s="4"/>
    </row>
    <row r="17" spans="1:36" ht="72" customHeight="1" x14ac:dyDescent="0.2">
      <c r="A17" s="267"/>
      <c r="B17" s="238" t="s">
        <v>364</v>
      </c>
      <c r="C17" s="238" t="s">
        <v>147</v>
      </c>
      <c r="D17" s="239" t="s">
        <v>96</v>
      </c>
      <c r="E17" s="269">
        <v>15</v>
      </c>
      <c r="F17" s="241">
        <v>6922.63</v>
      </c>
      <c r="G17" s="242">
        <v>0</v>
      </c>
      <c r="H17" s="243">
        <f t="shared" ref="H17:H20" si="22">SUM(F17:G17)</f>
        <v>6922.63</v>
      </c>
      <c r="I17" s="244">
        <f t="shared" si="15"/>
        <v>0</v>
      </c>
      <c r="J17" s="244">
        <f t="shared" si="16"/>
        <v>6922.63</v>
      </c>
      <c r="K17" s="244">
        <f t="shared" si="1"/>
        <v>5925.91</v>
      </c>
      <c r="L17" s="244">
        <f t="shared" si="17"/>
        <v>996.72000000000025</v>
      </c>
      <c r="M17" s="245">
        <f t="shared" si="2"/>
        <v>0.21360000000000001</v>
      </c>
      <c r="N17" s="244">
        <f t="shared" si="18"/>
        <v>212.89939200000006</v>
      </c>
      <c r="O17" s="246">
        <f t="shared" si="3"/>
        <v>627.6</v>
      </c>
      <c r="P17" s="244">
        <f t="shared" si="19"/>
        <v>840.49939200000006</v>
      </c>
      <c r="Q17" s="244">
        <f t="shared" si="4"/>
        <v>0</v>
      </c>
      <c r="R17" s="244">
        <f t="shared" si="20"/>
        <v>840.49939200000006</v>
      </c>
      <c r="S17" s="243">
        <f t="shared" ref="S17:S20" si="23">-IF(R17&gt;0,0,R17)</f>
        <v>0</v>
      </c>
      <c r="T17" s="243">
        <f t="shared" ref="T17:T20" si="24">IF(R17&lt;0,0,R17)</f>
        <v>840.49939200000006</v>
      </c>
      <c r="U17" s="243">
        <f>SUM(T17:T17)</f>
        <v>840.49939200000006</v>
      </c>
      <c r="V17" s="243">
        <f>H17+S17-U17</f>
        <v>6082.1306080000004</v>
      </c>
      <c r="W17" s="122"/>
      <c r="X17" s="4"/>
    </row>
    <row r="18" spans="1:36" ht="72" customHeight="1" x14ac:dyDescent="0.2">
      <c r="A18" s="267"/>
      <c r="B18" s="238" t="s">
        <v>365</v>
      </c>
      <c r="C18" s="238" t="s">
        <v>147</v>
      </c>
      <c r="D18" s="239" t="s">
        <v>96</v>
      </c>
      <c r="E18" s="240">
        <v>15</v>
      </c>
      <c r="F18" s="241">
        <v>6922.63</v>
      </c>
      <c r="G18" s="242">
        <v>0</v>
      </c>
      <c r="H18" s="243">
        <f t="shared" si="22"/>
        <v>6922.63</v>
      </c>
      <c r="I18" s="244">
        <f t="shared" si="15"/>
        <v>0</v>
      </c>
      <c r="J18" s="244">
        <f t="shared" si="16"/>
        <v>6922.63</v>
      </c>
      <c r="K18" s="244">
        <f t="shared" si="1"/>
        <v>5925.91</v>
      </c>
      <c r="L18" s="244">
        <f t="shared" si="17"/>
        <v>996.72000000000025</v>
      </c>
      <c r="M18" s="245">
        <f t="shared" si="2"/>
        <v>0.21360000000000001</v>
      </c>
      <c r="N18" s="244">
        <f t="shared" si="18"/>
        <v>212.89939200000006</v>
      </c>
      <c r="O18" s="246">
        <f t="shared" si="3"/>
        <v>627.6</v>
      </c>
      <c r="P18" s="244">
        <f t="shared" si="19"/>
        <v>840.49939200000006</v>
      </c>
      <c r="Q18" s="244">
        <f t="shared" si="4"/>
        <v>0</v>
      </c>
      <c r="R18" s="244">
        <f t="shared" si="20"/>
        <v>840.49939200000006</v>
      </c>
      <c r="S18" s="243">
        <f t="shared" si="23"/>
        <v>0</v>
      </c>
      <c r="T18" s="243">
        <f t="shared" si="24"/>
        <v>840.49939200000006</v>
      </c>
      <c r="U18" s="243">
        <f>SUM(T18:T18)</f>
        <v>840.49939200000006</v>
      </c>
      <c r="V18" s="243">
        <f>H18+S18-U18</f>
        <v>6082.1306080000004</v>
      </c>
      <c r="W18" s="122"/>
      <c r="X18" s="4"/>
    </row>
    <row r="19" spans="1:36" ht="72" customHeight="1" x14ac:dyDescent="0.2">
      <c r="A19" s="267"/>
      <c r="B19" s="238" t="s">
        <v>369</v>
      </c>
      <c r="C19" s="238" t="s">
        <v>147</v>
      </c>
      <c r="D19" s="239" t="s">
        <v>96</v>
      </c>
      <c r="E19" s="240">
        <v>15</v>
      </c>
      <c r="F19" s="241">
        <v>6922.63</v>
      </c>
      <c r="G19" s="242">
        <v>0</v>
      </c>
      <c r="H19" s="243">
        <f t="shared" ref="H19" si="25">SUM(F19:G19)</f>
        <v>6922.63</v>
      </c>
      <c r="I19" s="244">
        <f t="shared" ref="I19" si="26">IF(F19/15&lt;=123.22,G19,G19/2)</f>
        <v>0</v>
      </c>
      <c r="J19" s="244">
        <f t="shared" ref="J19" si="27">F19+I19</f>
        <v>6922.63</v>
      </c>
      <c r="K19" s="244">
        <f t="shared" ref="K19" si="28">VLOOKUP(J19,Tarifa1,1)</f>
        <v>5925.91</v>
      </c>
      <c r="L19" s="244">
        <f t="shared" ref="L19" si="29">J19-K19</f>
        <v>996.72000000000025</v>
      </c>
      <c r="M19" s="245">
        <f t="shared" ref="M19" si="30">VLOOKUP(J19,Tarifa1,3)</f>
        <v>0.21360000000000001</v>
      </c>
      <c r="N19" s="244">
        <f t="shared" ref="N19" si="31">L19*M19</f>
        <v>212.89939200000006</v>
      </c>
      <c r="O19" s="246">
        <f t="shared" ref="O19" si="32">VLOOKUP(J19,Tarifa1,2)</f>
        <v>627.6</v>
      </c>
      <c r="P19" s="244">
        <f t="shared" ref="P19" si="33">N19+O19</f>
        <v>840.49939200000006</v>
      </c>
      <c r="Q19" s="244">
        <f t="shared" ref="Q19" si="34">VLOOKUP(J19,Credito1,2)</f>
        <v>0</v>
      </c>
      <c r="R19" s="244">
        <f t="shared" ref="R19" si="35">P19-Q19</f>
        <v>840.49939200000006</v>
      </c>
      <c r="S19" s="243">
        <f t="shared" ref="S19" si="36">-IF(R19&gt;0,0,R19)</f>
        <v>0</v>
      </c>
      <c r="T19" s="243">
        <f t="shared" ref="T19" si="37">IF(R19&lt;0,0,R19)</f>
        <v>840.49939200000006</v>
      </c>
      <c r="U19" s="243">
        <f>SUM(T19:T19)</f>
        <v>840.49939200000006</v>
      </c>
      <c r="V19" s="243">
        <f>H19+S19-U19</f>
        <v>6082.1306080000004</v>
      </c>
      <c r="W19" s="122"/>
      <c r="X19" s="4"/>
    </row>
    <row r="20" spans="1:36" ht="72" customHeight="1" x14ac:dyDescent="0.2">
      <c r="A20" s="267"/>
      <c r="B20" s="238" t="s">
        <v>370</v>
      </c>
      <c r="C20" s="238" t="s">
        <v>234</v>
      </c>
      <c r="D20" s="239" t="s">
        <v>96</v>
      </c>
      <c r="E20" s="240">
        <v>15</v>
      </c>
      <c r="F20" s="241">
        <v>6922.63</v>
      </c>
      <c r="G20" s="242">
        <v>0</v>
      </c>
      <c r="H20" s="243">
        <f t="shared" si="22"/>
        <v>6922.63</v>
      </c>
      <c r="I20" s="244">
        <f t="shared" si="15"/>
        <v>0</v>
      </c>
      <c r="J20" s="244">
        <f t="shared" si="16"/>
        <v>6922.63</v>
      </c>
      <c r="K20" s="244">
        <f t="shared" si="1"/>
        <v>5925.91</v>
      </c>
      <c r="L20" s="244">
        <f t="shared" si="17"/>
        <v>996.72000000000025</v>
      </c>
      <c r="M20" s="245">
        <f t="shared" si="2"/>
        <v>0.21360000000000001</v>
      </c>
      <c r="N20" s="244">
        <f t="shared" si="18"/>
        <v>212.89939200000006</v>
      </c>
      <c r="O20" s="246">
        <f t="shared" si="3"/>
        <v>627.6</v>
      </c>
      <c r="P20" s="244">
        <f t="shared" si="19"/>
        <v>840.49939200000006</v>
      </c>
      <c r="Q20" s="244">
        <f t="shared" si="4"/>
        <v>0</v>
      </c>
      <c r="R20" s="244">
        <f t="shared" si="20"/>
        <v>840.49939200000006</v>
      </c>
      <c r="S20" s="243">
        <f t="shared" si="23"/>
        <v>0</v>
      </c>
      <c r="T20" s="243">
        <f t="shared" si="24"/>
        <v>840.49939200000006</v>
      </c>
      <c r="U20" s="243">
        <f>SUM(T20:T20)</f>
        <v>840.49939200000006</v>
      </c>
      <c r="V20" s="243">
        <f>H20+S20-U20</f>
        <v>6082.1306080000004</v>
      </c>
      <c r="W20" s="122"/>
      <c r="X20" s="4"/>
    </row>
    <row r="21" spans="1:36" ht="38.1" customHeight="1" thickBot="1" x14ac:dyDescent="0.3">
      <c r="A21" s="320" t="s">
        <v>45</v>
      </c>
      <c r="B21" s="321"/>
      <c r="C21" s="321"/>
      <c r="D21" s="321"/>
      <c r="E21" s="321"/>
      <c r="F21" s="247">
        <f>SUM(F9:F20)</f>
        <v>86922.63</v>
      </c>
      <c r="G21" s="247">
        <f>SUM(G9:G20)</f>
        <v>0</v>
      </c>
      <c r="H21" s="247">
        <f>SUM(H9:H20)</f>
        <v>86922.63</v>
      </c>
      <c r="I21" s="248">
        <f t="shared" ref="I21:R21" si="38">SUM(I9:I16)</f>
        <v>0</v>
      </c>
      <c r="J21" s="248">
        <f t="shared" si="38"/>
        <v>59232.109999999993</v>
      </c>
      <c r="K21" s="248">
        <f t="shared" si="38"/>
        <v>47407.28</v>
      </c>
      <c r="L21" s="248">
        <f t="shared" si="38"/>
        <v>11824.830000000002</v>
      </c>
      <c r="M21" s="248">
        <f t="shared" si="38"/>
        <v>1.7088000000000001</v>
      </c>
      <c r="N21" s="248">
        <f t="shared" si="38"/>
        <v>2525.7836880000009</v>
      </c>
      <c r="O21" s="248">
        <f t="shared" si="38"/>
        <v>5020.8</v>
      </c>
      <c r="P21" s="248">
        <f t="shared" si="38"/>
        <v>7546.5836879999988</v>
      </c>
      <c r="Q21" s="248">
        <f t="shared" si="38"/>
        <v>0</v>
      </c>
      <c r="R21" s="248">
        <f t="shared" si="38"/>
        <v>7546.5836879999988</v>
      </c>
      <c r="S21" s="247">
        <f>SUM(S9:S20)</f>
        <v>0</v>
      </c>
      <c r="T21" s="247">
        <f>SUM(T9:T20)</f>
        <v>10908.581255999998</v>
      </c>
      <c r="U21" s="247">
        <f>SUM(U9:U20)</f>
        <v>10908.581255999998</v>
      </c>
      <c r="V21" s="247">
        <f>SUM(V9:V20)</f>
        <v>76014.048744</v>
      </c>
      <c r="W21" s="4"/>
      <c r="X21" s="4"/>
    </row>
    <row r="22" spans="1:36" ht="13.5" thickTop="1" x14ac:dyDescent="0.2"/>
    <row r="28" spans="1:36" x14ac:dyDescent="0.2">
      <c r="G28" s="114"/>
    </row>
    <row r="29" spans="1:36" x14ac:dyDescent="0.2">
      <c r="D29" s="115"/>
      <c r="E29" s="115"/>
      <c r="F29" s="115"/>
      <c r="G29" s="115"/>
      <c r="H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I29" s="115"/>
      <c r="AJ29" s="115"/>
    </row>
  </sheetData>
  <mergeCells count="7">
    <mergeCell ref="A21:E21"/>
    <mergeCell ref="A1:W1"/>
    <mergeCell ref="A2:W2"/>
    <mergeCell ref="F5:H5"/>
    <mergeCell ref="K5:P5"/>
    <mergeCell ref="T5:U5"/>
    <mergeCell ref="B3:W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25" t="s">
        <v>93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</row>
    <row r="2" spans="1:25" ht="18" x14ac:dyDescent="0.25">
      <c r="A2" s="325" t="s">
        <v>66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26" t="s">
        <v>1</v>
      </c>
      <c r="I6" s="327"/>
      <c r="J6" s="328"/>
      <c r="K6" s="94" t="s">
        <v>26</v>
      </c>
      <c r="L6" s="95"/>
      <c r="M6" s="329" t="s">
        <v>9</v>
      </c>
      <c r="N6" s="330"/>
      <c r="O6" s="330"/>
      <c r="P6" s="330"/>
      <c r="Q6" s="330"/>
      <c r="R6" s="331"/>
      <c r="S6" s="94" t="s">
        <v>30</v>
      </c>
      <c r="T6" s="94" t="s">
        <v>10</v>
      </c>
      <c r="U6" s="93" t="s">
        <v>54</v>
      </c>
      <c r="V6" s="332" t="s">
        <v>2</v>
      </c>
      <c r="W6" s="333"/>
      <c r="X6" s="93" t="s">
        <v>0</v>
      </c>
      <c r="Y6" s="96"/>
    </row>
    <row r="7" spans="1:25" ht="22.5" x14ac:dyDescent="0.2">
      <c r="A7" s="97" t="s">
        <v>21</v>
      </c>
      <c r="B7" s="98" t="s">
        <v>124</v>
      </c>
      <c r="C7" s="98" t="s">
        <v>148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171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188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101</v>
      </c>
      <c r="B10" s="62" t="s">
        <v>191</v>
      </c>
      <c r="C10" s="62" t="s">
        <v>147</v>
      </c>
      <c r="D10" s="177" t="s">
        <v>181</v>
      </c>
      <c r="E10" s="177" t="s">
        <v>184</v>
      </c>
      <c r="F10" s="167">
        <v>15</v>
      </c>
      <c r="G10" s="168">
        <f>H10/F10</f>
        <v>598.92466666666667</v>
      </c>
      <c r="H10" s="119">
        <v>8983.8700000000008</v>
      </c>
      <c r="I10" s="126">
        <v>513</v>
      </c>
      <c r="J10" s="127">
        <f>H10</f>
        <v>8983.8700000000008</v>
      </c>
      <c r="K10" s="172">
        <f>IF(H10/15&lt;=123.22,I10,I10/2)</f>
        <v>256.5</v>
      </c>
      <c r="L10" s="172">
        <f>H10+K10</f>
        <v>9240.3700000000008</v>
      </c>
      <c r="M10" s="172">
        <f t="shared" ref="M10:M15" si="0">VLOOKUP(L10,Tarifa1,1)</f>
        <v>5925.91</v>
      </c>
      <c r="N10" s="172">
        <f>L10-M10</f>
        <v>3314.4600000000009</v>
      </c>
      <c r="O10" s="173">
        <f t="shared" ref="O10:O15" si="1">VLOOKUP(L10,Tarifa1,3)</f>
        <v>0.21360000000000001</v>
      </c>
      <c r="P10" s="172">
        <f>N10*O10</f>
        <v>707.96865600000024</v>
      </c>
      <c r="Q10" s="174">
        <f t="shared" ref="Q10:Q15" si="2">VLOOKUP(L10,Tarifa1,2)</f>
        <v>627.6</v>
      </c>
      <c r="R10" s="172">
        <f>P10+Q10</f>
        <v>1335.5686560000004</v>
      </c>
      <c r="S10" s="172">
        <f t="shared" ref="S10:S15" si="3">VLOOKUP(L10,Credito1,2)</f>
        <v>0</v>
      </c>
      <c r="T10" s="172">
        <f>R10-S10</f>
        <v>1335.5686560000004</v>
      </c>
      <c r="U10" s="127">
        <f>-IF(T10&gt;0,0,T10)</f>
        <v>0</v>
      </c>
      <c r="V10" s="127">
        <f t="shared" ref="V10:V15" si="4">IF(T10&lt;0,0,T10)</f>
        <v>1335.5686560000004</v>
      </c>
      <c r="W10" s="127">
        <f>SUM(V10:V10)</f>
        <v>1335.5686560000004</v>
      </c>
      <c r="X10" s="127">
        <f>J10+U10-W10+I10</f>
        <v>8161.3013440000004</v>
      </c>
      <c r="Y10" s="166"/>
    </row>
    <row r="11" spans="1:25" s="188" customFormat="1" ht="75" customHeight="1" x14ac:dyDescent="0.2">
      <c r="A11" s="60"/>
      <c r="B11" s="138" t="s">
        <v>287</v>
      </c>
      <c r="C11" s="62" t="s">
        <v>147</v>
      </c>
      <c r="D11" s="177" t="s">
        <v>259</v>
      </c>
      <c r="E11" s="177" t="s">
        <v>184</v>
      </c>
      <c r="F11" s="167"/>
      <c r="G11" s="168"/>
      <c r="H11" s="119">
        <v>8983.8700000000008</v>
      </c>
      <c r="I11" s="126">
        <v>513</v>
      </c>
      <c r="J11" s="127">
        <f>H11</f>
        <v>8983.8700000000008</v>
      </c>
      <c r="K11" s="172">
        <f t="shared" ref="K11:K13" si="5">IF(H11/15&lt;=123.22,I11,I11/2)</f>
        <v>256.5</v>
      </c>
      <c r="L11" s="172">
        <f t="shared" ref="L11:L13" si="6">H11+K11</f>
        <v>9240.3700000000008</v>
      </c>
      <c r="M11" s="172">
        <f t="shared" si="0"/>
        <v>5925.91</v>
      </c>
      <c r="N11" s="172">
        <f t="shared" ref="N11:N13" si="7">L11-M11</f>
        <v>3314.4600000000009</v>
      </c>
      <c r="O11" s="173">
        <f t="shared" si="1"/>
        <v>0.21360000000000001</v>
      </c>
      <c r="P11" s="172">
        <f t="shared" ref="P11:P13" si="8">N11*O11</f>
        <v>707.96865600000024</v>
      </c>
      <c r="Q11" s="174">
        <f t="shared" si="2"/>
        <v>627.6</v>
      </c>
      <c r="R11" s="172">
        <f t="shared" ref="R11:R13" si="9">P11+Q11</f>
        <v>1335.5686560000004</v>
      </c>
      <c r="S11" s="172">
        <f t="shared" si="3"/>
        <v>0</v>
      </c>
      <c r="T11" s="172">
        <f t="shared" ref="T11:T13" si="10">R11-S11</f>
        <v>1335.5686560000004</v>
      </c>
      <c r="U11" s="127">
        <f>-IF(T11&gt;0,0,T11)</f>
        <v>0</v>
      </c>
      <c r="V11" s="127">
        <f t="shared" si="4"/>
        <v>1335.5686560000004</v>
      </c>
      <c r="W11" s="127">
        <f>SUM(V11:V11)</f>
        <v>1335.5686560000004</v>
      </c>
      <c r="X11" s="127">
        <f>J11+U11-W11+I11</f>
        <v>8161.3013440000004</v>
      </c>
      <c r="Y11" s="166"/>
    </row>
    <row r="12" spans="1:25" s="188" customFormat="1" ht="75" customHeight="1" x14ac:dyDescent="0.2">
      <c r="A12" s="60" t="s">
        <v>104</v>
      </c>
      <c r="B12" s="62" t="s">
        <v>192</v>
      </c>
      <c r="C12" s="62" t="s">
        <v>147</v>
      </c>
      <c r="D12" s="187" t="s">
        <v>283</v>
      </c>
      <c r="E12" s="166" t="s">
        <v>185</v>
      </c>
      <c r="F12" s="167">
        <v>15</v>
      </c>
      <c r="G12" s="168">
        <f>H12/F12</f>
        <v>375.8846666666667</v>
      </c>
      <c r="H12" s="169">
        <v>5638.27</v>
      </c>
      <c r="I12" s="170">
        <v>337</v>
      </c>
      <c r="J12" s="171">
        <f t="shared" ref="J12:J13" si="11">SUM(H12:I12)</f>
        <v>5975.27</v>
      </c>
      <c r="K12" s="172">
        <f t="shared" si="5"/>
        <v>168.5</v>
      </c>
      <c r="L12" s="172">
        <f t="shared" si="6"/>
        <v>5806.77</v>
      </c>
      <c r="M12" s="172">
        <f t="shared" si="0"/>
        <v>4949.5600000000004</v>
      </c>
      <c r="N12" s="172">
        <f t="shared" si="7"/>
        <v>857.21</v>
      </c>
      <c r="O12" s="173">
        <f t="shared" si="1"/>
        <v>0.1792</v>
      </c>
      <c r="P12" s="172">
        <f t="shared" si="8"/>
        <v>153.612032</v>
      </c>
      <c r="Q12" s="174">
        <f t="shared" si="2"/>
        <v>452.55</v>
      </c>
      <c r="R12" s="172">
        <f t="shared" si="9"/>
        <v>606.16203199999995</v>
      </c>
      <c r="S12" s="172">
        <f t="shared" si="3"/>
        <v>0</v>
      </c>
      <c r="T12" s="172">
        <f t="shared" si="10"/>
        <v>606.16203199999995</v>
      </c>
      <c r="U12" s="171">
        <f t="shared" ref="U12" si="12">-IF(T12&gt;0,0,T12)</f>
        <v>0</v>
      </c>
      <c r="V12" s="171">
        <f t="shared" si="4"/>
        <v>606.16203199999995</v>
      </c>
      <c r="W12" s="171">
        <f>SUM(V12:V12)</f>
        <v>606.16203199999995</v>
      </c>
      <c r="X12" s="171">
        <f>J12+U12-W12</f>
        <v>5369.1079680000003</v>
      </c>
      <c r="Y12" s="187"/>
    </row>
    <row r="13" spans="1:25" s="188" customFormat="1" ht="75" customHeight="1" x14ac:dyDescent="0.2">
      <c r="A13" s="60"/>
      <c r="B13" s="62" t="s">
        <v>346</v>
      </c>
      <c r="C13" s="62" t="s">
        <v>147</v>
      </c>
      <c r="D13" s="187" t="s">
        <v>347</v>
      </c>
      <c r="E13" s="166" t="s">
        <v>185</v>
      </c>
      <c r="F13" s="167"/>
      <c r="G13" s="168"/>
      <c r="H13" s="169">
        <v>5394.6</v>
      </c>
      <c r="I13" s="170">
        <v>648</v>
      </c>
      <c r="J13" s="171">
        <f t="shared" si="11"/>
        <v>6042.6</v>
      </c>
      <c r="K13" s="172">
        <f t="shared" si="5"/>
        <v>324</v>
      </c>
      <c r="L13" s="172">
        <f t="shared" si="6"/>
        <v>5718.6</v>
      </c>
      <c r="M13" s="172">
        <f t="shared" si="0"/>
        <v>4949.5600000000004</v>
      </c>
      <c r="N13" s="172">
        <f t="shared" si="7"/>
        <v>769.04</v>
      </c>
      <c r="O13" s="173">
        <f t="shared" si="1"/>
        <v>0.1792</v>
      </c>
      <c r="P13" s="172">
        <f t="shared" si="8"/>
        <v>137.81196799999998</v>
      </c>
      <c r="Q13" s="174">
        <f t="shared" si="2"/>
        <v>452.55</v>
      </c>
      <c r="R13" s="172">
        <f t="shared" si="9"/>
        <v>590.36196799999993</v>
      </c>
      <c r="S13" s="172">
        <f t="shared" si="3"/>
        <v>0</v>
      </c>
      <c r="T13" s="172">
        <f t="shared" si="10"/>
        <v>590.36196799999993</v>
      </c>
      <c r="U13" s="171">
        <f t="shared" ref="U13" si="13">-IF(T13&gt;0,0,T13)</f>
        <v>0</v>
      </c>
      <c r="V13" s="171">
        <f t="shared" si="4"/>
        <v>590.36196799999993</v>
      </c>
      <c r="W13" s="171">
        <f>SUM(V13:V13)</f>
        <v>590.36196799999993</v>
      </c>
      <c r="X13" s="171">
        <f>J13+U13-W13</f>
        <v>5452.2380320000002</v>
      </c>
      <c r="Y13" s="187"/>
    </row>
    <row r="14" spans="1:25" s="188" customFormat="1" ht="75" customHeight="1" x14ac:dyDescent="0.2">
      <c r="A14" s="60" t="s">
        <v>109</v>
      </c>
      <c r="B14" s="62" t="s">
        <v>193</v>
      </c>
      <c r="C14" s="62" t="s">
        <v>234</v>
      </c>
      <c r="D14" s="187" t="s">
        <v>183</v>
      </c>
      <c r="E14" s="177" t="s">
        <v>186</v>
      </c>
      <c r="F14" s="167">
        <v>15</v>
      </c>
      <c r="G14" s="168">
        <f>H14/F14</f>
        <v>279.94400000000002</v>
      </c>
      <c r="H14" s="169">
        <v>4199.16</v>
      </c>
      <c r="I14" s="170">
        <v>771</v>
      </c>
      <c r="J14" s="171">
        <f>SUM(H14:I14)</f>
        <v>4970.16</v>
      </c>
      <c r="K14" s="172">
        <f>IF(H14/15&lt;=123.22,I14,I14/2)</f>
        <v>385.5</v>
      </c>
      <c r="L14" s="172">
        <f>H14+K14</f>
        <v>4584.66</v>
      </c>
      <c r="M14" s="172">
        <f t="shared" si="0"/>
        <v>4257.91</v>
      </c>
      <c r="N14" s="172">
        <f>L14-M14</f>
        <v>326.75</v>
      </c>
      <c r="O14" s="173">
        <f t="shared" si="1"/>
        <v>0.16</v>
      </c>
      <c r="P14" s="172">
        <f>N14*O14</f>
        <v>52.28</v>
      </c>
      <c r="Q14" s="174">
        <f t="shared" si="2"/>
        <v>341.85</v>
      </c>
      <c r="R14" s="172">
        <f>P14+Q14</f>
        <v>394.13</v>
      </c>
      <c r="S14" s="172">
        <f t="shared" si="3"/>
        <v>0</v>
      </c>
      <c r="T14" s="172">
        <f>R14-S14</f>
        <v>394.13</v>
      </c>
      <c r="U14" s="171">
        <f>-IF(T14&gt;0,0,T14)</f>
        <v>0</v>
      </c>
      <c r="V14" s="171">
        <f t="shared" si="4"/>
        <v>394.13</v>
      </c>
      <c r="W14" s="171">
        <f>SUM(V14:V14)</f>
        <v>394.13</v>
      </c>
      <c r="X14" s="171">
        <f>J14+U14-W14</f>
        <v>4576.03</v>
      </c>
      <c r="Y14" s="187"/>
    </row>
    <row r="15" spans="1:25" s="188" customFormat="1" ht="75" customHeight="1" x14ac:dyDescent="0.2">
      <c r="A15" s="215"/>
      <c r="B15" s="62" t="s">
        <v>194</v>
      </c>
      <c r="C15" s="62" t="s">
        <v>147</v>
      </c>
      <c r="D15" s="187" t="s">
        <v>182</v>
      </c>
      <c r="E15" s="177" t="s">
        <v>186</v>
      </c>
      <c r="F15" s="167">
        <v>15</v>
      </c>
      <c r="G15" s="168">
        <f>H15/F15</f>
        <v>279.94400000000002</v>
      </c>
      <c r="H15" s="169">
        <v>4199.16</v>
      </c>
      <c r="I15" s="170">
        <v>514</v>
      </c>
      <c r="J15" s="171">
        <f>SUM(H15:I15)</f>
        <v>4713.16</v>
      </c>
      <c r="K15" s="172">
        <f t="shared" ref="K15" si="14">IF(H15/15&lt;=123.22,I15,I15/2)</f>
        <v>257</v>
      </c>
      <c r="L15" s="172">
        <f t="shared" ref="L15" si="15">H15+K15</f>
        <v>4456.16</v>
      </c>
      <c r="M15" s="172">
        <f t="shared" si="0"/>
        <v>4257.91</v>
      </c>
      <c r="N15" s="172">
        <f t="shared" ref="N15" si="16">L15-M15</f>
        <v>198.25</v>
      </c>
      <c r="O15" s="173">
        <f t="shared" si="1"/>
        <v>0.16</v>
      </c>
      <c r="P15" s="172">
        <f t="shared" ref="P15" si="17">N15*O15</f>
        <v>31.720000000000002</v>
      </c>
      <c r="Q15" s="174">
        <f t="shared" si="2"/>
        <v>341.85</v>
      </c>
      <c r="R15" s="172">
        <f t="shared" ref="R15" si="18">P15+Q15</f>
        <v>373.57000000000005</v>
      </c>
      <c r="S15" s="172">
        <f t="shared" si="3"/>
        <v>0</v>
      </c>
      <c r="T15" s="172">
        <f t="shared" ref="T15" si="19">R15-S15</f>
        <v>373.57000000000005</v>
      </c>
      <c r="U15" s="171">
        <f>-IF(T15&gt;0,0,T15)</f>
        <v>0</v>
      </c>
      <c r="V15" s="171">
        <f t="shared" si="4"/>
        <v>373.57000000000005</v>
      </c>
      <c r="W15" s="171">
        <f>SUM(V15:V15)</f>
        <v>373.57000000000005</v>
      </c>
      <c r="X15" s="171">
        <f>J15+U15-W15</f>
        <v>4339.59</v>
      </c>
      <c r="Y15" s="187"/>
    </row>
    <row r="16" spans="1:25" ht="40.5" customHeight="1" thickBot="1" x14ac:dyDescent="0.25">
      <c r="A16" s="322" t="s">
        <v>45</v>
      </c>
      <c r="B16" s="323"/>
      <c r="C16" s="323"/>
      <c r="D16" s="323"/>
      <c r="E16" s="323"/>
      <c r="F16" s="323"/>
      <c r="G16" s="324"/>
      <c r="H16" s="112">
        <f t="shared" ref="H16:V16" si="20">SUM(H10:H15)</f>
        <v>37398.930000000008</v>
      </c>
      <c r="I16" s="112">
        <f t="shared" si="20"/>
        <v>3296</v>
      </c>
      <c r="J16" s="112">
        <f t="shared" si="20"/>
        <v>39668.930000000008</v>
      </c>
      <c r="K16" s="113">
        <f t="shared" si="20"/>
        <v>1648</v>
      </c>
      <c r="L16" s="113">
        <f t="shared" si="20"/>
        <v>39046.930000000008</v>
      </c>
      <c r="M16" s="113">
        <f t="shared" si="20"/>
        <v>30266.760000000002</v>
      </c>
      <c r="N16" s="113">
        <f t="shared" si="20"/>
        <v>8780.1700000000019</v>
      </c>
      <c r="O16" s="113">
        <f t="shared" si="20"/>
        <v>1.1056000000000001</v>
      </c>
      <c r="P16" s="113">
        <f t="shared" si="20"/>
        <v>1791.3613120000005</v>
      </c>
      <c r="Q16" s="113">
        <f t="shared" si="20"/>
        <v>2844</v>
      </c>
      <c r="R16" s="113">
        <f t="shared" si="20"/>
        <v>4635.3613120000009</v>
      </c>
      <c r="S16" s="113">
        <f t="shared" si="20"/>
        <v>0</v>
      </c>
      <c r="T16" s="113">
        <f t="shared" si="20"/>
        <v>4635.3613120000009</v>
      </c>
      <c r="U16" s="112">
        <f t="shared" si="20"/>
        <v>0</v>
      </c>
      <c r="V16" s="112">
        <f t="shared" si="20"/>
        <v>4635.3613120000009</v>
      </c>
      <c r="W16" s="112">
        <f>SUM(W10:W15)</f>
        <v>4635.3613120000009</v>
      </c>
      <c r="X16" s="112">
        <f>SUM(X10:X15)</f>
        <v>36059.568687999999</v>
      </c>
    </row>
    <row r="17" spans="4:37" ht="13.5" thickTop="1" x14ac:dyDescent="0.2"/>
    <row r="26" spans="4:37" x14ac:dyDescent="0.2">
      <c r="D26" s="4" t="s">
        <v>252</v>
      </c>
      <c r="V26" s="4" t="s">
        <v>245</v>
      </c>
    </row>
    <row r="27" spans="4:37" x14ac:dyDescent="0.2">
      <c r="D27" s="78" t="s">
        <v>236</v>
      </c>
      <c r="H27" s="114"/>
      <c r="V27" s="78" t="s">
        <v>258</v>
      </c>
    </row>
    <row r="28" spans="4:37" x14ac:dyDescent="0.2">
      <c r="D28" s="51" t="s">
        <v>246</v>
      </c>
      <c r="E28" s="115"/>
      <c r="F28" s="115"/>
      <c r="G28" s="115"/>
      <c r="H28" s="115"/>
      <c r="I28" s="115"/>
      <c r="V28" s="51" t="s">
        <v>254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115"/>
      <c r="AK28" s="115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294" t="s">
        <v>93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31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31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297" t="s">
        <v>1</v>
      </c>
      <c r="I6" s="298"/>
      <c r="J6" s="299"/>
      <c r="K6" s="67" t="s">
        <v>26</v>
      </c>
      <c r="L6" s="68"/>
      <c r="M6" s="300" t="s">
        <v>9</v>
      </c>
      <c r="N6" s="301"/>
      <c r="O6" s="301"/>
      <c r="P6" s="301"/>
      <c r="Q6" s="301"/>
      <c r="R6" s="302"/>
      <c r="S6" s="67" t="s">
        <v>30</v>
      </c>
      <c r="T6" s="67" t="s">
        <v>10</v>
      </c>
      <c r="U6" s="66" t="s">
        <v>54</v>
      </c>
      <c r="V6" s="303" t="s">
        <v>2</v>
      </c>
      <c r="W6" s="304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124</v>
      </c>
      <c r="C7" s="64" t="s">
        <v>164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165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124</v>
      </c>
      <c r="C9" s="83" t="s">
        <v>164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101</v>
      </c>
      <c r="B10" s="139" t="s">
        <v>261</v>
      </c>
      <c r="C10" s="116" t="s">
        <v>147</v>
      </c>
      <c r="D10" s="121" t="s">
        <v>195</v>
      </c>
      <c r="E10" s="121" t="s">
        <v>196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102</v>
      </c>
      <c r="B11" s="139" t="s">
        <v>262</v>
      </c>
      <c r="C11" s="116" t="s">
        <v>234</v>
      </c>
      <c r="D11" s="121" t="s">
        <v>197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132</v>
      </c>
      <c r="C12" s="139" t="s">
        <v>234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124</v>
      </c>
      <c r="C13" s="140" t="s">
        <v>164</v>
      </c>
      <c r="D13" s="141" t="s">
        <v>155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103</v>
      </c>
      <c r="B14" s="139" t="s">
        <v>263</v>
      </c>
      <c r="C14" s="116" t="s">
        <v>147</v>
      </c>
      <c r="D14" s="136" t="s">
        <v>198</v>
      </c>
      <c r="E14" s="123" t="s">
        <v>118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124</v>
      </c>
      <c r="C15" s="140" t="s">
        <v>164</v>
      </c>
      <c r="D15" s="141" t="s">
        <v>156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105</v>
      </c>
      <c r="B16" s="116" t="s">
        <v>133</v>
      </c>
      <c r="C16" s="116" t="s">
        <v>147</v>
      </c>
      <c r="D16" s="121" t="s">
        <v>121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124</v>
      </c>
      <c r="C17" s="140" t="s">
        <v>164</v>
      </c>
      <c r="D17" s="141" t="s">
        <v>157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106</v>
      </c>
      <c r="B18" s="139" t="s">
        <v>264</v>
      </c>
      <c r="C18" s="116" t="s">
        <v>147</v>
      </c>
      <c r="D18" s="121" t="s">
        <v>199</v>
      </c>
      <c r="E18" s="121" t="s">
        <v>100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297</v>
      </c>
      <c r="C19" s="147" t="s">
        <v>147</v>
      </c>
      <c r="D19" s="148" t="s">
        <v>284</v>
      </c>
      <c r="E19" s="149" t="s">
        <v>285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124</v>
      </c>
      <c r="C20" s="140" t="s">
        <v>164</v>
      </c>
      <c r="D20" s="141" t="s">
        <v>158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107</v>
      </c>
      <c r="B21" s="116" t="s">
        <v>134</v>
      </c>
      <c r="C21" s="116" t="s">
        <v>147</v>
      </c>
      <c r="D21" s="121" t="s">
        <v>70</v>
      </c>
      <c r="E21" s="121" t="s">
        <v>92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108</v>
      </c>
    </row>
    <row r="24" spans="1:31" s="90" customFormat="1" ht="28.5" customHeight="1" x14ac:dyDescent="0.25">
      <c r="A24" s="154"/>
      <c r="B24" s="294" t="s">
        <v>93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</row>
    <row r="25" spans="1:31" s="90" customFormat="1" ht="21.75" customHeight="1" x14ac:dyDescent="0.25">
      <c r="A25" s="154"/>
      <c r="B25" s="294" t="s">
        <v>66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</row>
    <row r="26" spans="1:31" s="90" customFormat="1" ht="23.25" customHeight="1" x14ac:dyDescent="0.2">
      <c r="A26" s="154"/>
      <c r="B26" s="295" t="s">
        <v>376</v>
      </c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124</v>
      </c>
      <c r="C29" s="140" t="s">
        <v>164</v>
      </c>
      <c r="D29" s="141" t="s">
        <v>159</v>
      </c>
      <c r="E29" s="142" t="s">
        <v>62</v>
      </c>
      <c r="F29" s="142"/>
      <c r="G29" s="142"/>
      <c r="H29" s="143">
        <f>SUM(H30:H32)</f>
        <v>8046.6900000000005</v>
      </c>
      <c r="I29" s="143">
        <f>SUM(I30:I32)</f>
        <v>0</v>
      </c>
      <c r="J29" s="143">
        <f>SUM(J30:J32)</f>
        <v>8046.6900000000005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SUM(U30:U32)</f>
        <v>0</v>
      </c>
      <c r="V29" s="143">
        <f>SUM(V30:V32)</f>
        <v>75.224687999999986</v>
      </c>
      <c r="W29" s="143">
        <f>SUM(W30:W32)</f>
        <v>75.224687999999986</v>
      </c>
      <c r="X29" s="143">
        <f>SUM(X30:X32)</f>
        <v>7971.4653120000003</v>
      </c>
      <c r="Y29" s="87"/>
      <c r="Z29" s="120"/>
    </row>
    <row r="30" spans="1:31" s="90" customFormat="1" ht="54.75" customHeight="1" x14ac:dyDescent="0.2">
      <c r="A30" s="154"/>
      <c r="B30" s="116" t="s">
        <v>137</v>
      </c>
      <c r="C30" s="116" t="s">
        <v>147</v>
      </c>
      <c r="D30" s="124" t="s">
        <v>111</v>
      </c>
      <c r="E30" s="124" t="s">
        <v>218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 t="s">
        <v>109</v>
      </c>
      <c r="B31" s="116" t="s">
        <v>135</v>
      </c>
      <c r="C31" s="116" t="s">
        <v>147</v>
      </c>
      <c r="D31" s="121" t="s">
        <v>71</v>
      </c>
      <c r="E31" s="124" t="s">
        <v>218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6"/>
    </row>
    <row r="32" spans="1:31" s="69" customFormat="1" ht="54.95" customHeight="1" x14ac:dyDescent="0.2">
      <c r="A32" s="116"/>
      <c r="B32" s="116" t="s">
        <v>331</v>
      </c>
      <c r="C32" s="116" t="s">
        <v>147</v>
      </c>
      <c r="D32" s="121" t="s">
        <v>352</v>
      </c>
      <c r="E32" s="124" t="s">
        <v>218</v>
      </c>
      <c r="F32" s="133">
        <v>15</v>
      </c>
      <c r="G32" s="134">
        <v>178.81533333333334</v>
      </c>
      <c r="H32" s="152">
        <v>2682.23</v>
      </c>
      <c r="I32" s="153">
        <v>0</v>
      </c>
      <c r="J32" s="152">
        <f>SUM(H32:I32)</f>
        <v>2682.23</v>
      </c>
      <c r="K32" s="128">
        <f t="shared" ref="K32" si="42">IF(H32/15&lt;=123.22,I32,I32/2)</f>
        <v>0</v>
      </c>
      <c r="L32" s="128">
        <f t="shared" ref="L32" si="43">H32+K32</f>
        <v>2682.23</v>
      </c>
      <c r="M32" s="128">
        <f>VLOOKUP(L32,Tarifa1,1)</f>
        <v>2422.81</v>
      </c>
      <c r="N32" s="128">
        <f t="shared" ref="N32" si="44">L32-M32</f>
        <v>259.42000000000007</v>
      </c>
      <c r="O32" s="129">
        <f>VLOOKUP(L32,Tarifa1,3)</f>
        <v>0.10879999999999999</v>
      </c>
      <c r="P32" s="128">
        <f t="shared" ref="P32" si="45">N32*O32</f>
        <v>28.224896000000005</v>
      </c>
      <c r="Q32" s="130">
        <f>VLOOKUP(L32,Tarifa1,2)</f>
        <v>142.19999999999999</v>
      </c>
      <c r="R32" s="128">
        <f t="shared" ref="R32" si="46">P32+Q32</f>
        <v>170.42489599999999</v>
      </c>
      <c r="S32" s="128">
        <f>VLOOKUP(L32,Credito1,2)</f>
        <v>145.35</v>
      </c>
      <c r="T32" s="128">
        <f t="shared" ref="T32" si="47">R32-S32</f>
        <v>25.074895999999995</v>
      </c>
      <c r="U32" s="152">
        <f>-IF(T32&gt;0,0,T32)</f>
        <v>0</v>
      </c>
      <c r="V32" s="152">
        <f>IF(T32&lt;0,0,T32)</f>
        <v>25.074895999999995</v>
      </c>
      <c r="W32" s="152">
        <f>SUM(V32:V32)</f>
        <v>25.074895999999995</v>
      </c>
      <c r="X32" s="152">
        <f>J32+U32-W32</f>
        <v>2657.1551039999999</v>
      </c>
      <c r="Y32" s="74"/>
    </row>
    <row r="33" spans="1:37" s="69" customFormat="1" ht="54.95" customHeight="1" x14ac:dyDescent="0.2">
      <c r="A33" s="116"/>
      <c r="B33" s="140" t="s">
        <v>124</v>
      </c>
      <c r="C33" s="140" t="s">
        <v>164</v>
      </c>
      <c r="D33" s="141" t="s">
        <v>160</v>
      </c>
      <c r="E33" s="142" t="s">
        <v>62</v>
      </c>
      <c r="F33" s="142"/>
      <c r="G33" s="142"/>
      <c r="H33" s="143">
        <f>SUM(H34:H34)</f>
        <v>2311.48</v>
      </c>
      <c r="I33" s="143">
        <f>SUM(I34:I34)</f>
        <v>0</v>
      </c>
      <c r="J33" s="143">
        <f>SUM(J34:J34)</f>
        <v>2311.48</v>
      </c>
      <c r="K33" s="142"/>
      <c r="L33" s="142"/>
      <c r="M33" s="142"/>
      <c r="N33" s="142"/>
      <c r="O33" s="142"/>
      <c r="P33" s="142"/>
      <c r="Q33" s="145"/>
      <c r="R33" s="142"/>
      <c r="S33" s="142"/>
      <c r="T33" s="144"/>
      <c r="U33" s="143">
        <f>SUM(U34:U34)</f>
        <v>39.534719999999993</v>
      </c>
      <c r="V33" s="143">
        <f>SUM(V34:V34)</f>
        <v>0</v>
      </c>
      <c r="W33" s="143">
        <f>SUM(W34:W34)</f>
        <v>0</v>
      </c>
      <c r="X33" s="143">
        <f>SUM(X34:X34)</f>
        <v>2351.0147200000001</v>
      </c>
      <c r="Y33" s="87"/>
    </row>
    <row r="34" spans="1:37" s="69" customFormat="1" ht="54.95" customHeight="1" x14ac:dyDescent="0.2">
      <c r="A34" s="116" t="s">
        <v>110</v>
      </c>
      <c r="B34" s="116" t="s">
        <v>136</v>
      </c>
      <c r="C34" s="116" t="s">
        <v>147</v>
      </c>
      <c r="D34" s="121" t="s">
        <v>72</v>
      </c>
      <c r="E34" s="123" t="s">
        <v>90</v>
      </c>
      <c r="F34" s="133">
        <v>15</v>
      </c>
      <c r="G34" s="134">
        <v>73.040000000000006</v>
      </c>
      <c r="H34" s="119">
        <v>2311.48</v>
      </c>
      <c r="I34" s="126">
        <v>0</v>
      </c>
      <c r="J34" s="127">
        <f>SUM(H34:I34)</f>
        <v>2311.48</v>
      </c>
      <c r="K34" s="128">
        <f t="shared" ref="K34" si="48">IF(H34/15&lt;=123.22,I34,I34/2)</f>
        <v>0</v>
      </c>
      <c r="L34" s="128">
        <f t="shared" ref="L34" si="49">H34+K34</f>
        <v>2311.48</v>
      </c>
      <c r="M34" s="128">
        <f>VLOOKUP(L34,Tarifa1,1)</f>
        <v>285.45999999999998</v>
      </c>
      <c r="N34" s="128">
        <f t="shared" ref="N34" si="50">L34-M34</f>
        <v>2026.02</v>
      </c>
      <c r="O34" s="129">
        <f>VLOOKUP(L34,Tarifa1,3)</f>
        <v>6.4000000000000001E-2</v>
      </c>
      <c r="P34" s="128">
        <f t="shared" ref="P34" si="51">N34*O34</f>
        <v>129.66528</v>
      </c>
      <c r="Q34" s="130">
        <f>VLOOKUP(L34,Tarifa1,2)</f>
        <v>5.55</v>
      </c>
      <c r="R34" s="128">
        <f t="shared" ref="R34" si="52">P34+Q34</f>
        <v>135.21528000000001</v>
      </c>
      <c r="S34" s="128">
        <f>VLOOKUP(L34,Credito1,2)</f>
        <v>174.75</v>
      </c>
      <c r="T34" s="128">
        <f t="shared" ref="T34" si="53">R34-S34</f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76"/>
    </row>
    <row r="35" spans="1:37" s="69" customFormat="1" ht="21.75" customHeight="1" x14ac:dyDescent="0.2">
      <c r="A35" s="154"/>
      <c r="B35" s="155"/>
      <c r="C35" s="155"/>
      <c r="D35" s="156"/>
      <c r="E35" s="156"/>
      <c r="F35" s="157"/>
      <c r="G35" s="158"/>
      <c r="H35" s="159"/>
      <c r="I35" s="160"/>
      <c r="J35" s="161"/>
      <c r="K35" s="162"/>
      <c r="L35" s="162"/>
      <c r="M35" s="162"/>
      <c r="N35" s="162"/>
      <c r="O35" s="163"/>
      <c r="P35" s="162"/>
      <c r="Q35" s="162"/>
      <c r="R35" s="162"/>
      <c r="S35" s="162"/>
      <c r="T35" s="162"/>
      <c r="U35" s="161"/>
      <c r="V35" s="161"/>
      <c r="W35" s="161"/>
      <c r="X35" s="161"/>
    </row>
    <row r="36" spans="1:37" s="69" customFormat="1" ht="54.75" customHeight="1" thickBot="1" x14ac:dyDescent="0.25">
      <c r="A36" s="291" t="s">
        <v>45</v>
      </c>
      <c r="B36" s="292"/>
      <c r="C36" s="292"/>
      <c r="D36" s="292"/>
      <c r="E36" s="292"/>
      <c r="F36" s="292"/>
      <c r="G36" s="293"/>
      <c r="H36" s="164">
        <f>SUM(H9+H13+H15+H17+H20+H29+H33)</f>
        <v>79711.710000000006</v>
      </c>
      <c r="I36" s="164">
        <f>SUM(I9+I13+I15+I17+I20+I29+I33)</f>
        <v>0</v>
      </c>
      <c r="J36" s="164">
        <f>SUM(J9+J13+J15+J17+J20+J29+J33)</f>
        <v>79711.710000000006</v>
      </c>
      <c r="K36" s="165">
        <f t="shared" ref="K36:T36" si="54">SUM(K10:K34)</f>
        <v>0</v>
      </c>
      <c r="L36" s="165">
        <f t="shared" si="54"/>
        <v>79711.709999999992</v>
      </c>
      <c r="M36" s="165">
        <f t="shared" si="54"/>
        <v>63272.069999999985</v>
      </c>
      <c r="N36" s="165">
        <f t="shared" si="54"/>
        <v>16439.64</v>
      </c>
      <c r="O36" s="165">
        <f t="shared" si="54"/>
        <v>1.8752000000000002</v>
      </c>
      <c r="P36" s="165">
        <f t="shared" si="54"/>
        <v>3453.5574240000014</v>
      </c>
      <c r="Q36" s="165">
        <f t="shared" si="54"/>
        <v>8040.1500000000005</v>
      </c>
      <c r="R36" s="165">
        <f t="shared" si="54"/>
        <v>11493.707424000004</v>
      </c>
      <c r="S36" s="165">
        <f t="shared" si="54"/>
        <v>771.15</v>
      </c>
      <c r="T36" s="165">
        <f t="shared" si="54"/>
        <v>10722.557424000002</v>
      </c>
      <c r="U36" s="164">
        <f>SUM(U9+U13+U15+U17+U20+U29+U33)</f>
        <v>46.231344000000007</v>
      </c>
      <c r="V36" s="164">
        <f>SUM(V9+V13+V15+V17+V20+V29+V33)</f>
        <v>10768.781327999999</v>
      </c>
      <c r="W36" s="164">
        <f>SUM(W9+W13+W15+W17+W20+W29+W33)</f>
        <v>10768.781327999999</v>
      </c>
      <c r="X36" s="164">
        <f>SUM(X9+X13+X15+X17+X20+X29+X33)</f>
        <v>68989.160016000009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237</v>
      </c>
      <c r="V46" s="69" t="s">
        <v>112</v>
      </c>
    </row>
    <row r="47" spans="1:37" s="69" customFormat="1" ht="12" x14ac:dyDescent="0.2">
      <c r="D47" s="78" t="s">
        <v>236</v>
      </c>
      <c r="V47" s="78" t="s">
        <v>238</v>
      </c>
    </row>
    <row r="48" spans="1:37" s="69" customFormat="1" ht="12" x14ac:dyDescent="0.2">
      <c r="D48" s="78" t="s">
        <v>98</v>
      </c>
      <c r="E48" s="78"/>
      <c r="F48" s="78"/>
      <c r="G48" s="78"/>
      <c r="H48" s="78"/>
      <c r="I48" s="78"/>
      <c r="V48" s="78" t="s">
        <v>99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34 J11 J10 J21" formulaRange="1"/>
    <ignoredError sqref="C10 B12 C31: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5" t="s">
        <v>1</v>
      </c>
      <c r="I6" s="306"/>
      <c r="J6" s="307"/>
      <c r="K6" s="24" t="s">
        <v>26</v>
      </c>
      <c r="L6" s="25"/>
      <c r="M6" s="308" t="s">
        <v>9</v>
      </c>
      <c r="N6" s="309"/>
      <c r="O6" s="309"/>
      <c r="P6" s="309"/>
      <c r="Q6" s="309"/>
      <c r="R6" s="310"/>
      <c r="S6" s="24" t="s">
        <v>30</v>
      </c>
      <c r="T6" s="24" t="s">
        <v>10</v>
      </c>
      <c r="U6" s="23" t="s">
        <v>54</v>
      </c>
      <c r="V6" s="311" t="s">
        <v>2</v>
      </c>
      <c r="W6" s="312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89</v>
      </c>
      <c r="E9" s="46" t="s">
        <v>62</v>
      </c>
      <c r="F9" s="47"/>
      <c r="G9" s="4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147</v>
      </c>
      <c r="D10" s="166" t="s">
        <v>233</v>
      </c>
      <c r="E10" s="166" t="s">
        <v>89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291" t="s">
        <v>45</v>
      </c>
      <c r="B12" s="292"/>
      <c r="C12" s="292"/>
      <c r="D12" s="292"/>
      <c r="E12" s="292"/>
      <c r="F12" s="292"/>
      <c r="G12" s="293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239</v>
      </c>
      <c r="V22" t="s">
        <v>112</v>
      </c>
    </row>
    <row r="23" spans="4:37" x14ac:dyDescent="0.2">
      <c r="D23" s="78" t="s">
        <v>236</v>
      </c>
      <c r="H23" s="4"/>
      <c r="V23" s="78" t="s">
        <v>241</v>
      </c>
    </row>
    <row r="24" spans="4:37" x14ac:dyDescent="0.2">
      <c r="D24" s="51" t="s">
        <v>240</v>
      </c>
      <c r="E24" s="51"/>
      <c r="F24" s="51"/>
      <c r="G24" s="51"/>
      <c r="H24" s="51"/>
      <c r="I24" s="51"/>
      <c r="V24" s="51" t="s">
        <v>99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5" t="s">
        <v>1</v>
      </c>
      <c r="I6" s="306"/>
      <c r="J6" s="307"/>
      <c r="K6" s="24" t="s">
        <v>26</v>
      </c>
      <c r="L6" s="25"/>
      <c r="M6" s="308" t="s">
        <v>9</v>
      </c>
      <c r="N6" s="309"/>
      <c r="O6" s="309"/>
      <c r="P6" s="309"/>
      <c r="Q6" s="309"/>
      <c r="R6" s="310"/>
      <c r="S6" s="24" t="s">
        <v>30</v>
      </c>
      <c r="T6" s="24" t="s">
        <v>10</v>
      </c>
      <c r="U6" s="23" t="s">
        <v>54</v>
      </c>
      <c r="V6" s="311" t="s">
        <v>2</v>
      </c>
      <c r="W6" s="312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328</v>
      </c>
      <c r="E9" s="46" t="s">
        <v>62</v>
      </c>
      <c r="F9" s="47"/>
      <c r="G9" s="47"/>
      <c r="H9" s="228">
        <f>H10</f>
        <v>11606.91</v>
      </c>
      <c r="I9" s="228">
        <f>I10</f>
        <v>0</v>
      </c>
      <c r="J9" s="228">
        <f>J10</f>
        <v>11606.91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28">
        <f>U10</f>
        <v>0</v>
      </c>
      <c r="V9" s="228">
        <f>V10</f>
        <v>1841.0616</v>
      </c>
      <c r="W9" s="228">
        <f>W10</f>
        <v>1841.0616</v>
      </c>
      <c r="X9" s="228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234</v>
      </c>
      <c r="D10" s="166" t="s">
        <v>211</v>
      </c>
      <c r="E10" s="177" t="s">
        <v>288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124</v>
      </c>
      <c r="C11" s="203" t="s">
        <v>164</v>
      </c>
      <c r="D11" s="45" t="s">
        <v>167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270</v>
      </c>
      <c r="C12" s="62" t="s">
        <v>147</v>
      </c>
      <c r="D12" s="166" t="s">
        <v>235</v>
      </c>
      <c r="E12" s="166" t="s">
        <v>120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7"/>
      <c r="C13" s="218"/>
      <c r="D13" s="219"/>
      <c r="E13" s="219"/>
      <c r="F13" s="220"/>
      <c r="G13" s="221"/>
      <c r="H13" s="222"/>
      <c r="I13" s="223"/>
      <c r="J13" s="224"/>
      <c r="K13" s="225"/>
      <c r="L13" s="225"/>
      <c r="M13" s="225"/>
      <c r="N13" s="225"/>
      <c r="O13" s="226"/>
      <c r="P13" s="225"/>
      <c r="Q13" s="227"/>
      <c r="R13" s="225"/>
      <c r="S13" s="225"/>
      <c r="T13" s="225"/>
      <c r="U13" s="224"/>
      <c r="V13" s="224"/>
      <c r="W13" s="224"/>
      <c r="X13" s="224"/>
    </row>
    <row r="14" spans="1:25" ht="40.5" customHeight="1" thickBot="1" x14ac:dyDescent="0.3">
      <c r="A14" s="291" t="s">
        <v>45</v>
      </c>
      <c r="B14" s="292"/>
      <c r="C14" s="292"/>
      <c r="D14" s="292"/>
      <c r="E14" s="292"/>
      <c r="F14" s="292"/>
      <c r="G14" s="293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239</v>
      </c>
      <c r="V24" t="s">
        <v>112</v>
      </c>
    </row>
    <row r="25" spans="4:37" x14ac:dyDescent="0.2">
      <c r="D25" s="78" t="s">
        <v>236</v>
      </c>
      <c r="H25" s="4"/>
      <c r="V25" s="78" t="s">
        <v>241</v>
      </c>
    </row>
    <row r="26" spans="4:37" x14ac:dyDescent="0.2">
      <c r="D26" s="51" t="s">
        <v>240</v>
      </c>
      <c r="E26" s="51"/>
      <c r="F26" s="51"/>
      <c r="G26" s="51"/>
      <c r="H26" s="51"/>
      <c r="I26" s="51"/>
      <c r="V26" s="51" t="s">
        <v>99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B20" zoomScale="80" zoomScaleNormal="80" workbookViewId="0">
      <selection activeCell="W2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4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31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31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" x14ac:dyDescent="0.2">
      <c r="A5" s="65"/>
      <c r="B5" s="65"/>
      <c r="C5" s="65"/>
      <c r="D5" s="65"/>
      <c r="E5" s="65"/>
      <c r="F5" s="66" t="s">
        <v>23</v>
      </c>
      <c r="G5" s="66" t="s">
        <v>6</v>
      </c>
      <c r="H5" s="297" t="s">
        <v>1</v>
      </c>
      <c r="I5" s="298"/>
      <c r="J5" s="299"/>
      <c r="K5" s="67" t="s">
        <v>26</v>
      </c>
      <c r="L5" s="68"/>
      <c r="M5" s="300" t="s">
        <v>9</v>
      </c>
      <c r="N5" s="301"/>
      <c r="O5" s="301"/>
      <c r="P5" s="301"/>
      <c r="Q5" s="301"/>
      <c r="R5" s="302"/>
      <c r="S5" s="67" t="s">
        <v>30</v>
      </c>
      <c r="T5" s="67" t="s">
        <v>10</v>
      </c>
      <c r="U5" s="66" t="s">
        <v>54</v>
      </c>
      <c r="V5" s="303" t="s">
        <v>2</v>
      </c>
      <c r="W5" s="304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124</v>
      </c>
      <c r="C6" s="64" t="s">
        <v>148</v>
      </c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79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165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78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49" t="s">
        <v>103</v>
      </c>
      <c r="B9" s="250" t="s">
        <v>320</v>
      </c>
      <c r="C9" s="251" t="s">
        <v>234</v>
      </c>
      <c r="D9" s="252" t="s">
        <v>316</v>
      </c>
      <c r="E9" s="253" t="s">
        <v>317</v>
      </c>
      <c r="F9" s="254">
        <v>15</v>
      </c>
      <c r="G9" s="255">
        <f t="shared" ref="G9:G13" si="0">H9/F9</f>
        <v>398.32800000000003</v>
      </c>
      <c r="H9" s="256">
        <v>5974.92</v>
      </c>
      <c r="I9" s="257">
        <v>0</v>
      </c>
      <c r="J9" s="258">
        <f t="shared" ref="J9" si="1">SUM(H9:I9)</f>
        <v>5974.92</v>
      </c>
      <c r="K9" s="259">
        <f>IF(H9/15&lt;=123.22,I9,I9/2)</f>
        <v>0</v>
      </c>
      <c r="L9" s="259">
        <f>H9+K9</f>
        <v>5974.92</v>
      </c>
      <c r="M9" s="259">
        <f t="shared" ref="M9:M35" si="2">VLOOKUP(L9,Tarifa1,1)</f>
        <v>5925.91</v>
      </c>
      <c r="N9" s="259">
        <f>L9-M9</f>
        <v>49.010000000000218</v>
      </c>
      <c r="O9" s="260">
        <f t="shared" ref="O9:O35" si="3">VLOOKUP(L9,Tarifa1,3)</f>
        <v>0.21360000000000001</v>
      </c>
      <c r="P9" s="259">
        <f>N9*O9</f>
        <v>10.468536000000046</v>
      </c>
      <c r="Q9" s="261">
        <f t="shared" ref="Q9:Q35" si="4">VLOOKUP(L9,Tarifa1,2)</f>
        <v>627.6</v>
      </c>
      <c r="R9" s="259">
        <f>P9+Q9</f>
        <v>638.06853600000011</v>
      </c>
      <c r="S9" s="259">
        <f t="shared" ref="S9:S35" si="5">VLOOKUP(L9,Credito1,2)</f>
        <v>0</v>
      </c>
      <c r="T9" s="259">
        <f>R9-S9</f>
        <v>638.06853600000011</v>
      </c>
      <c r="U9" s="258">
        <f t="shared" ref="U9" si="6">-IF(T9&gt;0,0,T9)</f>
        <v>0</v>
      </c>
      <c r="V9" s="258">
        <f t="shared" ref="V9" si="7">IF(T9&lt;0,0,T9)</f>
        <v>638.06853600000011</v>
      </c>
      <c r="W9" s="258">
        <f>SUM(V9:V9)</f>
        <v>638.06853600000011</v>
      </c>
      <c r="X9" s="258">
        <f>J9+U9-W9</f>
        <v>5336.8514640000003</v>
      </c>
      <c r="Y9" s="262"/>
      <c r="Z9" s="190"/>
      <c r="AE9" s="191"/>
    </row>
    <row r="10" spans="1:31" s="188" customFormat="1" ht="95.1" customHeight="1" x14ac:dyDescent="0.25">
      <c r="A10" s="249"/>
      <c r="B10" s="250" t="s">
        <v>265</v>
      </c>
      <c r="C10" s="251" t="s">
        <v>147</v>
      </c>
      <c r="D10" s="252" t="s">
        <v>200</v>
      </c>
      <c r="E10" s="253" t="s">
        <v>201</v>
      </c>
      <c r="F10" s="254">
        <v>15</v>
      </c>
      <c r="G10" s="255">
        <f t="shared" ref="G10" si="8">H10/F10</f>
        <v>259.10000000000002</v>
      </c>
      <c r="H10" s="256">
        <v>3886.5</v>
      </c>
      <c r="I10" s="257">
        <v>0</v>
      </c>
      <c r="J10" s="258">
        <f>SUM(H10:I10)</f>
        <v>3886.5</v>
      </c>
      <c r="K10" s="259">
        <f t="shared" ref="K10:K13" si="9">IF(H10/15&lt;=123.22,I10,I10/2)</f>
        <v>0</v>
      </c>
      <c r="L10" s="259">
        <f t="shared" ref="L10:L13" si="10">H10+K10</f>
        <v>3886.5</v>
      </c>
      <c r="M10" s="259">
        <f t="shared" si="2"/>
        <v>2422.81</v>
      </c>
      <c r="N10" s="259">
        <f t="shared" ref="N10:N13" si="11">L10-M10</f>
        <v>1463.69</v>
      </c>
      <c r="O10" s="260">
        <f t="shared" si="3"/>
        <v>0.10879999999999999</v>
      </c>
      <c r="P10" s="259">
        <f t="shared" ref="P10:P13" si="12">N10*O10</f>
        <v>159.249472</v>
      </c>
      <c r="Q10" s="261">
        <f t="shared" si="4"/>
        <v>142.19999999999999</v>
      </c>
      <c r="R10" s="259">
        <f t="shared" ref="R10:R13" si="13">P10+Q10</f>
        <v>301.44947200000001</v>
      </c>
      <c r="S10" s="259">
        <f t="shared" si="5"/>
        <v>0</v>
      </c>
      <c r="T10" s="259">
        <f t="shared" ref="T10:T13" si="14">R10-S10</f>
        <v>301.44947200000001</v>
      </c>
      <c r="U10" s="258">
        <f t="shared" ref="U10" si="15">-IF(T10&gt;0,0,T10)</f>
        <v>0</v>
      </c>
      <c r="V10" s="258">
        <f>IF(T10&lt;0,0,T10)</f>
        <v>301.44947200000001</v>
      </c>
      <c r="W10" s="258">
        <f>SUM(V10:V10)</f>
        <v>301.44947200000001</v>
      </c>
      <c r="X10" s="258">
        <f>J10+U10-W10</f>
        <v>3585.0505279999998</v>
      </c>
      <c r="Y10" s="262"/>
      <c r="Z10" s="190"/>
      <c r="AE10" s="191"/>
    </row>
    <row r="11" spans="1:31" s="188" customFormat="1" ht="95.1" customHeight="1" x14ac:dyDescent="0.25">
      <c r="A11" s="249" t="s">
        <v>104</v>
      </c>
      <c r="B11" s="250" t="s">
        <v>266</v>
      </c>
      <c r="C11" s="251" t="s">
        <v>147</v>
      </c>
      <c r="D11" s="252" t="s">
        <v>202</v>
      </c>
      <c r="E11" s="253" t="s">
        <v>205</v>
      </c>
      <c r="F11" s="254">
        <v>15</v>
      </c>
      <c r="G11" s="255">
        <f t="shared" si="0"/>
        <v>518.70799999999997</v>
      </c>
      <c r="H11" s="256">
        <v>7780.62</v>
      </c>
      <c r="I11" s="257">
        <v>0</v>
      </c>
      <c r="J11" s="258">
        <f>SUM(H11:I11)</f>
        <v>7780.62</v>
      </c>
      <c r="K11" s="259">
        <f t="shared" si="9"/>
        <v>0</v>
      </c>
      <c r="L11" s="259">
        <f t="shared" si="10"/>
        <v>7780.62</v>
      </c>
      <c r="M11" s="259">
        <f t="shared" si="2"/>
        <v>5925.91</v>
      </c>
      <c r="N11" s="259">
        <f t="shared" si="11"/>
        <v>1854.71</v>
      </c>
      <c r="O11" s="260">
        <f t="shared" si="3"/>
        <v>0.21360000000000001</v>
      </c>
      <c r="P11" s="259">
        <f t="shared" si="12"/>
        <v>396.16605600000003</v>
      </c>
      <c r="Q11" s="261">
        <f t="shared" si="4"/>
        <v>627.6</v>
      </c>
      <c r="R11" s="259">
        <f t="shared" si="13"/>
        <v>1023.766056</v>
      </c>
      <c r="S11" s="259">
        <f t="shared" si="5"/>
        <v>0</v>
      </c>
      <c r="T11" s="259">
        <f t="shared" si="14"/>
        <v>1023.766056</v>
      </c>
      <c r="U11" s="258">
        <f t="shared" ref="U11:U13" si="16">-IF(T11&gt;0,0,T11)</f>
        <v>0</v>
      </c>
      <c r="V11" s="258">
        <f>IF(T11&lt;0,0,T11)</f>
        <v>1023.766056</v>
      </c>
      <c r="W11" s="258">
        <f>SUM(V11:V11)</f>
        <v>1023.766056</v>
      </c>
      <c r="X11" s="258">
        <f>J11+U11-W11</f>
        <v>6756.8539439999995</v>
      </c>
      <c r="Y11" s="262"/>
      <c r="AE11" s="192"/>
    </row>
    <row r="12" spans="1:31" s="188" customFormat="1" ht="95.1" customHeight="1" x14ac:dyDescent="0.25">
      <c r="A12" s="249" t="s">
        <v>105</v>
      </c>
      <c r="B12" s="251" t="s">
        <v>141</v>
      </c>
      <c r="C12" s="251" t="s">
        <v>147</v>
      </c>
      <c r="D12" s="252" t="s">
        <v>74</v>
      </c>
      <c r="E12" s="253" t="s">
        <v>204</v>
      </c>
      <c r="F12" s="254">
        <v>15</v>
      </c>
      <c r="G12" s="255">
        <f t="shared" si="0"/>
        <v>429.97999999999996</v>
      </c>
      <c r="H12" s="256">
        <v>6449.7</v>
      </c>
      <c r="I12" s="257">
        <v>0</v>
      </c>
      <c r="J12" s="258">
        <f>SUM(H12:I12)</f>
        <v>6449.7</v>
      </c>
      <c r="K12" s="259">
        <f t="shared" si="9"/>
        <v>0</v>
      </c>
      <c r="L12" s="259">
        <f t="shared" si="10"/>
        <v>6449.7</v>
      </c>
      <c r="M12" s="259">
        <f t="shared" si="2"/>
        <v>5925.91</v>
      </c>
      <c r="N12" s="259">
        <f t="shared" si="11"/>
        <v>523.79</v>
      </c>
      <c r="O12" s="260">
        <f t="shared" si="3"/>
        <v>0.21360000000000001</v>
      </c>
      <c r="P12" s="259">
        <f t="shared" si="12"/>
        <v>111.88154400000001</v>
      </c>
      <c r="Q12" s="261">
        <f t="shared" si="4"/>
        <v>627.6</v>
      </c>
      <c r="R12" s="259">
        <f t="shared" si="13"/>
        <v>739.48154399999999</v>
      </c>
      <c r="S12" s="259">
        <f t="shared" si="5"/>
        <v>0</v>
      </c>
      <c r="T12" s="259">
        <f t="shared" si="14"/>
        <v>739.48154399999999</v>
      </c>
      <c r="U12" s="258">
        <f t="shared" si="16"/>
        <v>0</v>
      </c>
      <c r="V12" s="258">
        <f t="shared" ref="V12:V13" si="17">IF(T12&lt;0,0,T12)</f>
        <v>739.48154399999999</v>
      </c>
      <c r="W12" s="258">
        <f>SUM(V12:V12)</f>
        <v>739.48154399999999</v>
      </c>
      <c r="X12" s="258">
        <f>J12+U12-W12</f>
        <v>5710.2184559999996</v>
      </c>
      <c r="Y12" s="262"/>
    </row>
    <row r="13" spans="1:31" s="188" customFormat="1" ht="95.1" customHeight="1" x14ac:dyDescent="0.25">
      <c r="A13" s="249" t="s">
        <v>106</v>
      </c>
      <c r="B13" s="251" t="s">
        <v>142</v>
      </c>
      <c r="C13" s="251" t="s">
        <v>147</v>
      </c>
      <c r="D13" s="252" t="s">
        <v>75</v>
      </c>
      <c r="E13" s="253" t="s">
        <v>76</v>
      </c>
      <c r="F13" s="254">
        <v>15</v>
      </c>
      <c r="G13" s="255">
        <f t="shared" si="0"/>
        <v>378.5506666666667</v>
      </c>
      <c r="H13" s="256">
        <v>5678.26</v>
      </c>
      <c r="I13" s="257">
        <v>0</v>
      </c>
      <c r="J13" s="256">
        <f>H13</f>
        <v>5678.26</v>
      </c>
      <c r="K13" s="259">
        <f t="shared" si="9"/>
        <v>0</v>
      </c>
      <c r="L13" s="259">
        <f t="shared" si="10"/>
        <v>5678.26</v>
      </c>
      <c r="M13" s="259">
        <f t="shared" si="2"/>
        <v>4949.5600000000004</v>
      </c>
      <c r="N13" s="259">
        <f t="shared" si="11"/>
        <v>728.69999999999982</v>
      </c>
      <c r="O13" s="260">
        <f t="shared" si="3"/>
        <v>0.1792</v>
      </c>
      <c r="P13" s="259">
        <f t="shared" si="12"/>
        <v>130.58303999999995</v>
      </c>
      <c r="Q13" s="261">
        <f t="shared" si="4"/>
        <v>452.55</v>
      </c>
      <c r="R13" s="259">
        <f t="shared" si="13"/>
        <v>583.13303999999994</v>
      </c>
      <c r="S13" s="259">
        <f t="shared" si="5"/>
        <v>0</v>
      </c>
      <c r="T13" s="259">
        <f t="shared" si="14"/>
        <v>583.13303999999994</v>
      </c>
      <c r="U13" s="258">
        <f t="shared" si="16"/>
        <v>0</v>
      </c>
      <c r="V13" s="258">
        <f t="shared" si="17"/>
        <v>583.13303999999994</v>
      </c>
      <c r="W13" s="258">
        <f>SUM(V13:V13)</f>
        <v>583.13303999999994</v>
      </c>
      <c r="X13" s="258">
        <f>J13+U13-W13+I13</f>
        <v>5095.1269600000005</v>
      </c>
      <c r="Y13" s="262"/>
      <c r="AE13" s="191"/>
    </row>
    <row r="14" spans="1:31" s="188" customFormat="1" ht="95.1" customHeight="1" x14ac:dyDescent="0.25">
      <c r="A14" s="249"/>
      <c r="B14" s="251" t="s">
        <v>337</v>
      </c>
      <c r="C14" s="251" t="s">
        <v>147</v>
      </c>
      <c r="D14" s="263" t="s">
        <v>334</v>
      </c>
      <c r="E14" s="253" t="s">
        <v>76</v>
      </c>
      <c r="F14" s="254"/>
      <c r="G14" s="255"/>
      <c r="H14" s="256">
        <v>5678.26</v>
      </c>
      <c r="I14" s="257">
        <v>0</v>
      </c>
      <c r="J14" s="256">
        <f>H14</f>
        <v>5678.26</v>
      </c>
      <c r="K14" s="259">
        <f t="shared" ref="K14:K17" si="18">IF(H14/15&lt;=123.22,I14,I14/2)</f>
        <v>0</v>
      </c>
      <c r="L14" s="259">
        <f t="shared" ref="L14:L17" si="19">H14+K14</f>
        <v>5678.26</v>
      </c>
      <c r="M14" s="259">
        <f t="shared" si="2"/>
        <v>4949.5600000000004</v>
      </c>
      <c r="N14" s="259">
        <f t="shared" ref="N14:N17" si="20">L14-M14</f>
        <v>728.69999999999982</v>
      </c>
      <c r="O14" s="260">
        <f t="shared" si="3"/>
        <v>0.1792</v>
      </c>
      <c r="P14" s="259">
        <f t="shared" ref="P14:P17" si="21">N14*O14</f>
        <v>130.58303999999995</v>
      </c>
      <c r="Q14" s="261">
        <f t="shared" si="4"/>
        <v>452.55</v>
      </c>
      <c r="R14" s="259">
        <f t="shared" ref="R14:R17" si="22">P14+Q14</f>
        <v>583.13303999999994</v>
      </c>
      <c r="S14" s="259">
        <f t="shared" si="5"/>
        <v>0</v>
      </c>
      <c r="T14" s="259">
        <f t="shared" ref="T14:T17" si="23">R14-S14</f>
        <v>583.13303999999994</v>
      </c>
      <c r="U14" s="258">
        <f>-IF(T14&gt;0,0,T14)</f>
        <v>0</v>
      </c>
      <c r="V14" s="258">
        <f>IF(T14&lt;0,0,T14)</f>
        <v>583.13303999999994</v>
      </c>
      <c r="W14" s="258">
        <f>SUM(V14:V14)</f>
        <v>583.13303999999994</v>
      </c>
      <c r="X14" s="258">
        <f>J14+U14-W14+I14</f>
        <v>5095.1269600000005</v>
      </c>
      <c r="Y14" s="262"/>
      <c r="AE14" s="191"/>
    </row>
    <row r="15" spans="1:31" s="188" customFormat="1" ht="95.1" customHeight="1" x14ac:dyDescent="0.25">
      <c r="A15" s="249"/>
      <c r="B15" s="251" t="s">
        <v>362</v>
      </c>
      <c r="C15" s="251" t="s">
        <v>234</v>
      </c>
      <c r="D15" s="263" t="s">
        <v>361</v>
      </c>
      <c r="E15" s="253" t="s">
        <v>76</v>
      </c>
      <c r="F15" s="254"/>
      <c r="G15" s="255"/>
      <c r="H15" s="256">
        <v>5678.26</v>
      </c>
      <c r="I15" s="257">
        <v>0</v>
      </c>
      <c r="J15" s="256">
        <f>H15</f>
        <v>5678.26</v>
      </c>
      <c r="K15" s="259">
        <f t="shared" si="18"/>
        <v>0</v>
      </c>
      <c r="L15" s="259">
        <f t="shared" si="19"/>
        <v>5678.26</v>
      </c>
      <c r="M15" s="259">
        <f t="shared" si="2"/>
        <v>4949.5600000000004</v>
      </c>
      <c r="N15" s="259">
        <f t="shared" si="20"/>
        <v>728.69999999999982</v>
      </c>
      <c r="O15" s="260">
        <f t="shared" si="3"/>
        <v>0.1792</v>
      </c>
      <c r="P15" s="259">
        <f t="shared" si="21"/>
        <v>130.58303999999995</v>
      </c>
      <c r="Q15" s="261">
        <f t="shared" si="4"/>
        <v>452.55</v>
      </c>
      <c r="R15" s="259">
        <f t="shared" si="22"/>
        <v>583.13303999999994</v>
      </c>
      <c r="S15" s="259">
        <f t="shared" si="5"/>
        <v>0</v>
      </c>
      <c r="T15" s="259">
        <f t="shared" si="23"/>
        <v>583.13303999999994</v>
      </c>
      <c r="U15" s="258">
        <f t="shared" ref="U15" si="24">-IF(T15&gt;0,0,T15)</f>
        <v>0</v>
      </c>
      <c r="V15" s="258">
        <f t="shared" ref="V15" si="25">IF(T15&lt;0,0,T15)</f>
        <v>583.13303999999994</v>
      </c>
      <c r="W15" s="258">
        <f>SUM(V15:V15)</f>
        <v>583.13303999999994</v>
      </c>
      <c r="X15" s="258">
        <f>J15+U15-W15+I15</f>
        <v>5095.1269600000005</v>
      </c>
      <c r="Y15" s="262"/>
      <c r="AE15" s="191"/>
    </row>
    <row r="16" spans="1:31" s="188" customFormat="1" ht="95.1" customHeight="1" x14ac:dyDescent="0.25">
      <c r="A16" s="249"/>
      <c r="B16" s="250" t="s">
        <v>374</v>
      </c>
      <c r="C16" s="251" t="s">
        <v>234</v>
      </c>
      <c r="D16" s="252" t="s">
        <v>360</v>
      </c>
      <c r="E16" s="253" t="s">
        <v>76</v>
      </c>
      <c r="F16" s="254"/>
      <c r="G16" s="255"/>
      <c r="H16" s="256">
        <v>5678.26</v>
      </c>
      <c r="I16" s="257">
        <v>0</v>
      </c>
      <c r="J16" s="256">
        <f>H16</f>
        <v>5678.26</v>
      </c>
      <c r="K16" s="259">
        <f t="shared" si="18"/>
        <v>0</v>
      </c>
      <c r="L16" s="259">
        <f t="shared" si="19"/>
        <v>5678.26</v>
      </c>
      <c r="M16" s="259">
        <f t="shared" si="2"/>
        <v>4949.5600000000004</v>
      </c>
      <c r="N16" s="259">
        <f t="shared" si="20"/>
        <v>728.69999999999982</v>
      </c>
      <c r="O16" s="260">
        <f t="shared" si="3"/>
        <v>0.1792</v>
      </c>
      <c r="P16" s="259">
        <f t="shared" si="21"/>
        <v>130.58303999999995</v>
      </c>
      <c r="Q16" s="261">
        <f t="shared" si="4"/>
        <v>452.55</v>
      </c>
      <c r="R16" s="259">
        <f t="shared" si="22"/>
        <v>583.13303999999994</v>
      </c>
      <c r="S16" s="259">
        <f t="shared" si="5"/>
        <v>0</v>
      </c>
      <c r="T16" s="259">
        <f t="shared" si="23"/>
        <v>583.13303999999994</v>
      </c>
      <c r="U16" s="258">
        <f t="shared" ref="U16" si="26">-IF(T16&gt;0,0,T16)</f>
        <v>0</v>
      </c>
      <c r="V16" s="258">
        <f t="shared" ref="V16" si="27">IF(T16&lt;0,0,T16)</f>
        <v>583.13303999999994</v>
      </c>
      <c r="W16" s="258">
        <f>SUM(V16:V16)</f>
        <v>583.13303999999994</v>
      </c>
      <c r="X16" s="258">
        <f>J16+U16-W16+I16</f>
        <v>5095.1269600000005</v>
      </c>
      <c r="Y16" s="262"/>
      <c r="AE16" s="191"/>
    </row>
    <row r="17" spans="1:31" s="188" customFormat="1" ht="95.1" customHeight="1" x14ac:dyDescent="0.25">
      <c r="A17" s="249"/>
      <c r="B17" s="251" t="s">
        <v>143</v>
      </c>
      <c r="C17" s="251" t="s">
        <v>147</v>
      </c>
      <c r="D17" s="252" t="s">
        <v>77</v>
      </c>
      <c r="E17" s="253" t="s">
        <v>203</v>
      </c>
      <c r="F17" s="254">
        <v>15</v>
      </c>
      <c r="G17" s="255">
        <f>H17/F17</f>
        <v>517.72866666666664</v>
      </c>
      <c r="H17" s="256">
        <v>7765.93</v>
      </c>
      <c r="I17" s="257">
        <v>0</v>
      </c>
      <c r="J17" s="258">
        <f>SUM(H17:I17)</f>
        <v>7765.93</v>
      </c>
      <c r="K17" s="259">
        <f t="shared" si="18"/>
        <v>0</v>
      </c>
      <c r="L17" s="259">
        <f t="shared" si="19"/>
        <v>7765.93</v>
      </c>
      <c r="M17" s="259">
        <f t="shared" si="2"/>
        <v>5925.91</v>
      </c>
      <c r="N17" s="259">
        <f t="shared" si="20"/>
        <v>1840.0200000000004</v>
      </c>
      <c r="O17" s="260">
        <f t="shared" si="3"/>
        <v>0.21360000000000001</v>
      </c>
      <c r="P17" s="259">
        <f t="shared" si="21"/>
        <v>393.02827200000013</v>
      </c>
      <c r="Q17" s="261">
        <f t="shared" si="4"/>
        <v>627.6</v>
      </c>
      <c r="R17" s="259">
        <f t="shared" si="22"/>
        <v>1020.6282720000002</v>
      </c>
      <c r="S17" s="259">
        <f t="shared" si="5"/>
        <v>0</v>
      </c>
      <c r="T17" s="259">
        <f t="shared" si="23"/>
        <v>1020.6282720000002</v>
      </c>
      <c r="U17" s="258">
        <f>-IF(T17&gt;0,0,T17)</f>
        <v>0</v>
      </c>
      <c r="V17" s="258">
        <f>IF(T17&lt;0,0,T17)</f>
        <v>1020.6282720000002</v>
      </c>
      <c r="W17" s="258">
        <f>SUM(V17:V17)</f>
        <v>1020.6282720000002</v>
      </c>
      <c r="X17" s="258">
        <f>J17+U17-W17</f>
        <v>6745.3017280000004</v>
      </c>
      <c r="Y17" s="262"/>
      <c r="AE17" s="191"/>
    </row>
    <row r="18" spans="1:31" s="188" customFormat="1" ht="95.1" customHeight="1" x14ac:dyDescent="0.25">
      <c r="A18" s="249"/>
      <c r="B18" s="251" t="s">
        <v>344</v>
      </c>
      <c r="C18" s="251" t="s">
        <v>234</v>
      </c>
      <c r="D18" s="252" t="s">
        <v>345</v>
      </c>
      <c r="E18" s="253" t="s">
        <v>203</v>
      </c>
      <c r="F18" s="254">
        <v>15</v>
      </c>
      <c r="G18" s="255">
        <f t="shared" ref="G18" si="28">H18/F18</f>
        <v>517.72866666666664</v>
      </c>
      <c r="H18" s="256">
        <v>7765.93</v>
      </c>
      <c r="I18" s="257">
        <v>0</v>
      </c>
      <c r="J18" s="258">
        <f t="shared" ref="J18" si="29">SUM(H18:I18)</f>
        <v>7765.93</v>
      </c>
      <c r="K18" s="259">
        <f>IF(H18/15&lt;=123.22,I18,I18/2)</f>
        <v>0</v>
      </c>
      <c r="L18" s="259">
        <f>H18+K18</f>
        <v>7765.93</v>
      </c>
      <c r="M18" s="259">
        <f t="shared" si="2"/>
        <v>5925.91</v>
      </c>
      <c r="N18" s="259">
        <f>L18-M18</f>
        <v>1840.0200000000004</v>
      </c>
      <c r="O18" s="260">
        <f t="shared" si="3"/>
        <v>0.21360000000000001</v>
      </c>
      <c r="P18" s="259">
        <f>N18*O18</f>
        <v>393.02827200000013</v>
      </c>
      <c r="Q18" s="261">
        <f t="shared" si="4"/>
        <v>627.6</v>
      </c>
      <c r="R18" s="259">
        <f>P18+Q18</f>
        <v>1020.6282720000002</v>
      </c>
      <c r="S18" s="259">
        <f t="shared" si="5"/>
        <v>0</v>
      </c>
      <c r="T18" s="259">
        <f>R18-S18</f>
        <v>1020.6282720000002</v>
      </c>
      <c r="U18" s="258">
        <f>-IF(T18&gt;0,0,T18)</f>
        <v>0</v>
      </c>
      <c r="V18" s="258">
        <f>IF(T18&lt;0,0,T18)</f>
        <v>1020.6282720000002</v>
      </c>
      <c r="W18" s="258">
        <f>SUM(V18:V18)</f>
        <v>1020.6282720000002</v>
      </c>
      <c r="X18" s="258">
        <f>J18+U18-W18</f>
        <v>6745.3017280000004</v>
      </c>
      <c r="Y18" s="262"/>
      <c r="AE18" s="191"/>
    </row>
    <row r="19" spans="1:31" s="188" customFormat="1" ht="95.1" customHeight="1" x14ac:dyDescent="0.25">
      <c r="A19" s="249"/>
      <c r="B19" s="251" t="s">
        <v>189</v>
      </c>
      <c r="C19" s="251" t="s">
        <v>147</v>
      </c>
      <c r="D19" s="263" t="s">
        <v>187</v>
      </c>
      <c r="E19" s="253" t="s">
        <v>300</v>
      </c>
      <c r="F19" s="254">
        <v>15</v>
      </c>
      <c r="G19" s="255">
        <f t="shared" ref="G19:G34" si="30">H19/F19</f>
        <v>414.26133333333331</v>
      </c>
      <c r="H19" s="256">
        <v>6213.92</v>
      </c>
      <c r="I19" s="257">
        <v>0</v>
      </c>
      <c r="J19" s="258">
        <f t="shared" ref="J19:J34" si="31">SUM(H19:I19)</f>
        <v>6213.92</v>
      </c>
      <c r="K19" s="259">
        <f t="shared" ref="K19:K20" si="32">IF(H19/15&lt;=123.22,I19,I19/2)</f>
        <v>0</v>
      </c>
      <c r="L19" s="259">
        <f t="shared" ref="L19:L20" si="33">H19+K19</f>
        <v>6213.92</v>
      </c>
      <c r="M19" s="259">
        <f t="shared" si="2"/>
        <v>5925.91</v>
      </c>
      <c r="N19" s="259">
        <f t="shared" ref="N19:N20" si="34">L19-M19</f>
        <v>288.01000000000022</v>
      </c>
      <c r="O19" s="260">
        <f t="shared" si="3"/>
        <v>0.21360000000000001</v>
      </c>
      <c r="P19" s="259">
        <f t="shared" ref="P19:P20" si="35">N19*O19</f>
        <v>61.518936000000053</v>
      </c>
      <c r="Q19" s="261">
        <f t="shared" si="4"/>
        <v>627.6</v>
      </c>
      <c r="R19" s="259">
        <f t="shared" ref="R19:R20" si="36">P19+Q19</f>
        <v>689.11893600000008</v>
      </c>
      <c r="S19" s="259">
        <f t="shared" si="5"/>
        <v>0</v>
      </c>
      <c r="T19" s="259">
        <f t="shared" ref="T19:T20" si="37">R19-S19</f>
        <v>689.11893600000008</v>
      </c>
      <c r="U19" s="258">
        <f t="shared" ref="U19" si="38">-IF(T19&gt;0,0,T19)</f>
        <v>0</v>
      </c>
      <c r="V19" s="258">
        <f t="shared" ref="V19:V34" si="39">IF(T19&lt;0,0,T19)</f>
        <v>689.11893600000008</v>
      </c>
      <c r="W19" s="258">
        <f>SUM(V19:V19)</f>
        <v>689.11893600000008</v>
      </c>
      <c r="X19" s="258">
        <f>J19+U19-W19</f>
        <v>5524.8010640000002</v>
      </c>
      <c r="Y19" s="262"/>
      <c r="AE19" s="191"/>
    </row>
    <row r="20" spans="1:31" s="188" customFormat="1" ht="95.1" customHeight="1" x14ac:dyDescent="0.25">
      <c r="A20" s="249"/>
      <c r="B20" s="251" t="s">
        <v>319</v>
      </c>
      <c r="C20" s="251" t="s">
        <v>147</v>
      </c>
      <c r="D20" s="263" t="s">
        <v>307</v>
      </c>
      <c r="E20" s="253" t="s">
        <v>300</v>
      </c>
      <c r="F20" s="254"/>
      <c r="G20" s="255"/>
      <c r="H20" s="256">
        <v>6213.92</v>
      </c>
      <c r="I20" s="257">
        <v>0</v>
      </c>
      <c r="J20" s="258">
        <f t="shared" si="31"/>
        <v>6213.92</v>
      </c>
      <c r="K20" s="259">
        <f t="shared" si="32"/>
        <v>0</v>
      </c>
      <c r="L20" s="259">
        <f t="shared" si="33"/>
        <v>6213.92</v>
      </c>
      <c r="M20" s="259">
        <f t="shared" si="2"/>
        <v>5925.91</v>
      </c>
      <c r="N20" s="259">
        <f t="shared" si="34"/>
        <v>288.01000000000022</v>
      </c>
      <c r="O20" s="260">
        <f t="shared" si="3"/>
        <v>0.21360000000000001</v>
      </c>
      <c r="P20" s="259">
        <f t="shared" si="35"/>
        <v>61.518936000000053</v>
      </c>
      <c r="Q20" s="261">
        <f t="shared" si="4"/>
        <v>627.6</v>
      </c>
      <c r="R20" s="259">
        <f t="shared" si="36"/>
        <v>689.11893600000008</v>
      </c>
      <c r="S20" s="259">
        <f t="shared" si="5"/>
        <v>0</v>
      </c>
      <c r="T20" s="259">
        <f t="shared" si="37"/>
        <v>689.11893600000008</v>
      </c>
      <c r="U20" s="258">
        <f t="shared" ref="U20" si="40">-IF(T20&gt;0,0,T20)</f>
        <v>0</v>
      </c>
      <c r="V20" s="258">
        <f t="shared" si="39"/>
        <v>689.11893600000008</v>
      </c>
      <c r="W20" s="258">
        <f>SUM(V20:V20)</f>
        <v>689.11893600000008</v>
      </c>
      <c r="X20" s="258">
        <f>J20+U20-W20</f>
        <v>5524.8010640000002</v>
      </c>
      <c r="Y20" s="262"/>
      <c r="AE20" s="191"/>
    </row>
    <row r="21" spans="1:31" s="188" customFormat="1" ht="95.1" customHeight="1" x14ac:dyDescent="0.25">
      <c r="A21" s="249"/>
      <c r="B21" s="251" t="s">
        <v>370</v>
      </c>
      <c r="C21" s="251" t="s">
        <v>147</v>
      </c>
      <c r="D21" s="263" t="s">
        <v>371</v>
      </c>
      <c r="E21" s="253" t="s">
        <v>300</v>
      </c>
      <c r="F21" s="254"/>
      <c r="G21" s="255"/>
      <c r="H21" s="256">
        <v>6213.92</v>
      </c>
      <c r="I21" s="257">
        <v>0</v>
      </c>
      <c r="J21" s="258">
        <f t="shared" ref="J21" si="41">SUM(H21:I21)</f>
        <v>6213.92</v>
      </c>
      <c r="K21" s="259">
        <f>IF(H21/15&lt;=123.22,I21,I21/2)</f>
        <v>0</v>
      </c>
      <c r="L21" s="259">
        <f>H21+K21</f>
        <v>6213.92</v>
      </c>
      <c r="M21" s="259">
        <f t="shared" si="2"/>
        <v>5925.91</v>
      </c>
      <c r="N21" s="259">
        <f>L21-M21</f>
        <v>288.01000000000022</v>
      </c>
      <c r="O21" s="260">
        <f t="shared" si="3"/>
        <v>0.21360000000000001</v>
      </c>
      <c r="P21" s="259">
        <f>N21*O21</f>
        <v>61.518936000000053</v>
      </c>
      <c r="Q21" s="261">
        <f t="shared" si="4"/>
        <v>627.6</v>
      </c>
      <c r="R21" s="259">
        <f>P21+Q21</f>
        <v>689.11893600000008</v>
      </c>
      <c r="S21" s="259">
        <f t="shared" si="5"/>
        <v>0</v>
      </c>
      <c r="T21" s="259">
        <f>R21-S21</f>
        <v>689.11893600000008</v>
      </c>
      <c r="U21" s="258">
        <f t="shared" ref="U21" si="42">-IF(T21&gt;0,0,T21)</f>
        <v>0</v>
      </c>
      <c r="V21" s="258">
        <f t="shared" ref="V21" si="43">IF(T21&lt;0,0,T21)</f>
        <v>689.11893600000008</v>
      </c>
      <c r="W21" s="258">
        <f>SUM(V21:V21)</f>
        <v>689.11893600000008</v>
      </c>
      <c r="X21" s="258">
        <f>J21+U21-W21</f>
        <v>5524.8010640000002</v>
      </c>
      <c r="Y21" s="262"/>
      <c r="AE21" s="191"/>
    </row>
    <row r="22" spans="1:31" s="188" customFormat="1" ht="95.1" customHeight="1" x14ac:dyDescent="0.25">
      <c r="A22" s="270"/>
      <c r="B22" s="271"/>
      <c r="C22" s="271"/>
      <c r="D22" s="272"/>
      <c r="E22" s="273"/>
      <c r="F22" s="274"/>
      <c r="G22" s="275"/>
      <c r="H22" s="276"/>
      <c r="I22" s="277"/>
      <c r="J22" s="278"/>
      <c r="K22" s="279"/>
      <c r="L22" s="279"/>
      <c r="M22" s="279"/>
      <c r="N22" s="279"/>
      <c r="O22" s="280"/>
      <c r="P22" s="279"/>
      <c r="Q22" s="281"/>
      <c r="R22" s="279"/>
      <c r="S22" s="279"/>
      <c r="T22" s="279"/>
      <c r="U22" s="278"/>
      <c r="V22" s="278"/>
      <c r="W22" s="278"/>
      <c r="X22" s="278"/>
      <c r="Y22" s="266"/>
      <c r="AE22" s="191"/>
    </row>
    <row r="23" spans="1:31" s="188" customFormat="1" ht="24" customHeight="1" x14ac:dyDescent="0.25">
      <c r="A23" s="270"/>
      <c r="B23" s="294" t="s">
        <v>94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E23" s="191"/>
    </row>
    <row r="24" spans="1:31" s="188" customFormat="1" ht="23.25" customHeight="1" x14ac:dyDescent="0.25">
      <c r="A24" s="270"/>
      <c r="B24" s="294" t="s">
        <v>66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E24" s="191"/>
    </row>
    <row r="25" spans="1:31" s="188" customFormat="1" ht="23.25" customHeight="1" x14ac:dyDescent="0.25">
      <c r="A25" s="270"/>
      <c r="B25" s="295" t="s">
        <v>376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E25" s="191"/>
    </row>
    <row r="26" spans="1:31" s="188" customFormat="1" ht="18.75" customHeight="1" x14ac:dyDescent="0.25">
      <c r="A26" s="270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191"/>
    </row>
    <row r="27" spans="1:31" s="188" customFormat="1" ht="17.25" customHeight="1" x14ac:dyDescent="0.25">
      <c r="A27" s="270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20.25" customHeight="1" x14ac:dyDescent="0.25">
      <c r="A28" s="270"/>
      <c r="B28" s="65"/>
      <c r="C28" s="65"/>
      <c r="D28" s="65"/>
      <c r="E28" s="65"/>
      <c r="F28" s="66" t="s">
        <v>23</v>
      </c>
      <c r="G28" s="66" t="s">
        <v>6</v>
      </c>
      <c r="H28" s="297" t="s">
        <v>1</v>
      </c>
      <c r="I28" s="298"/>
      <c r="J28" s="299"/>
      <c r="K28" s="67" t="s">
        <v>26</v>
      </c>
      <c r="L28" s="68"/>
      <c r="M28" s="300" t="s">
        <v>9</v>
      </c>
      <c r="N28" s="301"/>
      <c r="O28" s="301"/>
      <c r="P28" s="301"/>
      <c r="Q28" s="301"/>
      <c r="R28" s="302"/>
      <c r="S28" s="67" t="s">
        <v>30</v>
      </c>
      <c r="T28" s="67" t="s">
        <v>10</v>
      </c>
      <c r="U28" s="66" t="s">
        <v>54</v>
      </c>
      <c r="V28" s="303" t="s">
        <v>2</v>
      </c>
      <c r="W28" s="304"/>
      <c r="X28" s="66" t="s">
        <v>0</v>
      </c>
      <c r="Y28" s="65"/>
      <c r="Z28" s="120"/>
      <c r="AE28" s="191"/>
    </row>
    <row r="29" spans="1:31" s="188" customFormat="1" ht="37.5" customHeight="1" x14ac:dyDescent="0.25">
      <c r="A29" s="270"/>
      <c r="B29" s="64" t="s">
        <v>124</v>
      </c>
      <c r="C29" s="64" t="s">
        <v>148</v>
      </c>
      <c r="D29" s="70" t="s">
        <v>22</v>
      </c>
      <c r="E29" s="70"/>
      <c r="F29" s="71" t="s">
        <v>24</v>
      </c>
      <c r="G29" s="70" t="s">
        <v>25</v>
      </c>
      <c r="H29" s="66" t="s">
        <v>6</v>
      </c>
      <c r="I29" s="66" t="s">
        <v>59</v>
      </c>
      <c r="J29" s="66" t="s">
        <v>28</v>
      </c>
      <c r="K29" s="72" t="s">
        <v>27</v>
      </c>
      <c r="L29" s="68" t="s">
        <v>32</v>
      </c>
      <c r="M29" s="68" t="s">
        <v>12</v>
      </c>
      <c r="N29" s="68" t="s">
        <v>34</v>
      </c>
      <c r="O29" s="68" t="s">
        <v>36</v>
      </c>
      <c r="P29" s="68" t="s">
        <v>37</v>
      </c>
      <c r="Q29" s="68" t="s">
        <v>14</v>
      </c>
      <c r="R29" s="68" t="s">
        <v>10</v>
      </c>
      <c r="S29" s="72" t="s">
        <v>40</v>
      </c>
      <c r="T29" s="72" t="s">
        <v>41</v>
      </c>
      <c r="U29" s="70" t="s">
        <v>31</v>
      </c>
      <c r="V29" s="66" t="s">
        <v>3</v>
      </c>
      <c r="W29" s="66" t="s">
        <v>7</v>
      </c>
      <c r="X29" s="70" t="s">
        <v>4</v>
      </c>
      <c r="Y29" s="70" t="s">
        <v>58</v>
      </c>
      <c r="Z29" s="120"/>
      <c r="AE29" s="191"/>
    </row>
    <row r="30" spans="1:31" s="188" customFormat="1" ht="18.75" customHeight="1" x14ac:dyDescent="0.25">
      <c r="A30" s="270"/>
      <c r="B30" s="79"/>
      <c r="C30" s="79"/>
      <c r="D30" s="79"/>
      <c r="E30" s="79"/>
      <c r="F30" s="79"/>
      <c r="G30" s="79"/>
      <c r="H30" s="79" t="s">
        <v>47</v>
      </c>
      <c r="I30" s="79" t="s">
        <v>60</v>
      </c>
      <c r="J30" s="79" t="s">
        <v>29</v>
      </c>
      <c r="K30" s="81" t="s">
        <v>43</v>
      </c>
      <c r="L30" s="67" t="s">
        <v>33</v>
      </c>
      <c r="M30" s="67" t="s">
        <v>13</v>
      </c>
      <c r="N30" s="67" t="s">
        <v>35</v>
      </c>
      <c r="O30" s="67" t="s">
        <v>35</v>
      </c>
      <c r="P30" s="67" t="s">
        <v>38</v>
      </c>
      <c r="Q30" s="67" t="s">
        <v>15</v>
      </c>
      <c r="R30" s="67" t="s">
        <v>39</v>
      </c>
      <c r="S30" s="72" t="s">
        <v>19</v>
      </c>
      <c r="T30" s="73" t="s">
        <v>165</v>
      </c>
      <c r="U30" s="79" t="s">
        <v>53</v>
      </c>
      <c r="V30" s="79"/>
      <c r="W30" s="79" t="s">
        <v>44</v>
      </c>
      <c r="X30" s="79" t="s">
        <v>5</v>
      </c>
      <c r="Y30" s="75"/>
      <c r="Z30" s="120"/>
      <c r="AE30" s="191"/>
    </row>
    <row r="31" spans="1:31" s="188" customFormat="1" ht="18" customHeight="1" x14ac:dyDescent="0.25">
      <c r="A31" s="270"/>
      <c r="B31" s="82"/>
      <c r="C31" s="82"/>
      <c r="D31" s="84" t="s">
        <v>78</v>
      </c>
      <c r="E31" s="82" t="s">
        <v>62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6"/>
      <c r="U31" s="82"/>
      <c r="V31" s="82"/>
      <c r="W31" s="82"/>
      <c r="X31" s="82"/>
      <c r="Y31" s="87"/>
      <c r="AE31" s="191"/>
    </row>
    <row r="32" spans="1:31" s="188" customFormat="1" ht="95.1" customHeight="1" x14ac:dyDescent="0.25">
      <c r="A32" s="249"/>
      <c r="B32" s="251" t="s">
        <v>332</v>
      </c>
      <c r="C32" s="251" t="s">
        <v>147</v>
      </c>
      <c r="D32" s="263" t="s">
        <v>333</v>
      </c>
      <c r="E32" s="253" t="s">
        <v>300</v>
      </c>
      <c r="F32" s="254"/>
      <c r="G32" s="255"/>
      <c r="H32" s="256">
        <v>7765.93</v>
      </c>
      <c r="I32" s="257">
        <v>0</v>
      </c>
      <c r="J32" s="258">
        <f t="shared" ref="J32" si="44">SUM(H32:I32)</f>
        <v>7765.93</v>
      </c>
      <c r="K32" s="259">
        <f t="shared" ref="K32:K35" si="45">IF(H32/15&lt;=123.22,I32,I32/2)</f>
        <v>0</v>
      </c>
      <c r="L32" s="259">
        <f t="shared" ref="L32:L35" si="46">H32+K32</f>
        <v>7765.93</v>
      </c>
      <c r="M32" s="259">
        <f t="shared" si="2"/>
        <v>5925.91</v>
      </c>
      <c r="N32" s="259">
        <f t="shared" ref="N32:N35" si="47">L32-M32</f>
        <v>1840.0200000000004</v>
      </c>
      <c r="O32" s="260">
        <f t="shared" si="3"/>
        <v>0.21360000000000001</v>
      </c>
      <c r="P32" s="259">
        <f t="shared" ref="P32:P35" si="48">N32*O32</f>
        <v>393.02827200000013</v>
      </c>
      <c r="Q32" s="261">
        <f t="shared" si="4"/>
        <v>627.6</v>
      </c>
      <c r="R32" s="259">
        <f t="shared" ref="R32:R35" si="49">P32+Q32</f>
        <v>1020.6282720000002</v>
      </c>
      <c r="S32" s="259">
        <f t="shared" si="5"/>
        <v>0</v>
      </c>
      <c r="T32" s="259">
        <f t="shared" ref="T32:T35" si="50">R32-S32</f>
        <v>1020.6282720000002</v>
      </c>
      <c r="U32" s="258">
        <f t="shared" ref="U32" si="51">-IF(T32&gt;0,0,T32)</f>
        <v>0</v>
      </c>
      <c r="V32" s="258">
        <f t="shared" ref="V32" si="52">IF(T32&lt;0,0,T32)</f>
        <v>1020.6282720000002</v>
      </c>
      <c r="W32" s="258">
        <f>SUM(V32:V32)</f>
        <v>1020.6282720000002</v>
      </c>
      <c r="X32" s="258">
        <f>J32+U32-W32</f>
        <v>6745.3017280000004</v>
      </c>
      <c r="Y32" s="262"/>
      <c r="AE32" s="191"/>
    </row>
    <row r="33" spans="1:31" s="188" customFormat="1" ht="95.1" customHeight="1" x14ac:dyDescent="0.25">
      <c r="A33" s="249"/>
      <c r="B33" s="251" t="s">
        <v>338</v>
      </c>
      <c r="C33" s="251" t="s">
        <v>147</v>
      </c>
      <c r="D33" s="263" t="s">
        <v>335</v>
      </c>
      <c r="E33" s="253" t="s">
        <v>336</v>
      </c>
      <c r="F33" s="254"/>
      <c r="G33" s="255"/>
      <c r="H33" s="256">
        <v>7765.93</v>
      </c>
      <c r="I33" s="257">
        <v>0</v>
      </c>
      <c r="J33" s="258">
        <f t="shared" ref="J33" si="53">SUM(H33:I33)</f>
        <v>7765.93</v>
      </c>
      <c r="K33" s="259">
        <f t="shared" si="45"/>
        <v>0</v>
      </c>
      <c r="L33" s="259">
        <f t="shared" si="46"/>
        <v>7765.93</v>
      </c>
      <c r="M33" s="259">
        <f t="shared" si="2"/>
        <v>5925.91</v>
      </c>
      <c r="N33" s="259">
        <f t="shared" si="47"/>
        <v>1840.0200000000004</v>
      </c>
      <c r="O33" s="260">
        <f t="shared" si="3"/>
        <v>0.21360000000000001</v>
      </c>
      <c r="P33" s="259">
        <f t="shared" si="48"/>
        <v>393.02827200000013</v>
      </c>
      <c r="Q33" s="261">
        <f t="shared" si="4"/>
        <v>627.6</v>
      </c>
      <c r="R33" s="259">
        <f t="shared" si="49"/>
        <v>1020.6282720000002</v>
      </c>
      <c r="S33" s="259">
        <f t="shared" si="5"/>
        <v>0</v>
      </c>
      <c r="T33" s="259">
        <f t="shared" si="50"/>
        <v>1020.6282720000002</v>
      </c>
      <c r="U33" s="258">
        <f>-IF(T33&gt;0,0,T33)</f>
        <v>0</v>
      </c>
      <c r="V33" s="258">
        <f>IF(T33&lt;0,0,T33)</f>
        <v>1020.6282720000002</v>
      </c>
      <c r="W33" s="258">
        <f>SUM(V33:V33)</f>
        <v>1020.6282720000002</v>
      </c>
      <c r="X33" s="258">
        <f>J33+U33-W33</f>
        <v>6745.3017280000004</v>
      </c>
      <c r="Y33" s="262"/>
      <c r="AE33" s="191"/>
    </row>
    <row r="34" spans="1:31" s="188" customFormat="1" ht="95.1" customHeight="1" x14ac:dyDescent="0.25">
      <c r="A34" s="249"/>
      <c r="B34" s="251" t="s">
        <v>321</v>
      </c>
      <c r="C34" s="251" t="s">
        <v>147</v>
      </c>
      <c r="D34" s="263" t="s">
        <v>301</v>
      </c>
      <c r="E34" s="253" t="s">
        <v>302</v>
      </c>
      <c r="F34" s="254">
        <v>15</v>
      </c>
      <c r="G34" s="255">
        <f t="shared" si="30"/>
        <v>281.66266666666667</v>
      </c>
      <c r="H34" s="256">
        <v>4224.9399999999996</v>
      </c>
      <c r="I34" s="257">
        <v>0</v>
      </c>
      <c r="J34" s="258">
        <f t="shared" si="31"/>
        <v>4224.9399999999996</v>
      </c>
      <c r="K34" s="259">
        <f t="shared" si="45"/>
        <v>0</v>
      </c>
      <c r="L34" s="259">
        <f t="shared" si="46"/>
        <v>4224.9399999999996</v>
      </c>
      <c r="M34" s="259">
        <f t="shared" si="2"/>
        <v>2422.81</v>
      </c>
      <c r="N34" s="259">
        <f t="shared" si="47"/>
        <v>1802.1299999999997</v>
      </c>
      <c r="O34" s="260">
        <f t="shared" si="3"/>
        <v>0.10879999999999999</v>
      </c>
      <c r="P34" s="259">
        <f t="shared" si="48"/>
        <v>196.07174399999994</v>
      </c>
      <c r="Q34" s="261">
        <f t="shared" si="4"/>
        <v>142.19999999999999</v>
      </c>
      <c r="R34" s="259">
        <f t="shared" si="49"/>
        <v>338.2717439999999</v>
      </c>
      <c r="S34" s="259">
        <f t="shared" si="5"/>
        <v>0</v>
      </c>
      <c r="T34" s="259">
        <f t="shared" si="50"/>
        <v>338.2717439999999</v>
      </c>
      <c r="U34" s="258">
        <f>-IF(T34&gt;0,0,T34)</f>
        <v>0</v>
      </c>
      <c r="V34" s="258">
        <f t="shared" si="39"/>
        <v>338.2717439999999</v>
      </c>
      <c r="W34" s="258">
        <f>SUM(V34:V34)</f>
        <v>338.2717439999999</v>
      </c>
      <c r="X34" s="258">
        <f>J34+U34-W34</f>
        <v>3886.6682559999999</v>
      </c>
      <c r="Y34" s="262"/>
      <c r="AE34" s="191"/>
    </row>
    <row r="35" spans="1:31" s="188" customFormat="1" ht="95.1" customHeight="1" x14ac:dyDescent="0.25">
      <c r="A35" s="249"/>
      <c r="B35" s="251" t="s">
        <v>322</v>
      </c>
      <c r="C35" s="251" t="s">
        <v>147</v>
      </c>
      <c r="D35" s="263" t="s">
        <v>303</v>
      </c>
      <c r="E35" s="253" t="s">
        <v>304</v>
      </c>
      <c r="F35" s="254"/>
      <c r="G35" s="255"/>
      <c r="H35" s="256">
        <v>4488.57</v>
      </c>
      <c r="I35" s="257">
        <v>0</v>
      </c>
      <c r="J35" s="258">
        <f>SUM(H35:I35)</f>
        <v>4488.57</v>
      </c>
      <c r="K35" s="259">
        <f t="shared" si="45"/>
        <v>0</v>
      </c>
      <c r="L35" s="259">
        <f t="shared" si="46"/>
        <v>4488.57</v>
      </c>
      <c r="M35" s="259">
        <f t="shared" si="2"/>
        <v>4257.91</v>
      </c>
      <c r="N35" s="259">
        <f t="shared" si="47"/>
        <v>230.65999999999985</v>
      </c>
      <c r="O35" s="260">
        <f t="shared" si="3"/>
        <v>0.16</v>
      </c>
      <c r="P35" s="259">
        <f t="shared" si="48"/>
        <v>36.905599999999978</v>
      </c>
      <c r="Q35" s="261">
        <f t="shared" si="4"/>
        <v>341.85</v>
      </c>
      <c r="R35" s="259">
        <f t="shared" si="49"/>
        <v>378.75560000000002</v>
      </c>
      <c r="S35" s="259">
        <f t="shared" si="5"/>
        <v>0</v>
      </c>
      <c r="T35" s="259">
        <f t="shared" si="50"/>
        <v>378.75560000000002</v>
      </c>
      <c r="U35" s="258">
        <f>-IF(T35&gt;0,0,T35)</f>
        <v>0</v>
      </c>
      <c r="V35" s="258">
        <f>IF(T35&lt;0,0,T35)</f>
        <v>378.75560000000002</v>
      </c>
      <c r="W35" s="258">
        <f>SUM(V35:V35)</f>
        <v>378.75560000000002</v>
      </c>
      <c r="X35" s="258">
        <f>J35+U35-W35</f>
        <v>4109.8143999999993</v>
      </c>
      <c r="Y35" s="262"/>
      <c r="AE35" s="191"/>
    </row>
    <row r="36" spans="1:31" s="69" customFormat="1" ht="39" customHeight="1" thickBot="1" x14ac:dyDescent="0.3">
      <c r="A36" s="313" t="s">
        <v>45</v>
      </c>
      <c r="B36" s="314"/>
      <c r="C36" s="314"/>
      <c r="D36" s="314"/>
      <c r="E36" s="314"/>
      <c r="F36" s="314"/>
      <c r="G36" s="315"/>
      <c r="H36" s="264">
        <f t="shared" ref="H36:X36" si="54">SUM(H9:H35)</f>
        <v>105223.77000000002</v>
      </c>
      <c r="I36" s="264">
        <f t="shared" si="54"/>
        <v>0</v>
      </c>
      <c r="J36" s="264">
        <f t="shared" si="54"/>
        <v>105223.77000000002</v>
      </c>
      <c r="K36" s="265">
        <f t="shared" si="54"/>
        <v>0</v>
      </c>
      <c r="L36" s="265">
        <f t="shared" si="54"/>
        <v>105223.77000000002</v>
      </c>
      <c r="M36" s="265">
        <f t="shared" si="54"/>
        <v>88160.870000000024</v>
      </c>
      <c r="N36" s="265">
        <f t="shared" si="54"/>
        <v>17062.900000000001</v>
      </c>
      <c r="O36" s="265">
        <f t="shared" si="54"/>
        <v>3.2304000000000004</v>
      </c>
      <c r="P36" s="265">
        <f t="shared" si="54"/>
        <v>3189.7450079999999</v>
      </c>
      <c r="Q36" s="265">
        <f t="shared" si="54"/>
        <v>8712.4500000000044</v>
      </c>
      <c r="R36" s="265">
        <f t="shared" si="54"/>
        <v>11902.195008000001</v>
      </c>
      <c r="S36" s="265">
        <f t="shared" si="54"/>
        <v>0</v>
      </c>
      <c r="T36" s="265">
        <f t="shared" si="54"/>
        <v>11902.195008000001</v>
      </c>
      <c r="U36" s="264">
        <f t="shared" si="54"/>
        <v>0</v>
      </c>
      <c r="V36" s="264">
        <f t="shared" si="54"/>
        <v>11902.195008000001</v>
      </c>
      <c r="W36" s="264">
        <f t="shared" si="54"/>
        <v>11902.195008000001</v>
      </c>
      <c r="X36" s="264">
        <f t="shared" si="54"/>
        <v>93321.574992000023</v>
      </c>
      <c r="Y36" s="266"/>
    </row>
    <row r="37" spans="1:31" s="69" customFormat="1" ht="39" customHeight="1" thickTop="1" x14ac:dyDescent="0.25">
      <c r="A37" s="233"/>
      <c r="B37" s="233"/>
      <c r="C37" s="233"/>
      <c r="D37" s="233"/>
      <c r="E37" s="233"/>
      <c r="F37" s="233"/>
      <c r="G37" s="233"/>
      <c r="H37" s="234"/>
      <c r="I37" s="234"/>
      <c r="J37" s="234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4"/>
      <c r="V37" s="234"/>
      <c r="W37" s="234"/>
      <c r="X37" s="234"/>
    </row>
    <row r="38" spans="1:31" s="69" customFormat="1" ht="39" customHeight="1" x14ac:dyDescent="0.25">
      <c r="A38" s="233"/>
      <c r="B38" s="233"/>
      <c r="C38" s="233"/>
      <c r="D38" s="233"/>
      <c r="E38" s="233"/>
      <c r="F38" s="233"/>
      <c r="G38" s="233"/>
      <c r="H38" s="234"/>
      <c r="I38" s="234"/>
      <c r="J38" s="234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4"/>
      <c r="V38" s="234"/>
      <c r="W38" s="234"/>
      <c r="X38" s="234"/>
    </row>
    <row r="39" spans="1:31" s="69" customFormat="1" ht="39" customHeight="1" x14ac:dyDescent="0.25">
      <c r="A39" s="233"/>
      <c r="B39" s="233"/>
      <c r="C39" s="233"/>
      <c r="D39" s="233"/>
      <c r="E39" s="233"/>
      <c r="F39" s="233"/>
      <c r="G39" s="233"/>
      <c r="H39" s="234"/>
      <c r="I39" s="234"/>
      <c r="J39" s="234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4"/>
      <c r="V39" s="234"/>
      <c r="W39" s="234"/>
      <c r="X39" s="234"/>
    </row>
    <row r="40" spans="1:31" s="69" customFormat="1" ht="12" x14ac:dyDescent="0.2"/>
    <row r="41" spans="1:31" s="69" customFormat="1" ht="12" x14ac:dyDescent="0.2"/>
    <row r="42" spans="1:31" s="69" customFormat="1" ht="14.25" x14ac:dyDescent="0.2">
      <c r="B42" s="188"/>
      <c r="C42" s="188"/>
      <c r="D42" s="188" t="s">
        <v>242</v>
      </c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 t="s">
        <v>112</v>
      </c>
      <c r="W42" s="188"/>
      <c r="X42" s="188"/>
    </row>
    <row r="43" spans="1:31" s="69" customFormat="1" ht="15" x14ac:dyDescent="0.25">
      <c r="B43" s="188"/>
      <c r="C43" s="188"/>
      <c r="D43" s="193" t="s">
        <v>236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93" t="s">
        <v>238</v>
      </c>
      <c r="W43" s="188"/>
      <c r="X43" s="188"/>
    </row>
    <row r="44" spans="1:31" s="69" customFormat="1" ht="15" x14ac:dyDescent="0.25">
      <c r="B44" s="188"/>
      <c r="C44" s="188"/>
      <c r="D44" s="193" t="s">
        <v>98</v>
      </c>
      <c r="E44" s="193"/>
      <c r="F44" s="193"/>
      <c r="G44" s="193"/>
      <c r="H44" s="193"/>
      <c r="I44" s="193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99</v>
      </c>
      <c r="W44" s="193"/>
      <c r="X44" s="193"/>
      <c r="Y44" s="78"/>
    </row>
    <row r="45" spans="1:31" s="69" customFormat="1" ht="14.25" x14ac:dyDescent="0.2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</row>
  </sheetData>
  <mergeCells count="13">
    <mergeCell ref="H28:J28"/>
    <mergeCell ref="M28:R28"/>
    <mergeCell ref="V28:W28"/>
    <mergeCell ref="A36:G36"/>
    <mergeCell ref="A1:Y1"/>
    <mergeCell ref="A2:Y2"/>
    <mergeCell ref="A3:Y3"/>
    <mergeCell ref="H5:J5"/>
    <mergeCell ref="M5:R5"/>
    <mergeCell ref="V5:W5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9:D22 D32:D3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6"/>
  <sheetViews>
    <sheetView topLeftCell="B1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297" t="s">
        <v>1</v>
      </c>
      <c r="I6" s="298"/>
      <c r="J6" s="299"/>
      <c r="K6" s="67" t="s">
        <v>26</v>
      </c>
      <c r="L6" s="68"/>
      <c r="M6" s="300" t="s">
        <v>9</v>
      </c>
      <c r="N6" s="301"/>
      <c r="O6" s="301"/>
      <c r="P6" s="301"/>
      <c r="Q6" s="301"/>
      <c r="R6" s="302"/>
      <c r="S6" s="67" t="s">
        <v>30</v>
      </c>
      <c r="T6" s="67" t="s">
        <v>10</v>
      </c>
      <c r="U6" s="66" t="s">
        <v>54</v>
      </c>
      <c r="V6" s="303" t="s">
        <v>2</v>
      </c>
      <c r="W6" s="304"/>
      <c r="X6" s="66" t="s">
        <v>0</v>
      </c>
      <c r="Y6" s="65"/>
    </row>
    <row r="7" spans="1:25" s="69" customFormat="1" ht="24" x14ac:dyDescent="0.2">
      <c r="A7" s="70" t="s">
        <v>131</v>
      </c>
      <c r="B7" s="64" t="s">
        <v>124</v>
      </c>
      <c r="C7" s="64" t="s">
        <v>164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165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79</v>
      </c>
      <c r="E9" s="194" t="s">
        <v>62</v>
      </c>
      <c r="F9" s="194"/>
      <c r="G9" s="194"/>
      <c r="H9" s="195">
        <f>SUM(H10:H23)</f>
        <v>31235.840000000004</v>
      </c>
      <c r="I9" s="195">
        <f>SUM(I10:I23)</f>
        <v>0</v>
      </c>
      <c r="J9" s="195">
        <f>SUM(J10:J23)</f>
        <v>31235.840000000004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SUM(U10:U23)</f>
        <v>64.764080000000007</v>
      </c>
      <c r="V9" s="195">
        <f>SUM(V10:V23)</f>
        <v>1020.1966399999999</v>
      </c>
      <c r="W9" s="195">
        <f>SUM(W10:W23)</f>
        <v>1020.1966399999999</v>
      </c>
      <c r="X9" s="195">
        <f>SUM(X10:X23)</f>
        <v>30280.407439999995</v>
      </c>
      <c r="Y9" s="197"/>
    </row>
    <row r="10" spans="1:25" s="4" customFormat="1" ht="75" customHeight="1" x14ac:dyDescent="0.2">
      <c r="A10" s="59"/>
      <c r="B10" s="116" t="s">
        <v>323</v>
      </c>
      <c r="C10" s="116" t="s">
        <v>147</v>
      </c>
      <c r="D10" s="121" t="s">
        <v>315</v>
      </c>
      <c r="E10" s="121" t="s">
        <v>314</v>
      </c>
      <c r="F10" s="133">
        <v>15</v>
      </c>
      <c r="G10" s="134">
        <f>H10/F10</f>
        <v>212.15533333333332</v>
      </c>
      <c r="H10" s="119">
        <v>3182.33</v>
      </c>
      <c r="I10" s="126">
        <v>0</v>
      </c>
      <c r="J10" s="127">
        <f t="shared" ref="J10" si="0">SUM(H10:I10)</f>
        <v>3182.33</v>
      </c>
      <c r="K10" s="172">
        <f>IF(H10/15&lt;=123.22,I10,I10/2)</f>
        <v>0</v>
      </c>
      <c r="L10" s="172">
        <f>H10+K10</f>
        <v>3182.33</v>
      </c>
      <c r="M10" s="172">
        <f t="shared" ref="M10:M18" si="1">VLOOKUP(L10,Tarifa1,1)</f>
        <v>2422.81</v>
      </c>
      <c r="N10" s="172">
        <f>L10-M10</f>
        <v>759.52</v>
      </c>
      <c r="O10" s="173">
        <f t="shared" ref="O10:O18" si="2">VLOOKUP(L10,Tarifa1,3)</f>
        <v>0.10879999999999999</v>
      </c>
      <c r="P10" s="172">
        <f>N10*O10</f>
        <v>82.635775999999993</v>
      </c>
      <c r="Q10" s="174">
        <f t="shared" ref="Q10:Q18" si="3">VLOOKUP(L10,Tarifa1,2)</f>
        <v>142.19999999999999</v>
      </c>
      <c r="R10" s="172">
        <f>P10+Q10</f>
        <v>224.83577599999998</v>
      </c>
      <c r="S10" s="172">
        <f t="shared" ref="S10:S18" si="4">VLOOKUP(L10,Credito1,2)</f>
        <v>125.1</v>
      </c>
      <c r="T10" s="172">
        <f>R10-S10</f>
        <v>99.735775999999987</v>
      </c>
      <c r="U10" s="127">
        <f t="shared" ref="U10" si="5">-IF(T10&gt;0,0,T10)</f>
        <v>0</v>
      </c>
      <c r="V10" s="127">
        <f t="shared" ref="V10" si="6">IF(T10&lt;0,0,T10)</f>
        <v>99.735775999999987</v>
      </c>
      <c r="W10" s="127">
        <f>SUM(V10:V10)</f>
        <v>99.735775999999987</v>
      </c>
      <c r="X10" s="127">
        <f>J10+U10-W10</f>
        <v>3082.5942239999999</v>
      </c>
      <c r="Y10" s="122"/>
    </row>
    <row r="11" spans="1:25" s="4" customFormat="1" ht="75" customHeight="1" x14ac:dyDescent="0.2">
      <c r="A11" s="59"/>
      <c r="B11" s="116" t="s">
        <v>126</v>
      </c>
      <c r="C11" s="116" t="s">
        <v>147</v>
      </c>
      <c r="D11" s="121" t="s">
        <v>80</v>
      </c>
      <c r="E11" s="121" t="s">
        <v>81</v>
      </c>
      <c r="F11" s="133">
        <v>15</v>
      </c>
      <c r="G11" s="134">
        <f>H11/F11</f>
        <v>215.60666666666665</v>
      </c>
      <c r="H11" s="119">
        <v>3234.1</v>
      </c>
      <c r="I11" s="126">
        <v>0</v>
      </c>
      <c r="J11" s="127">
        <f t="shared" ref="J11" si="7">SUM(H11:I11)</f>
        <v>3234.1</v>
      </c>
      <c r="K11" s="172">
        <f t="shared" ref="K11:K18" si="8">IF(H11/15&lt;=123.22,I11,I11/2)</f>
        <v>0</v>
      </c>
      <c r="L11" s="172">
        <f t="shared" ref="L11:L18" si="9">H11+K11</f>
        <v>3234.1</v>
      </c>
      <c r="M11" s="172">
        <f t="shared" si="1"/>
        <v>2422.81</v>
      </c>
      <c r="N11" s="172">
        <f t="shared" ref="N11:N18" si="10">L11-M11</f>
        <v>811.29</v>
      </c>
      <c r="O11" s="173">
        <f t="shared" si="2"/>
        <v>0.10879999999999999</v>
      </c>
      <c r="P11" s="172">
        <f t="shared" ref="P11:P18" si="11">N11*O11</f>
        <v>88.268351999999993</v>
      </c>
      <c r="Q11" s="174">
        <f t="shared" si="3"/>
        <v>142.19999999999999</v>
      </c>
      <c r="R11" s="172">
        <f t="shared" ref="R11:R18" si="12">P11+Q11</f>
        <v>230.46835199999998</v>
      </c>
      <c r="S11" s="172">
        <f t="shared" si="4"/>
        <v>125.1</v>
      </c>
      <c r="T11" s="172">
        <f t="shared" ref="T11:T18" si="13">R11-S11</f>
        <v>105.36835199999999</v>
      </c>
      <c r="U11" s="127">
        <f t="shared" ref="U11" si="14">-IF(T11&gt;0,0,T11)</f>
        <v>0</v>
      </c>
      <c r="V11" s="127">
        <f t="shared" ref="V11" si="15">IF(T11&lt;0,0,T11)</f>
        <v>105.36835199999999</v>
      </c>
      <c r="W11" s="127">
        <f>SUM(V11:V11)</f>
        <v>105.36835199999999</v>
      </c>
      <c r="X11" s="127">
        <f>J11+U11-W11</f>
        <v>3128.731648</v>
      </c>
      <c r="Y11" s="122"/>
    </row>
    <row r="12" spans="1:25" s="4" customFormat="1" ht="75" customHeight="1" x14ac:dyDescent="0.2">
      <c r="A12" s="59"/>
      <c r="B12" s="116" t="s">
        <v>173</v>
      </c>
      <c r="C12" s="116" t="s">
        <v>147</v>
      </c>
      <c r="D12" s="124" t="s">
        <v>172</v>
      </c>
      <c r="E12" s="121" t="s">
        <v>125</v>
      </c>
      <c r="F12" s="133">
        <v>15</v>
      </c>
      <c r="G12" s="134">
        <f>H12/F12</f>
        <v>212.86666666666667</v>
      </c>
      <c r="H12" s="119">
        <v>3193</v>
      </c>
      <c r="I12" s="126">
        <v>0</v>
      </c>
      <c r="J12" s="127">
        <f t="shared" ref="J12:J18" si="16">SUM(H12:I12)</f>
        <v>3193</v>
      </c>
      <c r="K12" s="172">
        <f t="shared" si="8"/>
        <v>0</v>
      </c>
      <c r="L12" s="172">
        <f t="shared" si="9"/>
        <v>3193</v>
      </c>
      <c r="M12" s="172">
        <f t="shared" si="1"/>
        <v>2422.81</v>
      </c>
      <c r="N12" s="172">
        <f t="shared" si="10"/>
        <v>770.19</v>
      </c>
      <c r="O12" s="173">
        <f t="shared" si="2"/>
        <v>0.10879999999999999</v>
      </c>
      <c r="P12" s="172">
        <f t="shared" si="11"/>
        <v>83.796672000000001</v>
      </c>
      <c r="Q12" s="174">
        <f t="shared" si="3"/>
        <v>142.19999999999999</v>
      </c>
      <c r="R12" s="172">
        <f t="shared" si="12"/>
        <v>225.99667199999999</v>
      </c>
      <c r="S12" s="172">
        <f t="shared" si="4"/>
        <v>125.1</v>
      </c>
      <c r="T12" s="172">
        <f t="shared" si="13"/>
        <v>100.896672</v>
      </c>
      <c r="U12" s="127">
        <f t="shared" ref="U12:U18" si="17">-IF(T12&gt;0,0,T12)</f>
        <v>0</v>
      </c>
      <c r="V12" s="127">
        <f t="shared" ref="V12:V18" si="18">IF(T12&lt;0,0,T12)</f>
        <v>100.896672</v>
      </c>
      <c r="W12" s="127">
        <f>SUM(V12:V12)</f>
        <v>100.896672</v>
      </c>
      <c r="X12" s="127">
        <f>J12+U12-W12</f>
        <v>3092.1033280000001</v>
      </c>
      <c r="Y12" s="122"/>
    </row>
    <row r="13" spans="1:25" s="4" customFormat="1" ht="75" customHeight="1" x14ac:dyDescent="0.2">
      <c r="A13" s="59"/>
      <c r="B13" s="116" t="s">
        <v>324</v>
      </c>
      <c r="C13" s="116" t="s">
        <v>147</v>
      </c>
      <c r="D13" s="124" t="s">
        <v>312</v>
      </c>
      <c r="E13" s="121" t="s">
        <v>313</v>
      </c>
      <c r="F13" s="133"/>
      <c r="G13" s="134"/>
      <c r="H13" s="53">
        <v>2876.93</v>
      </c>
      <c r="I13" s="54">
        <v>0</v>
      </c>
      <c r="J13" s="55">
        <f t="shared" ref="J13" si="19">SUM(H13:I13)</f>
        <v>2876.93</v>
      </c>
      <c r="K13" s="172">
        <f t="shared" si="8"/>
        <v>0</v>
      </c>
      <c r="L13" s="172">
        <f t="shared" si="9"/>
        <v>2876.93</v>
      </c>
      <c r="M13" s="172">
        <f t="shared" si="1"/>
        <v>2422.81</v>
      </c>
      <c r="N13" s="172">
        <f t="shared" si="10"/>
        <v>454.11999999999989</v>
      </c>
      <c r="O13" s="173">
        <f t="shared" si="2"/>
        <v>0.10879999999999999</v>
      </c>
      <c r="P13" s="172">
        <f t="shared" si="11"/>
        <v>49.408255999999987</v>
      </c>
      <c r="Q13" s="174">
        <f t="shared" si="3"/>
        <v>142.19999999999999</v>
      </c>
      <c r="R13" s="172">
        <f t="shared" si="12"/>
        <v>191.60825599999998</v>
      </c>
      <c r="S13" s="172">
        <f t="shared" si="4"/>
        <v>145.35</v>
      </c>
      <c r="T13" s="172">
        <f t="shared" si="13"/>
        <v>46.258255999999989</v>
      </c>
      <c r="U13" s="52">
        <f t="shared" ref="U13" si="20">-IF(T13&gt;0,0,T13)</f>
        <v>0</v>
      </c>
      <c r="V13" s="52">
        <f t="shared" ref="V13" si="21">IF(T13&lt;0,0,T13)</f>
        <v>46.258255999999989</v>
      </c>
      <c r="W13" s="55">
        <f>SUM(V13:V13)</f>
        <v>46.258255999999989</v>
      </c>
      <c r="X13" s="55">
        <f>J13+U13-W13</f>
        <v>2830.6717439999998</v>
      </c>
      <c r="Y13" s="122"/>
    </row>
    <row r="14" spans="1:25" s="4" customFormat="1" ht="75" customHeight="1" x14ac:dyDescent="0.2">
      <c r="A14" s="59"/>
      <c r="B14" s="116" t="s">
        <v>349</v>
      </c>
      <c r="C14" s="116" t="s">
        <v>147</v>
      </c>
      <c r="D14" s="124" t="s">
        <v>350</v>
      </c>
      <c r="E14" s="123" t="s">
        <v>351</v>
      </c>
      <c r="F14" s="133"/>
      <c r="G14" s="134"/>
      <c r="H14" s="119">
        <v>2135.2399999999998</v>
      </c>
      <c r="I14" s="126">
        <v>0</v>
      </c>
      <c r="J14" s="127">
        <f>SUM(H14:I14)</f>
        <v>2135.2399999999998</v>
      </c>
      <c r="K14" s="172">
        <f t="shared" si="8"/>
        <v>0</v>
      </c>
      <c r="L14" s="172">
        <f t="shared" si="9"/>
        <v>2135.2399999999998</v>
      </c>
      <c r="M14" s="172">
        <f t="shared" si="1"/>
        <v>285.45999999999998</v>
      </c>
      <c r="N14" s="172">
        <f t="shared" si="10"/>
        <v>1849.7799999999997</v>
      </c>
      <c r="O14" s="173">
        <f t="shared" si="2"/>
        <v>6.4000000000000001E-2</v>
      </c>
      <c r="P14" s="172">
        <f t="shared" si="11"/>
        <v>118.38591999999998</v>
      </c>
      <c r="Q14" s="174">
        <f t="shared" si="3"/>
        <v>5.55</v>
      </c>
      <c r="R14" s="172">
        <f t="shared" si="12"/>
        <v>123.93591999999998</v>
      </c>
      <c r="S14" s="172">
        <f t="shared" si="4"/>
        <v>188.7</v>
      </c>
      <c r="T14" s="172">
        <f t="shared" si="13"/>
        <v>-64.764080000000007</v>
      </c>
      <c r="U14" s="127">
        <f>-IF(T14&gt;0,0,T14)</f>
        <v>64.764080000000007</v>
      </c>
      <c r="V14" s="127">
        <f>IF(T14&lt;0,0,T14)</f>
        <v>0</v>
      </c>
      <c r="W14" s="127">
        <f>SUM(V14:V14)</f>
        <v>0</v>
      </c>
      <c r="X14" s="127">
        <f>J14+U14-W14</f>
        <v>2200.0040799999997</v>
      </c>
      <c r="Y14" s="122"/>
    </row>
    <row r="15" spans="1:25" s="4" customFormat="1" ht="75" customHeight="1" x14ac:dyDescent="0.2">
      <c r="A15" s="59"/>
      <c r="B15" s="116" t="s">
        <v>179</v>
      </c>
      <c r="C15" s="116" t="s">
        <v>234</v>
      </c>
      <c r="D15" s="121" t="s">
        <v>177</v>
      </c>
      <c r="E15" s="121" t="s">
        <v>178</v>
      </c>
      <c r="F15" s="133">
        <v>6</v>
      </c>
      <c r="G15" s="134"/>
      <c r="H15" s="53">
        <v>3163.94</v>
      </c>
      <c r="I15" s="54">
        <v>0</v>
      </c>
      <c r="J15" s="55">
        <f t="shared" si="16"/>
        <v>3163.94</v>
      </c>
      <c r="K15" s="172">
        <f t="shared" si="8"/>
        <v>0</v>
      </c>
      <c r="L15" s="172">
        <f t="shared" si="9"/>
        <v>3163.94</v>
      </c>
      <c r="M15" s="172">
        <f t="shared" si="1"/>
        <v>2422.81</v>
      </c>
      <c r="N15" s="172">
        <f t="shared" si="10"/>
        <v>741.13000000000011</v>
      </c>
      <c r="O15" s="173">
        <f t="shared" si="2"/>
        <v>0.10879999999999999</v>
      </c>
      <c r="P15" s="172">
        <f t="shared" si="11"/>
        <v>80.634944000000004</v>
      </c>
      <c r="Q15" s="174">
        <f t="shared" si="3"/>
        <v>142.19999999999999</v>
      </c>
      <c r="R15" s="172">
        <f t="shared" si="12"/>
        <v>222.83494400000001</v>
      </c>
      <c r="S15" s="172">
        <f t="shared" si="4"/>
        <v>125.1</v>
      </c>
      <c r="T15" s="172">
        <f t="shared" si="13"/>
        <v>97.734944000000013</v>
      </c>
      <c r="U15" s="52">
        <f t="shared" si="17"/>
        <v>0</v>
      </c>
      <c r="V15" s="52">
        <f t="shared" si="18"/>
        <v>97.734944000000013</v>
      </c>
      <c r="W15" s="55">
        <f>SUM(V15:V15)</f>
        <v>97.734944000000013</v>
      </c>
      <c r="X15" s="55">
        <f>J15+U15-W15</f>
        <v>3066.2050560000002</v>
      </c>
      <c r="Y15" s="122"/>
    </row>
    <row r="16" spans="1:25" s="4" customFormat="1" ht="75" customHeight="1" x14ac:dyDescent="0.2">
      <c r="A16" s="59"/>
      <c r="B16" s="139" t="s">
        <v>267</v>
      </c>
      <c r="C16" s="116" t="s">
        <v>147</v>
      </c>
      <c r="D16" s="121" t="s">
        <v>206</v>
      </c>
      <c r="E16" s="121" t="s">
        <v>84</v>
      </c>
      <c r="F16" s="133">
        <v>15</v>
      </c>
      <c r="G16" s="134">
        <f>H16/F16</f>
        <v>294.57133333333331</v>
      </c>
      <c r="H16" s="119">
        <v>4418.57</v>
      </c>
      <c r="I16" s="126">
        <v>0</v>
      </c>
      <c r="J16" s="127">
        <f t="shared" si="16"/>
        <v>4418.57</v>
      </c>
      <c r="K16" s="172">
        <f t="shared" si="8"/>
        <v>0</v>
      </c>
      <c r="L16" s="172">
        <f t="shared" si="9"/>
        <v>4418.57</v>
      </c>
      <c r="M16" s="172">
        <f t="shared" si="1"/>
        <v>4257.91</v>
      </c>
      <c r="N16" s="172">
        <f t="shared" si="10"/>
        <v>160.65999999999985</v>
      </c>
      <c r="O16" s="173">
        <f t="shared" si="2"/>
        <v>0.16</v>
      </c>
      <c r="P16" s="172">
        <f t="shared" si="11"/>
        <v>25.705599999999976</v>
      </c>
      <c r="Q16" s="174">
        <f t="shared" si="3"/>
        <v>341.85</v>
      </c>
      <c r="R16" s="172">
        <f t="shared" si="12"/>
        <v>367.55560000000003</v>
      </c>
      <c r="S16" s="172">
        <f t="shared" si="4"/>
        <v>0</v>
      </c>
      <c r="T16" s="172">
        <f t="shared" si="13"/>
        <v>367.55560000000003</v>
      </c>
      <c r="U16" s="127">
        <f t="shared" si="17"/>
        <v>0</v>
      </c>
      <c r="V16" s="127">
        <f t="shared" si="18"/>
        <v>367.55560000000003</v>
      </c>
      <c r="W16" s="127">
        <f>SUM(V16:V16)</f>
        <v>367.55560000000003</v>
      </c>
      <c r="X16" s="127">
        <f>J16+U16-W16</f>
        <v>4051.0143999999996</v>
      </c>
      <c r="Y16" s="122"/>
    </row>
    <row r="17" spans="1:31" s="4" customFormat="1" ht="75" customHeight="1" x14ac:dyDescent="0.2">
      <c r="A17" s="59"/>
      <c r="B17" s="139" t="s">
        <v>325</v>
      </c>
      <c r="C17" s="116" t="s">
        <v>147</v>
      </c>
      <c r="D17" s="121" t="s">
        <v>310</v>
      </c>
      <c r="E17" s="121" t="s">
        <v>311</v>
      </c>
      <c r="F17" s="133"/>
      <c r="G17" s="134"/>
      <c r="H17" s="119">
        <v>3182.33</v>
      </c>
      <c r="I17" s="126">
        <v>0</v>
      </c>
      <c r="J17" s="127">
        <f t="shared" ref="J17" si="22">SUM(H17:I17)</f>
        <v>3182.33</v>
      </c>
      <c r="K17" s="172">
        <f t="shared" si="8"/>
        <v>0</v>
      </c>
      <c r="L17" s="172">
        <f t="shared" si="9"/>
        <v>3182.33</v>
      </c>
      <c r="M17" s="172">
        <f t="shared" si="1"/>
        <v>2422.81</v>
      </c>
      <c r="N17" s="172">
        <f t="shared" si="10"/>
        <v>759.52</v>
      </c>
      <c r="O17" s="173">
        <f t="shared" si="2"/>
        <v>0.10879999999999999</v>
      </c>
      <c r="P17" s="172">
        <f t="shared" si="11"/>
        <v>82.635775999999993</v>
      </c>
      <c r="Q17" s="174">
        <f t="shared" si="3"/>
        <v>142.19999999999999</v>
      </c>
      <c r="R17" s="172">
        <f t="shared" si="12"/>
        <v>224.83577599999998</v>
      </c>
      <c r="S17" s="172">
        <f t="shared" si="4"/>
        <v>125.1</v>
      </c>
      <c r="T17" s="172">
        <f t="shared" si="13"/>
        <v>99.735775999999987</v>
      </c>
      <c r="U17" s="127">
        <f t="shared" si="17"/>
        <v>0</v>
      </c>
      <c r="V17" s="127">
        <f t="shared" si="18"/>
        <v>99.735775999999987</v>
      </c>
      <c r="W17" s="127">
        <f>SUM(V17:V17)</f>
        <v>99.735775999999987</v>
      </c>
      <c r="X17" s="127">
        <f>J17+U17-W17</f>
        <v>3082.5942239999999</v>
      </c>
      <c r="Y17" s="122"/>
    </row>
    <row r="18" spans="1:31" s="4" customFormat="1" ht="75" customHeight="1" x14ac:dyDescent="0.2">
      <c r="A18" s="59"/>
      <c r="B18" s="139" t="s">
        <v>375</v>
      </c>
      <c r="C18" s="116" t="s">
        <v>147</v>
      </c>
      <c r="D18" s="123" t="s">
        <v>97</v>
      </c>
      <c r="E18" s="123" t="s">
        <v>340</v>
      </c>
      <c r="F18" s="133">
        <v>15</v>
      </c>
      <c r="G18" s="134">
        <f>H18/F18</f>
        <v>194.98</v>
      </c>
      <c r="H18" s="119">
        <v>2924.7</v>
      </c>
      <c r="I18" s="126">
        <v>0</v>
      </c>
      <c r="J18" s="127">
        <f t="shared" si="16"/>
        <v>2924.7</v>
      </c>
      <c r="K18" s="172">
        <f t="shared" si="8"/>
        <v>0</v>
      </c>
      <c r="L18" s="172">
        <f t="shared" si="9"/>
        <v>2924.7</v>
      </c>
      <c r="M18" s="172">
        <f t="shared" si="1"/>
        <v>2422.81</v>
      </c>
      <c r="N18" s="172">
        <f t="shared" si="10"/>
        <v>501.88999999999987</v>
      </c>
      <c r="O18" s="173">
        <f t="shared" si="2"/>
        <v>0.10879999999999999</v>
      </c>
      <c r="P18" s="172">
        <f t="shared" si="11"/>
        <v>54.605631999999986</v>
      </c>
      <c r="Q18" s="174">
        <f t="shared" si="3"/>
        <v>142.19999999999999</v>
      </c>
      <c r="R18" s="172">
        <f t="shared" si="12"/>
        <v>196.80563199999997</v>
      </c>
      <c r="S18" s="172">
        <f t="shared" si="4"/>
        <v>145.35</v>
      </c>
      <c r="T18" s="172">
        <f t="shared" si="13"/>
        <v>51.45563199999998</v>
      </c>
      <c r="U18" s="127">
        <f t="shared" si="17"/>
        <v>0</v>
      </c>
      <c r="V18" s="127">
        <f t="shared" si="18"/>
        <v>51.45563199999998</v>
      </c>
      <c r="W18" s="127">
        <f>SUM(V18:V18)</f>
        <v>51.45563199999998</v>
      </c>
      <c r="X18" s="127">
        <f>J18+U18-W18</f>
        <v>2873.2443679999997</v>
      </c>
      <c r="Y18" s="122"/>
    </row>
    <row r="19" spans="1:31" s="4" customFormat="1" ht="75" customHeight="1" x14ac:dyDescent="0.2">
      <c r="A19" s="231"/>
      <c r="B19" s="139" t="s">
        <v>338</v>
      </c>
      <c r="C19" s="116" t="s">
        <v>147</v>
      </c>
      <c r="D19" s="121" t="s">
        <v>339</v>
      </c>
      <c r="E19" s="121" t="s">
        <v>207</v>
      </c>
      <c r="F19" s="133"/>
      <c r="G19" s="134"/>
      <c r="H19" s="119">
        <v>2924.7</v>
      </c>
      <c r="I19" s="126">
        <v>0</v>
      </c>
      <c r="J19" s="127">
        <f t="shared" ref="J19" si="23">SUM(H19:I19)</f>
        <v>2924.7</v>
      </c>
      <c r="K19" s="172">
        <f t="shared" ref="K19" si="24">IF(H19/15&lt;=123.22,I19,I19/2)</f>
        <v>0</v>
      </c>
      <c r="L19" s="172">
        <f t="shared" ref="L19" si="25">H19+K19</f>
        <v>2924.7</v>
      </c>
      <c r="M19" s="172">
        <f>VLOOKUP(L19,Tarifa1,1)</f>
        <v>2422.81</v>
      </c>
      <c r="N19" s="172">
        <f t="shared" ref="N19" si="26">L19-M19</f>
        <v>501.88999999999987</v>
      </c>
      <c r="O19" s="173">
        <f>VLOOKUP(L19,Tarifa1,3)</f>
        <v>0.10879999999999999</v>
      </c>
      <c r="P19" s="172">
        <f t="shared" ref="P19" si="27">N19*O19</f>
        <v>54.605631999999986</v>
      </c>
      <c r="Q19" s="174">
        <f>VLOOKUP(L19,Tarifa1,2)</f>
        <v>142.19999999999999</v>
      </c>
      <c r="R19" s="172">
        <f t="shared" ref="R19" si="28">P19+Q19</f>
        <v>196.80563199999997</v>
      </c>
      <c r="S19" s="172">
        <f>VLOOKUP(L19,Credito1,2)</f>
        <v>145.35</v>
      </c>
      <c r="T19" s="172">
        <f t="shared" ref="T19" si="29">R19-S19</f>
        <v>51.45563199999998</v>
      </c>
      <c r="U19" s="127">
        <f t="shared" ref="U19" si="30">-IF(T19&gt;0,0,T19)</f>
        <v>0</v>
      </c>
      <c r="V19" s="127">
        <f t="shared" ref="V19" si="31">IF(T19&lt;0,0,T19)</f>
        <v>51.45563199999998</v>
      </c>
      <c r="W19" s="127">
        <f>SUM(V19:V19)</f>
        <v>51.45563199999998</v>
      </c>
      <c r="X19" s="127">
        <f>J19+U19-W19</f>
        <v>2873.2443679999997</v>
      </c>
      <c r="Y19" s="122"/>
    </row>
    <row r="20" spans="1:31" s="4" customFormat="1" ht="28.5" customHeight="1" x14ac:dyDescent="0.25">
      <c r="A20" s="231"/>
      <c r="B20" s="294" t="s">
        <v>94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</row>
    <row r="21" spans="1:31" s="4" customFormat="1" ht="23.25" customHeight="1" x14ac:dyDescent="0.25">
      <c r="A21" s="231"/>
      <c r="B21" s="294" t="s">
        <v>66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</row>
    <row r="22" spans="1:31" s="4" customFormat="1" ht="23.25" customHeight="1" x14ac:dyDescent="0.2">
      <c r="A22" s="231"/>
      <c r="B22" s="295" t="s">
        <v>376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</row>
    <row r="23" spans="1:31" s="4" customFormat="1" ht="27.75" customHeight="1" x14ac:dyDescent="0.2">
      <c r="A23" s="231"/>
      <c r="B23" s="5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31" s="4" customFormat="1" ht="21.75" customHeight="1" x14ac:dyDescent="0.2">
      <c r="A24" s="59"/>
    </row>
    <row r="25" spans="1:31" s="4" customFormat="1" ht="75" customHeight="1" x14ac:dyDescent="0.2">
      <c r="A25" s="59"/>
      <c r="B25" s="198" t="s">
        <v>124</v>
      </c>
      <c r="C25" s="198" t="s">
        <v>164</v>
      </c>
      <c r="D25" s="194" t="s">
        <v>161</v>
      </c>
      <c r="E25" s="194" t="s">
        <v>62</v>
      </c>
      <c r="F25" s="194"/>
      <c r="G25" s="194"/>
      <c r="H25" s="195">
        <f>SUM(H26:H27)</f>
        <v>8893.06</v>
      </c>
      <c r="I25" s="195">
        <f>SUM(I26:I27)</f>
        <v>568</v>
      </c>
      <c r="J25" s="195">
        <f>SUM(J26:J27)</f>
        <v>9461.06</v>
      </c>
      <c r="K25" s="194"/>
      <c r="L25" s="194"/>
      <c r="M25" s="194"/>
      <c r="N25" s="194"/>
      <c r="O25" s="194"/>
      <c r="P25" s="194"/>
      <c r="Q25" s="196"/>
      <c r="R25" s="194"/>
      <c r="S25" s="194"/>
      <c r="T25" s="194"/>
      <c r="U25" s="195">
        <f>SUM(U26:U27)</f>
        <v>0</v>
      </c>
      <c r="V25" s="195">
        <f>SUM(V26:V27)</f>
        <v>791.28049599999986</v>
      </c>
      <c r="W25" s="195">
        <f>SUM(W26:W27)</f>
        <v>791.28049599999986</v>
      </c>
      <c r="X25" s="195">
        <f>SUM(X26:X27)</f>
        <v>8669.7795040000001</v>
      </c>
      <c r="Y25" s="197"/>
    </row>
    <row r="26" spans="1:31" s="4" customFormat="1" ht="75" customHeight="1" x14ac:dyDescent="0.2">
      <c r="A26" s="59" t="s">
        <v>102</v>
      </c>
      <c r="B26" s="139" t="s">
        <v>268</v>
      </c>
      <c r="C26" s="116" t="s">
        <v>147</v>
      </c>
      <c r="D26" s="121" t="s">
        <v>210</v>
      </c>
      <c r="E26" s="123" t="s">
        <v>208</v>
      </c>
      <c r="F26" s="133">
        <v>15</v>
      </c>
      <c r="G26" s="134">
        <f>H26/F26</f>
        <v>311.20799999999997</v>
      </c>
      <c r="H26" s="169">
        <v>4668.12</v>
      </c>
      <c r="I26" s="170">
        <v>568</v>
      </c>
      <c r="J26" s="171">
        <f>SUM(H26:I26)</f>
        <v>5236.12</v>
      </c>
      <c r="K26" s="172">
        <f t="shared" ref="K26:K27" si="32">IF(H26/15&lt;=123.22,I26,I26/2)</f>
        <v>284</v>
      </c>
      <c r="L26" s="172">
        <f t="shared" ref="L26:L27" si="33">H26+K26</f>
        <v>4952.12</v>
      </c>
      <c r="M26" s="172">
        <f>VLOOKUP(L26,Tarifa1,1)</f>
        <v>4949.5600000000004</v>
      </c>
      <c r="N26" s="172">
        <f t="shared" ref="N26:N27" si="34">L26-M26</f>
        <v>2.5599999999994907</v>
      </c>
      <c r="O26" s="173">
        <f>VLOOKUP(L26,Tarifa1,3)</f>
        <v>0.1792</v>
      </c>
      <c r="P26" s="172">
        <f t="shared" ref="P26:P27" si="35">N26*O26</f>
        <v>0.45875199999990873</v>
      </c>
      <c r="Q26" s="174">
        <f>VLOOKUP(L26,Tarifa1,2)</f>
        <v>452.55</v>
      </c>
      <c r="R26" s="172">
        <f t="shared" ref="R26:R27" si="36">P26+Q26</f>
        <v>453.0087519999999</v>
      </c>
      <c r="S26" s="172">
        <f>VLOOKUP(L26,Credito1,2)</f>
        <v>0</v>
      </c>
      <c r="T26" s="172">
        <f t="shared" ref="T26:T27" si="37">R26-S26</f>
        <v>453.0087519999999</v>
      </c>
      <c r="U26" s="171">
        <f>-IF(T26&gt;0,0,T26)</f>
        <v>0</v>
      </c>
      <c r="V26" s="171">
        <f>IF(T26&lt;0,0,T26)</f>
        <v>453.0087519999999</v>
      </c>
      <c r="W26" s="171">
        <f>SUM(V26:V26)</f>
        <v>453.0087519999999</v>
      </c>
      <c r="X26" s="171">
        <f>J26+U26-W26</f>
        <v>4783.1112480000002</v>
      </c>
      <c r="Y26" s="122"/>
      <c r="AE26" s="189"/>
    </row>
    <row r="27" spans="1:31" s="4" customFormat="1" ht="75" customHeight="1" x14ac:dyDescent="0.2">
      <c r="A27" s="59"/>
      <c r="B27" s="139" t="s">
        <v>326</v>
      </c>
      <c r="C27" s="116" t="s">
        <v>147</v>
      </c>
      <c r="D27" s="121" t="s">
        <v>308</v>
      </c>
      <c r="E27" s="123" t="s">
        <v>309</v>
      </c>
      <c r="F27" s="133"/>
      <c r="G27" s="134"/>
      <c r="H27" s="169">
        <v>4224.9399999999996</v>
      </c>
      <c r="I27" s="170">
        <v>0</v>
      </c>
      <c r="J27" s="171">
        <f>SUM(H27:I27)</f>
        <v>4224.9399999999996</v>
      </c>
      <c r="K27" s="172">
        <f t="shared" si="32"/>
        <v>0</v>
      </c>
      <c r="L27" s="172">
        <f t="shared" si="33"/>
        <v>4224.9399999999996</v>
      </c>
      <c r="M27" s="172">
        <f>VLOOKUP(L27,Tarifa1,1)</f>
        <v>2422.81</v>
      </c>
      <c r="N27" s="172">
        <f t="shared" si="34"/>
        <v>1802.1299999999997</v>
      </c>
      <c r="O27" s="173">
        <f>VLOOKUP(L27,Tarifa1,3)</f>
        <v>0.10879999999999999</v>
      </c>
      <c r="P27" s="172">
        <f t="shared" si="35"/>
        <v>196.07174399999994</v>
      </c>
      <c r="Q27" s="174">
        <f>VLOOKUP(L27,Tarifa1,2)</f>
        <v>142.19999999999999</v>
      </c>
      <c r="R27" s="172">
        <f t="shared" si="36"/>
        <v>338.2717439999999</v>
      </c>
      <c r="S27" s="172">
        <f>VLOOKUP(L27,Credito1,2)</f>
        <v>0</v>
      </c>
      <c r="T27" s="172">
        <f t="shared" si="37"/>
        <v>338.2717439999999</v>
      </c>
      <c r="U27" s="171">
        <f>-IF(T27&gt;0,0,T27)</f>
        <v>0</v>
      </c>
      <c r="V27" s="171">
        <f>IF(T27&lt;0,0,T27)</f>
        <v>338.2717439999999</v>
      </c>
      <c r="W27" s="171">
        <f>SUM(V27:V27)</f>
        <v>338.2717439999999</v>
      </c>
      <c r="X27" s="171">
        <f>J27+U27-W27</f>
        <v>3886.6682559999999</v>
      </c>
      <c r="Y27" s="122"/>
      <c r="AE27" s="189"/>
    </row>
    <row r="28" spans="1:31" s="4" customFormat="1" ht="75" customHeight="1" x14ac:dyDescent="0.2">
      <c r="A28" s="59"/>
      <c r="B28" s="198" t="s">
        <v>124</v>
      </c>
      <c r="C28" s="198" t="s">
        <v>164</v>
      </c>
      <c r="D28" s="194" t="s">
        <v>163</v>
      </c>
      <c r="E28" s="194" t="s">
        <v>62</v>
      </c>
      <c r="F28" s="194"/>
      <c r="G28" s="194"/>
      <c r="H28" s="195">
        <f>SUM(H29:H30)</f>
        <v>5185.3</v>
      </c>
      <c r="I28" s="195">
        <f t="shared" ref="I28:X28" si="38">SUM(I29:I30)</f>
        <v>0</v>
      </c>
      <c r="J28" s="195">
        <f t="shared" si="38"/>
        <v>5185.3</v>
      </c>
      <c r="K28" s="195">
        <f t="shared" si="38"/>
        <v>0</v>
      </c>
      <c r="L28" s="195">
        <f t="shared" si="38"/>
        <v>5185.3</v>
      </c>
      <c r="M28" s="195">
        <f t="shared" si="38"/>
        <v>2708.27</v>
      </c>
      <c r="N28" s="195">
        <f t="shared" si="38"/>
        <v>2477.0300000000002</v>
      </c>
      <c r="O28" s="195">
        <f t="shared" si="38"/>
        <v>0.17280000000000001</v>
      </c>
      <c r="P28" s="195">
        <f t="shared" si="38"/>
        <v>178.73516800000002</v>
      </c>
      <c r="Q28" s="195">
        <f t="shared" si="38"/>
        <v>147.75</v>
      </c>
      <c r="R28" s="195">
        <f t="shared" si="38"/>
        <v>326.48516800000004</v>
      </c>
      <c r="S28" s="195">
        <f t="shared" si="38"/>
        <v>320.10000000000002</v>
      </c>
      <c r="T28" s="195">
        <f t="shared" si="38"/>
        <v>6.3851680000000215</v>
      </c>
      <c r="U28" s="195">
        <f t="shared" si="38"/>
        <v>39.534719999999993</v>
      </c>
      <c r="V28" s="195">
        <f t="shared" si="38"/>
        <v>45.919888000000014</v>
      </c>
      <c r="W28" s="195">
        <f t="shared" si="38"/>
        <v>45.919888000000014</v>
      </c>
      <c r="X28" s="195" t="e">
        <f t="shared" si="38"/>
        <v>#REF!</v>
      </c>
      <c r="Y28" s="197"/>
      <c r="AE28" s="189"/>
    </row>
    <row r="29" spans="1:31" s="4" customFormat="1" ht="75" customHeight="1" x14ac:dyDescent="0.2">
      <c r="A29" s="59"/>
      <c r="B29" s="116" t="s">
        <v>129</v>
      </c>
      <c r="C29" s="116" t="s">
        <v>147</v>
      </c>
      <c r="D29" s="121" t="s">
        <v>83</v>
      </c>
      <c r="E29" s="123" t="s">
        <v>166</v>
      </c>
      <c r="F29" s="133">
        <v>15</v>
      </c>
      <c r="G29" s="134">
        <f>H29/F29</f>
        <v>191.58800000000002</v>
      </c>
      <c r="H29" s="119">
        <v>2873.82</v>
      </c>
      <c r="I29" s="126">
        <v>0</v>
      </c>
      <c r="J29" s="127">
        <f>SUM(H29:I29)</f>
        <v>2873.82</v>
      </c>
      <c r="K29" s="172">
        <f t="shared" ref="K29:K30" si="39">IF(H29/15&lt;=123.22,I29,I29/2)</f>
        <v>0</v>
      </c>
      <c r="L29" s="172">
        <f t="shared" ref="L29:L30" si="40">H29+K29</f>
        <v>2873.82</v>
      </c>
      <c r="M29" s="172">
        <f>VLOOKUP(L29,Tarifa1,1)</f>
        <v>2422.81</v>
      </c>
      <c r="N29" s="172">
        <f t="shared" ref="N29:N30" si="41">L29-M29</f>
        <v>451.01000000000022</v>
      </c>
      <c r="O29" s="173">
        <f>VLOOKUP(L29,Tarifa1,3)</f>
        <v>0.10879999999999999</v>
      </c>
      <c r="P29" s="172">
        <f t="shared" ref="P29:P30" si="42">N29*O29</f>
        <v>49.06988800000002</v>
      </c>
      <c r="Q29" s="174">
        <f>VLOOKUP(L29,Tarifa1,2)</f>
        <v>142.19999999999999</v>
      </c>
      <c r="R29" s="172">
        <f t="shared" ref="R29:R30" si="43">P29+Q29</f>
        <v>191.26988800000001</v>
      </c>
      <c r="S29" s="172">
        <f>VLOOKUP(L29,Credito1,2)</f>
        <v>145.35</v>
      </c>
      <c r="T29" s="172">
        <f t="shared" ref="T29:T30" si="44">R29-S29</f>
        <v>45.919888000000014</v>
      </c>
      <c r="U29" s="127">
        <f>-IF(T29&gt;0,0,T29)</f>
        <v>0</v>
      </c>
      <c r="V29" s="127">
        <f>IF(T29&lt;0,0,T29)</f>
        <v>45.919888000000014</v>
      </c>
      <c r="W29" s="127">
        <f>SUM(V29:V29)</f>
        <v>45.919888000000014</v>
      </c>
      <c r="X29" s="127" t="e">
        <f>J29+U29-W29-#REF!</f>
        <v>#REF!</v>
      </c>
      <c r="Y29" s="122"/>
      <c r="AE29" s="189"/>
    </row>
    <row r="30" spans="1:31" s="4" customFormat="1" ht="75" customHeight="1" x14ac:dyDescent="0.2">
      <c r="A30" s="59"/>
      <c r="B30" s="116" t="s">
        <v>367</v>
      </c>
      <c r="C30" s="116" t="s">
        <v>234</v>
      </c>
      <c r="D30" s="121" t="s">
        <v>366</v>
      </c>
      <c r="E30" s="123" t="s">
        <v>368</v>
      </c>
      <c r="F30" s="133"/>
      <c r="G30" s="134"/>
      <c r="H30" s="119">
        <v>2311.48</v>
      </c>
      <c r="I30" s="126">
        <v>0</v>
      </c>
      <c r="J30" s="127">
        <f>SUM(H30:I30)</f>
        <v>2311.48</v>
      </c>
      <c r="K30" s="172">
        <f t="shared" si="39"/>
        <v>0</v>
      </c>
      <c r="L30" s="172">
        <f t="shared" si="40"/>
        <v>2311.48</v>
      </c>
      <c r="M30" s="172">
        <f>VLOOKUP(L30,Tarifa1,1)</f>
        <v>285.45999999999998</v>
      </c>
      <c r="N30" s="172">
        <f t="shared" si="41"/>
        <v>2026.02</v>
      </c>
      <c r="O30" s="173">
        <f>VLOOKUP(L30,Tarifa1,3)</f>
        <v>6.4000000000000001E-2</v>
      </c>
      <c r="P30" s="172">
        <f t="shared" si="42"/>
        <v>129.66528</v>
      </c>
      <c r="Q30" s="174">
        <f>VLOOKUP(L30,Tarifa1,2)</f>
        <v>5.55</v>
      </c>
      <c r="R30" s="172">
        <f t="shared" si="43"/>
        <v>135.21528000000001</v>
      </c>
      <c r="S30" s="172">
        <f>VLOOKUP(L30,Credito1,2)</f>
        <v>174.75</v>
      </c>
      <c r="T30" s="172">
        <f t="shared" si="44"/>
        <v>-39.534719999999993</v>
      </c>
      <c r="U30" s="127">
        <f>-IF(T30&gt;0,0,T30)</f>
        <v>39.534719999999993</v>
      </c>
      <c r="V30" s="127">
        <f>IF(T30&lt;0,0,T30)</f>
        <v>0</v>
      </c>
      <c r="W30" s="127">
        <f>SUM(V30:V30)</f>
        <v>0</v>
      </c>
      <c r="X30" s="127">
        <f>J30+U30-W30</f>
        <v>2351.0147200000001</v>
      </c>
      <c r="Y30" s="122"/>
      <c r="AE30" s="189"/>
    </row>
    <row r="31" spans="1:31" s="4" customFormat="1" ht="75" customHeight="1" x14ac:dyDescent="0.2">
      <c r="A31" s="59" t="s">
        <v>103</v>
      </c>
      <c r="B31" s="198" t="s">
        <v>124</v>
      </c>
      <c r="C31" s="198" t="s">
        <v>164</v>
      </c>
      <c r="D31" s="194" t="s">
        <v>162</v>
      </c>
      <c r="E31" s="194" t="s">
        <v>62</v>
      </c>
      <c r="F31" s="194"/>
      <c r="G31" s="194"/>
      <c r="H31" s="195">
        <f>SUM(H32)</f>
        <v>2873.82</v>
      </c>
      <c r="I31" s="195">
        <f>SUM(I32)</f>
        <v>0</v>
      </c>
      <c r="J31" s="195">
        <f>SUM(J32)</f>
        <v>2873.82</v>
      </c>
      <c r="K31" s="194"/>
      <c r="L31" s="194"/>
      <c r="M31" s="194"/>
      <c r="N31" s="194"/>
      <c r="O31" s="194"/>
      <c r="P31" s="194"/>
      <c r="Q31" s="196"/>
      <c r="R31" s="194"/>
      <c r="S31" s="194"/>
      <c r="T31" s="194"/>
      <c r="U31" s="195">
        <f>SUM(U32)</f>
        <v>0</v>
      </c>
      <c r="V31" s="195">
        <f>SUM(V32)</f>
        <v>45.919888000000014</v>
      </c>
      <c r="W31" s="195">
        <f>SUM(W32)</f>
        <v>45.919888000000014</v>
      </c>
      <c r="X31" s="195" t="e">
        <f>SUM(X32)</f>
        <v>#REF!</v>
      </c>
      <c r="Y31" s="197"/>
    </row>
    <row r="32" spans="1:31" s="4" customFormat="1" ht="75" customHeight="1" x14ac:dyDescent="0.2">
      <c r="A32" s="59" t="s">
        <v>104</v>
      </c>
      <c r="B32" s="116" t="s">
        <v>128</v>
      </c>
      <c r="C32" s="116" t="s">
        <v>147</v>
      </c>
      <c r="D32" s="121" t="s">
        <v>82</v>
      </c>
      <c r="E32" s="123" t="s">
        <v>209</v>
      </c>
      <c r="F32" s="133">
        <v>15</v>
      </c>
      <c r="G32" s="134">
        <f>H32/F32</f>
        <v>191.58800000000002</v>
      </c>
      <c r="H32" s="119">
        <v>2873.82</v>
      </c>
      <c r="I32" s="126">
        <v>0</v>
      </c>
      <c r="J32" s="127">
        <f>SUM(H32:I32)</f>
        <v>2873.82</v>
      </c>
      <c r="K32" s="172">
        <f t="shared" ref="K32" si="45">IF(H32/15&lt;=123.22,I32,I32/2)</f>
        <v>0</v>
      </c>
      <c r="L32" s="172">
        <f t="shared" ref="L32" si="46">H32+K32</f>
        <v>2873.82</v>
      </c>
      <c r="M32" s="172">
        <f>VLOOKUP(L32,Tarifa1,1)</f>
        <v>2422.81</v>
      </c>
      <c r="N32" s="172">
        <f t="shared" ref="N32" si="47">L32-M32</f>
        <v>451.01000000000022</v>
      </c>
      <c r="O32" s="173">
        <f>VLOOKUP(L32,Tarifa1,3)</f>
        <v>0.10879999999999999</v>
      </c>
      <c r="P32" s="172">
        <f t="shared" ref="P32" si="48">N32*O32</f>
        <v>49.06988800000002</v>
      </c>
      <c r="Q32" s="174">
        <f>VLOOKUP(L32,Tarifa1,2)</f>
        <v>142.19999999999999</v>
      </c>
      <c r="R32" s="172">
        <f t="shared" ref="R32" si="49">P32+Q32</f>
        <v>191.26988800000001</v>
      </c>
      <c r="S32" s="172">
        <f>VLOOKUP(L32,Credito1,2)</f>
        <v>145.35</v>
      </c>
      <c r="T32" s="172">
        <f t="shared" ref="T32" si="50">R32-S32</f>
        <v>45.919888000000014</v>
      </c>
      <c r="U32" s="127">
        <f>-IF(T32&gt;0,0,T32)</f>
        <v>0</v>
      </c>
      <c r="V32" s="127">
        <f>IF(T32&lt;0,0,T32)</f>
        <v>45.919888000000014</v>
      </c>
      <c r="W32" s="127">
        <f>SUM(V32:V32)</f>
        <v>45.919888000000014</v>
      </c>
      <c r="X32" s="127" t="e">
        <f>J32+U32-W32-#REF!</f>
        <v>#REF!</v>
      </c>
      <c r="Y32" s="122"/>
      <c r="AE32" s="189"/>
    </row>
    <row r="33" spans="1:37" s="4" customFormat="1" ht="27" customHeight="1" x14ac:dyDescent="0.2">
      <c r="A33" s="56"/>
      <c r="B33" s="56"/>
      <c r="C33" s="56"/>
      <c r="D33" s="56"/>
      <c r="E33" s="56"/>
      <c r="F33" s="56"/>
      <c r="G33" s="56"/>
      <c r="H33" s="35"/>
      <c r="I33" s="35"/>
      <c r="J33" s="35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37" s="4" customFormat="1" ht="48" customHeight="1" thickBot="1" x14ac:dyDescent="0.25">
      <c r="A34" s="291" t="s">
        <v>45</v>
      </c>
      <c r="B34" s="292"/>
      <c r="C34" s="292"/>
      <c r="D34" s="292"/>
      <c r="E34" s="292"/>
      <c r="F34" s="292"/>
      <c r="G34" s="293"/>
      <c r="H34" s="164">
        <f>SUM(H9+H25+H28+H31)</f>
        <v>48188.020000000004</v>
      </c>
      <c r="I34" s="164">
        <f>SUM(I9+I25+I28+I31)</f>
        <v>568</v>
      </c>
      <c r="J34" s="164">
        <f>SUM(J9+J25+J28+J31)</f>
        <v>48756.020000000004</v>
      </c>
      <c r="K34" s="165">
        <f t="shared" ref="K34:T34" si="51">SUM(K10:K33)</f>
        <v>284</v>
      </c>
      <c r="L34" s="165">
        <f t="shared" si="51"/>
        <v>53657.320000000014</v>
      </c>
      <c r="M34" s="165">
        <f t="shared" si="51"/>
        <v>39137.57</v>
      </c>
      <c r="N34" s="165">
        <f t="shared" si="51"/>
        <v>14519.749999999998</v>
      </c>
      <c r="O34" s="165">
        <f t="shared" si="51"/>
        <v>1.8368000000000002</v>
      </c>
      <c r="P34" s="165">
        <f t="shared" si="51"/>
        <v>1323.7532799999997</v>
      </c>
      <c r="Q34" s="165">
        <f t="shared" si="51"/>
        <v>2517.4499999999998</v>
      </c>
      <c r="R34" s="165">
        <f t="shared" si="51"/>
        <v>3841.2032799999993</v>
      </c>
      <c r="S34" s="165">
        <f t="shared" si="51"/>
        <v>2035.7999999999997</v>
      </c>
      <c r="T34" s="165">
        <f t="shared" si="51"/>
        <v>1805.4032799999995</v>
      </c>
      <c r="U34" s="164">
        <f>SUM(U9+U25+U28+U31)</f>
        <v>104.2988</v>
      </c>
      <c r="V34" s="164">
        <f>SUM(V9+V25+V28+V31)</f>
        <v>1903.3169119999998</v>
      </c>
      <c r="W34" s="164">
        <f>SUM(W9+W25+W28+W31)</f>
        <v>1903.3169119999998</v>
      </c>
      <c r="X34" s="164" t="e">
        <f>SUM(X9+X25+X28+X31)</f>
        <v>#REF!</v>
      </c>
    </row>
    <row r="35" spans="1:37" s="4" customFormat="1" ht="13.5" thickTop="1" x14ac:dyDescent="0.2"/>
    <row r="36" spans="1:37" s="4" customFormat="1" x14ac:dyDescent="0.2"/>
    <row r="37" spans="1:37" s="4" customFormat="1" x14ac:dyDescent="0.2"/>
    <row r="38" spans="1:37" s="4" customFormat="1" x14ac:dyDescent="0.2"/>
    <row r="39" spans="1:37" s="4" customFormat="1" x14ac:dyDescent="0.2"/>
    <row r="40" spans="1:37" s="4" customFormat="1" x14ac:dyDescent="0.2"/>
    <row r="41" spans="1:37" s="4" customFormat="1" x14ac:dyDescent="0.2">
      <c r="D41" s="4" t="s">
        <v>243</v>
      </c>
      <c r="V41" s="4" t="s">
        <v>244</v>
      </c>
    </row>
    <row r="42" spans="1:37" s="4" customFormat="1" x14ac:dyDescent="0.2">
      <c r="D42" s="51" t="s">
        <v>236</v>
      </c>
      <c r="V42" s="51" t="s">
        <v>238</v>
      </c>
    </row>
    <row r="43" spans="1:37" s="4" customFormat="1" x14ac:dyDescent="0.2">
      <c r="D43" s="51" t="s">
        <v>98</v>
      </c>
      <c r="E43" s="51"/>
      <c r="F43" s="51"/>
      <c r="G43" s="51"/>
      <c r="H43" s="51"/>
      <c r="I43" s="51"/>
      <c r="V43" s="51" t="s">
        <v>99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J43" s="51"/>
      <c r="AK43" s="51"/>
    </row>
    <row r="44" spans="1:37" s="4" customFormat="1" x14ac:dyDescent="0.2"/>
    <row r="45" spans="1:37" s="4" customFormat="1" x14ac:dyDescent="0.2"/>
    <row r="46" spans="1:37" s="4" customFormat="1" x14ac:dyDescent="0.2"/>
  </sheetData>
  <mergeCells count="10">
    <mergeCell ref="A34:G34"/>
    <mergeCell ref="A1:Y1"/>
    <mergeCell ref="A2:Y2"/>
    <mergeCell ref="A3:Y3"/>
    <mergeCell ref="H6:J6"/>
    <mergeCell ref="M6:R6"/>
    <mergeCell ref="V6:W6"/>
    <mergeCell ref="B20:Z20"/>
    <mergeCell ref="B21:Z21"/>
    <mergeCell ref="B22:Z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" zoomScale="86" zoomScaleNormal="8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31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31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17" t="s">
        <v>164</v>
      </c>
      <c r="D6" s="65"/>
      <c r="E6" s="65"/>
      <c r="F6" s="66" t="s">
        <v>23</v>
      </c>
      <c r="G6" s="66" t="s">
        <v>6</v>
      </c>
      <c r="H6" s="297" t="s">
        <v>1</v>
      </c>
      <c r="I6" s="298"/>
      <c r="J6" s="299"/>
      <c r="K6" s="67" t="s">
        <v>26</v>
      </c>
      <c r="L6" s="68"/>
      <c r="M6" s="300" t="s">
        <v>9</v>
      </c>
      <c r="N6" s="301"/>
      <c r="O6" s="301"/>
      <c r="P6" s="301"/>
      <c r="Q6" s="301"/>
      <c r="R6" s="302"/>
      <c r="S6" s="67" t="s">
        <v>30</v>
      </c>
      <c r="T6" s="67" t="s">
        <v>10</v>
      </c>
      <c r="U6" s="66" t="s">
        <v>54</v>
      </c>
      <c r="V6" s="303" t="s">
        <v>2</v>
      </c>
      <c r="W6" s="304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124</v>
      </c>
      <c r="C7" s="318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19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165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124</v>
      </c>
      <c r="C9" s="203" t="s">
        <v>164</v>
      </c>
      <c r="D9" s="45" t="s">
        <v>217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102</v>
      </c>
      <c r="B10" s="138" t="s">
        <v>269</v>
      </c>
      <c r="C10" s="62" t="s">
        <v>147</v>
      </c>
      <c r="D10" s="177" t="s">
        <v>260</v>
      </c>
      <c r="E10" s="177" t="s">
        <v>299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103</v>
      </c>
      <c r="B11" s="62" t="s">
        <v>144</v>
      </c>
      <c r="C11" s="62" t="s">
        <v>147</v>
      </c>
      <c r="D11" s="166" t="s">
        <v>113</v>
      </c>
      <c r="E11" s="177" t="s">
        <v>212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124</v>
      </c>
      <c r="C12" s="203" t="s">
        <v>164</v>
      </c>
      <c r="D12" s="45" t="s">
        <v>291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289</v>
      </c>
      <c r="C13" s="62" t="s">
        <v>147</v>
      </c>
      <c r="D13" s="176" t="s">
        <v>290</v>
      </c>
      <c r="E13" s="177" t="s">
        <v>292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124</v>
      </c>
      <c r="C14" s="203" t="s">
        <v>164</v>
      </c>
      <c r="D14" s="45" t="s">
        <v>357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358</v>
      </c>
      <c r="C15" s="62" t="s">
        <v>147</v>
      </c>
      <c r="D15" s="176" t="s">
        <v>355</v>
      </c>
      <c r="E15" s="177" t="s">
        <v>356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124</v>
      </c>
      <c r="C16" s="203" t="s">
        <v>164</v>
      </c>
      <c r="D16" s="45" t="s">
        <v>168</v>
      </c>
      <c r="E16" s="45" t="s">
        <v>62</v>
      </c>
      <c r="F16" s="45"/>
      <c r="G16" s="45"/>
      <c r="H16" s="199">
        <f>SUM(H17:H19)</f>
        <v>12323.06</v>
      </c>
      <c r="I16" s="199">
        <f>SUM(I17:I19)</f>
        <v>0</v>
      </c>
      <c r="J16" s="199">
        <f>SUM(J17:J19)</f>
        <v>12323.06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834.01141599999994</v>
      </c>
      <c r="W16" s="199">
        <f>SUM(W17:W19)</f>
        <v>834.01141599999994</v>
      </c>
      <c r="X16" s="199">
        <f>SUM(X17:X19)</f>
        <v>11489.048584</v>
      </c>
      <c r="Y16" s="201"/>
      <c r="AE16" s="77"/>
    </row>
    <row r="17" spans="1:31" s="69" customFormat="1" ht="69.95" customHeight="1" x14ac:dyDescent="0.2">
      <c r="A17" s="62" t="s">
        <v>105</v>
      </c>
      <c r="B17" s="138" t="s">
        <v>271</v>
      </c>
      <c r="C17" s="62" t="s">
        <v>147</v>
      </c>
      <c r="D17" s="176" t="s">
        <v>213</v>
      </c>
      <c r="E17" s="177" t="s">
        <v>115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327</v>
      </c>
      <c r="C18" s="62" t="s">
        <v>147</v>
      </c>
      <c r="D18" s="176" t="s">
        <v>305</v>
      </c>
      <c r="E18" s="177" t="s">
        <v>306</v>
      </c>
      <c r="F18" s="167"/>
      <c r="G18" s="168"/>
      <c r="H18" s="119">
        <v>3182.33</v>
      </c>
      <c r="I18" s="126">
        <v>0</v>
      </c>
      <c r="J18" s="127">
        <f t="shared" ref="J18" si="4">SUM(H18:I18)</f>
        <v>3182.33</v>
      </c>
      <c r="K18" s="172">
        <f>IF(H18/15&lt;=123.22,I18,I18/2)</f>
        <v>0</v>
      </c>
      <c r="L18" s="172">
        <f>H18+K18</f>
        <v>3182.33</v>
      </c>
      <c r="M18" s="172">
        <f>VLOOKUP(L18,Tarifa1,1)</f>
        <v>2422.81</v>
      </c>
      <c r="N18" s="172">
        <f>L18-M18</f>
        <v>759.52</v>
      </c>
      <c r="O18" s="173">
        <f>VLOOKUP(L18,Tarifa1,3)</f>
        <v>0.10879999999999999</v>
      </c>
      <c r="P18" s="172">
        <f>N18*O18</f>
        <v>82.635775999999993</v>
      </c>
      <c r="Q18" s="174">
        <f>VLOOKUP(L18,Tarifa1,2)</f>
        <v>142.19999999999999</v>
      </c>
      <c r="R18" s="172">
        <f>P18+Q18</f>
        <v>224.83577599999998</v>
      </c>
      <c r="S18" s="172">
        <f>VLOOKUP(L18,Credito1,2)</f>
        <v>125.1</v>
      </c>
      <c r="T18" s="172">
        <f>R18-S18</f>
        <v>99.735775999999987</v>
      </c>
      <c r="U18" s="127">
        <f t="shared" ref="U18" si="5">-IF(T18&gt;0,0,T18)</f>
        <v>0</v>
      </c>
      <c r="V18" s="127">
        <f t="shared" ref="V18" si="6">IF(T18&lt;0,0,T18)</f>
        <v>99.735775999999987</v>
      </c>
      <c r="W18" s="127">
        <f>SUM(V18:V18)</f>
        <v>99.735775999999987</v>
      </c>
      <c r="X18" s="127">
        <f>J18+U18-W18</f>
        <v>3082.5942239999999</v>
      </c>
      <c r="Y18" s="187"/>
      <c r="AE18" s="88"/>
    </row>
    <row r="19" spans="1:31" s="69" customFormat="1" ht="69.95" customHeight="1" x14ac:dyDescent="0.2">
      <c r="A19" s="62"/>
      <c r="B19" s="138" t="s">
        <v>363</v>
      </c>
      <c r="C19" s="62" t="s">
        <v>234</v>
      </c>
      <c r="D19" s="176" t="s">
        <v>359</v>
      </c>
      <c r="E19" s="177" t="s">
        <v>306</v>
      </c>
      <c r="F19" s="167"/>
      <c r="G19" s="168"/>
      <c r="H19" s="119">
        <v>3182.33</v>
      </c>
      <c r="I19" s="126">
        <v>0</v>
      </c>
      <c r="J19" s="127">
        <f t="shared" ref="J19" si="7">SUM(H19:I19)</f>
        <v>3182.33</v>
      </c>
      <c r="K19" s="172">
        <f>IF(H19/15&lt;=123.22,I19,I19/2)</f>
        <v>0</v>
      </c>
      <c r="L19" s="172">
        <f>H19+K19</f>
        <v>3182.33</v>
      </c>
      <c r="M19" s="172">
        <f>VLOOKUP(L19,Tarifa1,1)</f>
        <v>2422.81</v>
      </c>
      <c r="N19" s="172">
        <f>L19-M19</f>
        <v>759.52</v>
      </c>
      <c r="O19" s="173">
        <f>VLOOKUP(L19,Tarifa1,3)</f>
        <v>0.10879999999999999</v>
      </c>
      <c r="P19" s="172">
        <f>N19*O19</f>
        <v>82.635775999999993</v>
      </c>
      <c r="Q19" s="174">
        <f>VLOOKUP(L19,Tarifa1,2)</f>
        <v>142.19999999999999</v>
      </c>
      <c r="R19" s="172">
        <f>P19+Q19</f>
        <v>224.83577599999998</v>
      </c>
      <c r="S19" s="172">
        <f>VLOOKUP(L19,Credito1,2)</f>
        <v>125.1</v>
      </c>
      <c r="T19" s="172">
        <f>R19-S19</f>
        <v>99.735775999999987</v>
      </c>
      <c r="U19" s="127">
        <f t="shared" ref="U19" si="8">-IF(T19&gt;0,0,T19)</f>
        <v>0</v>
      </c>
      <c r="V19" s="127">
        <f t="shared" ref="V19" si="9">IF(T19&lt;0,0,T19)</f>
        <v>99.735775999999987</v>
      </c>
      <c r="W19" s="127">
        <f>SUM(V19:V19)</f>
        <v>99.735775999999987</v>
      </c>
      <c r="X19" s="127">
        <f>J19+U19-W19</f>
        <v>3082.5942239999999</v>
      </c>
      <c r="Y19" s="187"/>
      <c r="AE19" s="88"/>
    </row>
    <row r="20" spans="1:31" s="69" customFormat="1" ht="50.25" customHeight="1" x14ac:dyDescent="0.25">
      <c r="A20" s="62"/>
      <c r="B20" s="203" t="s">
        <v>124</v>
      </c>
      <c r="C20" s="203" t="s">
        <v>164</v>
      </c>
      <c r="D20" s="45" t="s">
        <v>169</v>
      </c>
      <c r="E20" s="45" t="s">
        <v>62</v>
      </c>
      <c r="F20" s="45"/>
      <c r="G20" s="45"/>
      <c r="H20" s="199">
        <f>SUM(H21:H27)</f>
        <v>15783.14</v>
      </c>
      <c r="I20" s="199">
        <f>SUM(I21:I27)</f>
        <v>0</v>
      </c>
      <c r="J20" s="199">
        <f>SUM(J21:J27)</f>
        <v>15783.14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1578.6204480000004</v>
      </c>
      <c r="W20" s="199">
        <f>SUM(W21:W27)</f>
        <v>1578.6204480000004</v>
      </c>
      <c r="X20" s="199">
        <f>SUM(X21:X27)</f>
        <v>14204.519552</v>
      </c>
      <c r="Y20" s="201"/>
      <c r="AE20" s="88"/>
    </row>
    <row r="21" spans="1:31" s="69" customFormat="1" ht="69.95" customHeight="1" x14ac:dyDescent="0.2">
      <c r="A21" s="62" t="s">
        <v>106</v>
      </c>
      <c r="B21" s="62" t="s">
        <v>145</v>
      </c>
      <c r="C21" s="62" t="s">
        <v>147</v>
      </c>
      <c r="D21" s="176" t="s">
        <v>114</v>
      </c>
      <c r="E21" s="177" t="s">
        <v>116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0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1">-IF(T21&gt;0,0,T21)</f>
        <v>0</v>
      </c>
      <c r="V21" s="111">
        <f t="shared" ref="V21" si="12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272</v>
      </c>
      <c r="C22" s="62" t="s">
        <v>147</v>
      </c>
      <c r="D22" s="178" t="s">
        <v>215</v>
      </c>
      <c r="E22" s="177" t="s">
        <v>214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2"/>
      <c r="B23" s="294" t="s">
        <v>94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E23" s="88"/>
    </row>
    <row r="24" spans="1:31" s="69" customFormat="1" ht="25.5" customHeight="1" x14ac:dyDescent="0.25">
      <c r="A24" s="232"/>
      <c r="B24" s="294" t="s">
        <v>66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E24" s="88"/>
    </row>
    <row r="25" spans="1:31" s="69" customFormat="1" ht="23.25" customHeight="1" x14ac:dyDescent="0.2">
      <c r="A25" s="232"/>
      <c r="B25" s="295" t="s">
        <v>376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348</v>
      </c>
      <c r="C27" s="62" t="s">
        <v>147</v>
      </c>
      <c r="D27" s="178" t="s">
        <v>341</v>
      </c>
      <c r="E27" s="177" t="s">
        <v>342</v>
      </c>
      <c r="F27" s="167"/>
      <c r="G27" s="168"/>
      <c r="H27" s="169">
        <v>4120.72</v>
      </c>
      <c r="I27" s="170">
        <v>0</v>
      </c>
      <c r="J27" s="171">
        <f>SUM(H27:I27)</f>
        <v>4120.72</v>
      </c>
      <c r="K27" s="172">
        <f>IF(H27/15&lt;=123.22,I27,I27/2)</f>
        <v>0</v>
      </c>
      <c r="L27" s="172">
        <f>H27+K27</f>
        <v>4120.72</v>
      </c>
      <c r="M27" s="172">
        <f>VLOOKUP(L27,Tarifa1,1)</f>
        <v>2422.81</v>
      </c>
      <c r="N27" s="172">
        <f>L27-M27</f>
        <v>1697.9100000000003</v>
      </c>
      <c r="O27" s="173">
        <f>VLOOKUP(L27,Tarifa1,3)</f>
        <v>0.10879999999999999</v>
      </c>
      <c r="P27" s="172">
        <f>N27*O27</f>
        <v>184.73260800000003</v>
      </c>
      <c r="Q27" s="174">
        <f>VLOOKUP(L27,Tarifa1,2)</f>
        <v>142.19999999999999</v>
      </c>
      <c r="R27" s="172">
        <f>P27+Q27</f>
        <v>326.93260800000002</v>
      </c>
      <c r="S27" s="172">
        <f>VLOOKUP(L27,Credito1,2)</f>
        <v>0</v>
      </c>
      <c r="T27" s="172">
        <f>R27-S27</f>
        <v>326.93260800000002</v>
      </c>
      <c r="U27" s="171">
        <f>-IF(T27&gt;0,0,T27)</f>
        <v>0</v>
      </c>
      <c r="V27" s="171">
        <f>IF(T27&lt;0,0,T27)</f>
        <v>326.93260800000002</v>
      </c>
      <c r="W27" s="171">
        <f>SUM(V27:V27)</f>
        <v>326.93260800000002</v>
      </c>
      <c r="X27" s="171">
        <f>J27+U27-W27</f>
        <v>3793.7873920000002</v>
      </c>
      <c r="Y27" s="187"/>
      <c r="AE27" s="88"/>
    </row>
    <row r="28" spans="1:31" s="69" customFormat="1" ht="52.5" customHeight="1" x14ac:dyDescent="0.25">
      <c r="A28" s="62"/>
      <c r="B28" s="203" t="s">
        <v>124</v>
      </c>
      <c r="C28" s="203" t="s">
        <v>164</v>
      </c>
      <c r="D28" s="45" t="s">
        <v>170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107</v>
      </c>
      <c r="B29" s="62" t="s">
        <v>146</v>
      </c>
      <c r="C29" s="62" t="s">
        <v>147</v>
      </c>
      <c r="D29" s="178" t="s">
        <v>119</v>
      </c>
      <c r="E29" s="177" t="s">
        <v>123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124</v>
      </c>
      <c r="C30" s="203" t="s">
        <v>164</v>
      </c>
      <c r="D30" s="45" t="s">
        <v>174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180</v>
      </c>
      <c r="C31" s="62" t="s">
        <v>147</v>
      </c>
      <c r="D31" s="166" t="s">
        <v>175</v>
      </c>
      <c r="E31" s="177" t="s">
        <v>176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124</v>
      </c>
      <c r="C32" s="203" t="s">
        <v>164</v>
      </c>
      <c r="D32" s="45" t="s">
        <v>216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273</v>
      </c>
      <c r="C33" s="62" t="s">
        <v>147</v>
      </c>
      <c r="D33" s="166" t="s">
        <v>219</v>
      </c>
      <c r="E33" s="177" t="s">
        <v>220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13">-IF(T33&gt;0,0,T33)</f>
        <v>0</v>
      </c>
      <c r="V33" s="236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16" t="s">
        <v>45</v>
      </c>
      <c r="B35" s="316"/>
      <c r="C35" s="316"/>
      <c r="D35" s="316"/>
      <c r="E35" s="316"/>
      <c r="F35" s="316"/>
      <c r="G35" s="316"/>
      <c r="H35" s="207">
        <f>H9+H12+H16+H20+H28+H30+H32+H14</f>
        <v>67130.59</v>
      </c>
      <c r="I35" s="207">
        <f>I9+I12+I16+I20+I28+I30+I32+I14</f>
        <v>0</v>
      </c>
      <c r="J35" s="207">
        <f>J9+J12+J16+J20+J28+J30+J32+J14</f>
        <v>67130.59</v>
      </c>
      <c r="K35" s="208">
        <f t="shared" ref="K35:T35" si="14">SUM(K10:K34)</f>
        <v>0</v>
      </c>
      <c r="L35" s="208">
        <f t="shared" si="14"/>
        <v>67130.590000000011</v>
      </c>
      <c r="M35" s="208">
        <f t="shared" si="14"/>
        <v>58879.180000000008</v>
      </c>
      <c r="N35" s="208">
        <f t="shared" si="14"/>
        <v>8251.41</v>
      </c>
      <c r="O35" s="208">
        <f t="shared" si="14"/>
        <v>2.2136</v>
      </c>
      <c r="P35" s="208">
        <f t="shared" si="14"/>
        <v>1321.104632</v>
      </c>
      <c r="Q35" s="208">
        <f t="shared" si="14"/>
        <v>5384.55</v>
      </c>
      <c r="R35" s="208">
        <f t="shared" si="14"/>
        <v>6705.6546320000007</v>
      </c>
      <c r="S35" s="208">
        <f t="shared" si="14"/>
        <v>250.2</v>
      </c>
      <c r="T35" s="208">
        <f t="shared" si="14"/>
        <v>6455.4546319999999</v>
      </c>
      <c r="U35" s="207">
        <f>U9+U12+U16+U20+U28+U30+U32+U14</f>
        <v>0</v>
      </c>
      <c r="V35" s="207">
        <f>V9+V12+V16+V20+V28+V30+V32+V14</f>
        <v>6455.4546320000009</v>
      </c>
      <c r="W35" s="207">
        <f>W9+W12+W16+W20+W28+W30+W32+W14</f>
        <v>6455.4546320000009</v>
      </c>
      <c r="X35" s="207">
        <f>X9+X12+X16+X20+X28+X30+X32+X14</f>
        <v>60675.135368000003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243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245</v>
      </c>
      <c r="W45" s="4"/>
      <c r="X45" s="4"/>
    </row>
    <row r="46" spans="1:37" s="69" customFormat="1" x14ac:dyDescent="0.2">
      <c r="D46" s="51" t="s">
        <v>236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238</v>
      </c>
      <c r="W46" s="4"/>
      <c r="X46" s="4"/>
    </row>
    <row r="47" spans="1:37" s="69" customFormat="1" x14ac:dyDescent="0.2">
      <c r="D47" s="51" t="s">
        <v>98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99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5" t="s">
        <v>1</v>
      </c>
      <c r="I6" s="306"/>
      <c r="J6" s="307"/>
      <c r="K6" s="24" t="s">
        <v>26</v>
      </c>
      <c r="L6" s="25"/>
      <c r="M6" s="308" t="s">
        <v>9</v>
      </c>
      <c r="N6" s="309"/>
      <c r="O6" s="309"/>
      <c r="P6" s="309"/>
      <c r="Q6" s="309"/>
      <c r="R6" s="310"/>
      <c r="S6" s="24" t="s">
        <v>30</v>
      </c>
      <c r="T6" s="24" t="s">
        <v>10</v>
      </c>
      <c r="U6" s="23" t="s">
        <v>54</v>
      </c>
      <c r="V6" s="311" t="s">
        <v>2</v>
      </c>
      <c r="W6" s="312"/>
      <c r="X6" s="23" t="s">
        <v>0</v>
      </c>
      <c r="Y6" s="42"/>
    </row>
    <row r="7" spans="1:25" ht="33.7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140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101</v>
      </c>
      <c r="B10" s="116" t="s">
        <v>138</v>
      </c>
      <c r="C10" s="116" t="s">
        <v>147</v>
      </c>
      <c r="D10" s="121" t="s">
        <v>122</v>
      </c>
      <c r="E10" s="121" t="s">
        <v>85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103</v>
      </c>
      <c r="B11" s="116" t="s">
        <v>127</v>
      </c>
      <c r="C11" s="116" t="s">
        <v>147</v>
      </c>
      <c r="D11" s="121" t="s">
        <v>86</v>
      </c>
      <c r="E11" s="121" t="s">
        <v>91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104</v>
      </c>
      <c r="B12" s="116" t="s">
        <v>139</v>
      </c>
      <c r="C12" s="116" t="s">
        <v>147</v>
      </c>
      <c r="D12" s="121" t="s">
        <v>117</v>
      </c>
      <c r="E12" s="121" t="s">
        <v>91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291" t="s">
        <v>45</v>
      </c>
      <c r="B14" s="292"/>
      <c r="C14" s="292"/>
      <c r="D14" s="292"/>
      <c r="E14" s="292"/>
      <c r="F14" s="292"/>
      <c r="G14" s="293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247</v>
      </c>
      <c r="V21" t="s">
        <v>112</v>
      </c>
    </row>
    <row r="22" spans="4:37" x14ac:dyDescent="0.2">
      <c r="D22" s="78" t="s">
        <v>236</v>
      </c>
      <c r="H22" s="4"/>
      <c r="V22" s="78" t="s">
        <v>248</v>
      </c>
    </row>
    <row r="23" spans="4:37" x14ac:dyDescent="0.2">
      <c r="D23" s="51" t="s">
        <v>246</v>
      </c>
      <c r="E23" s="51"/>
      <c r="F23" s="51"/>
      <c r="G23" s="51"/>
      <c r="H23" s="51"/>
      <c r="I23" s="51"/>
      <c r="V23" s="51" t="s">
        <v>249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294" t="s">
        <v>94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5" ht="18" x14ac:dyDescent="0.25">
      <c r="A2" s="294" t="s">
        <v>66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</row>
    <row r="3" spans="1:25" ht="15" x14ac:dyDescent="0.2">
      <c r="A3" s="295" t="s">
        <v>376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05" t="s">
        <v>1</v>
      </c>
      <c r="I6" s="307"/>
      <c r="J6" s="24" t="s">
        <v>26</v>
      </c>
      <c r="K6" s="25"/>
      <c r="L6" s="308" t="s">
        <v>9</v>
      </c>
      <c r="M6" s="309"/>
      <c r="N6" s="309"/>
      <c r="O6" s="309"/>
      <c r="P6" s="309"/>
      <c r="Q6" s="310"/>
      <c r="R6" s="24" t="s">
        <v>30</v>
      </c>
      <c r="S6" s="24" t="s">
        <v>10</v>
      </c>
      <c r="T6" s="23" t="s">
        <v>54</v>
      </c>
      <c r="U6" s="311" t="s">
        <v>2</v>
      </c>
      <c r="V6" s="312"/>
      <c r="W6" s="23" t="s">
        <v>0</v>
      </c>
      <c r="X6" s="42"/>
    </row>
    <row r="7" spans="1:25" ht="33.75" customHeight="1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101</v>
      </c>
      <c r="B10" s="139" t="s">
        <v>274</v>
      </c>
      <c r="C10" s="116" t="s">
        <v>147</v>
      </c>
      <c r="D10" s="121" t="s">
        <v>226</v>
      </c>
      <c r="E10" s="121" t="s">
        <v>88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102</v>
      </c>
      <c r="B11" s="139" t="s">
        <v>275</v>
      </c>
      <c r="C11" s="116" t="s">
        <v>147</v>
      </c>
      <c r="D11" s="121" t="s">
        <v>221</v>
      </c>
      <c r="E11" s="121" t="s">
        <v>88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103</v>
      </c>
      <c r="B12" s="139" t="s">
        <v>276</v>
      </c>
      <c r="C12" s="116" t="s">
        <v>147</v>
      </c>
      <c r="D12" s="121" t="s">
        <v>225</v>
      </c>
      <c r="E12" s="121" t="s">
        <v>88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104</v>
      </c>
      <c r="B13" s="139" t="s">
        <v>277</v>
      </c>
      <c r="C13" s="116" t="s">
        <v>147</v>
      </c>
      <c r="D13" s="121" t="s">
        <v>222</v>
      </c>
      <c r="E13" s="121" t="s">
        <v>88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105</v>
      </c>
      <c r="B14" s="139" t="s">
        <v>298</v>
      </c>
      <c r="C14" s="116" t="s">
        <v>147</v>
      </c>
      <c r="D14" s="121" t="s">
        <v>228</v>
      </c>
      <c r="E14" s="121" t="s">
        <v>88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5.25" customHeight="1" x14ac:dyDescent="0.2">
      <c r="A15" s="59" t="s">
        <v>106</v>
      </c>
      <c r="B15" s="139" t="s">
        <v>278</v>
      </c>
      <c r="C15" s="116" t="s">
        <v>147</v>
      </c>
      <c r="D15" s="121" t="s">
        <v>223</v>
      </c>
      <c r="E15" s="121" t="s">
        <v>88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107</v>
      </c>
      <c r="B16" s="139" t="s">
        <v>279</v>
      </c>
      <c r="C16" s="116" t="s">
        <v>147</v>
      </c>
      <c r="D16" s="121" t="s">
        <v>224</v>
      </c>
      <c r="E16" s="121" t="s">
        <v>88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108</v>
      </c>
      <c r="B17" s="139" t="s">
        <v>280</v>
      </c>
      <c r="C17" s="116" t="s">
        <v>147</v>
      </c>
      <c r="D17" s="121" t="s">
        <v>227</v>
      </c>
      <c r="E17" s="121" t="s">
        <v>88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5.25" customHeight="1" x14ac:dyDescent="0.2">
      <c r="A18" s="59" t="s">
        <v>109</v>
      </c>
      <c r="B18" s="139" t="s">
        <v>281</v>
      </c>
      <c r="C18" s="116" t="s">
        <v>147</v>
      </c>
      <c r="D18" s="121" t="s">
        <v>229</v>
      </c>
      <c r="E18" s="121" t="s">
        <v>88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291" t="s">
        <v>45</v>
      </c>
      <c r="B20" s="292"/>
      <c r="C20" s="292"/>
      <c r="D20" s="292"/>
      <c r="E20" s="292"/>
      <c r="F20" s="292"/>
      <c r="G20" s="293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13.5" thickTop="1" x14ac:dyDescent="0.2"/>
    <row r="23" spans="1:37" x14ac:dyDescent="0.2">
      <c r="X23" s="58"/>
    </row>
    <row r="25" spans="1:37" x14ac:dyDescent="0.2">
      <c r="D25" s="4" t="s">
        <v>251</v>
      </c>
    </row>
    <row r="26" spans="1:37" x14ac:dyDescent="0.2">
      <c r="D26" s="78" t="s">
        <v>236</v>
      </c>
      <c r="H26" s="4"/>
    </row>
    <row r="27" spans="1:37" x14ac:dyDescent="0.2">
      <c r="D27" s="51" t="s">
        <v>250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2020-05-14T19:56:17Z</cp:lastPrinted>
  <dcterms:created xsi:type="dcterms:W3CDTF">2000-05-05T04:08:27Z</dcterms:created>
  <dcterms:modified xsi:type="dcterms:W3CDTF">2023-09-13T19:20:42Z</dcterms:modified>
</cp:coreProperties>
</file>