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F5C57E0F-2618-4501-BC8B-26A37988049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SINDICO!$1:$27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20" l="1"/>
  <c r="L25" i="120" s="1"/>
  <c r="J25" i="120"/>
  <c r="K14" i="120"/>
  <c r="L14" i="120" s="1"/>
  <c r="J14" i="120"/>
  <c r="K11" i="120"/>
  <c r="L11" i="120" s="1"/>
  <c r="J11" i="120"/>
  <c r="Q25" i="120" l="1"/>
  <c r="M25" i="120"/>
  <c r="N25" i="120" s="1"/>
  <c r="S25" i="120"/>
  <c r="O25" i="120"/>
  <c r="O14" i="120"/>
  <c r="S14" i="120"/>
  <c r="Q14" i="120"/>
  <c r="M14" i="120"/>
  <c r="N14" i="120" s="1"/>
  <c r="P14" i="120" s="1"/>
  <c r="R14" i="120" s="1"/>
  <c r="T14" i="120" s="1"/>
  <c r="Q11" i="120"/>
  <c r="M11" i="120"/>
  <c r="N11" i="120" s="1"/>
  <c r="S11" i="120"/>
  <c r="O11" i="120"/>
  <c r="P25" i="120" l="1"/>
  <c r="R25" i="120" s="1"/>
  <c r="T25" i="120" s="1"/>
  <c r="V25" i="120" s="1"/>
  <c r="W25" i="120" s="1"/>
  <c r="U25" i="120"/>
  <c r="V14" i="120"/>
  <c r="W14" i="120" s="1"/>
  <c r="U14" i="120"/>
  <c r="P11" i="120"/>
  <c r="R11" i="120" s="1"/>
  <c r="T11" i="120" s="1"/>
  <c r="X25" i="120" l="1"/>
  <c r="X14" i="120"/>
  <c r="V11" i="120"/>
  <c r="W11" i="120" s="1"/>
  <c r="U11" i="120"/>
  <c r="X11" i="120" l="1"/>
  <c r="K13" i="121" l="1"/>
  <c r="L13" i="121" s="1"/>
  <c r="J13" i="121"/>
  <c r="K15" i="123"/>
  <c r="L15" i="123" s="1"/>
  <c r="J15" i="123"/>
  <c r="K17" i="121"/>
  <c r="L17" i="121" s="1"/>
  <c r="J17" i="121"/>
  <c r="I21" i="123"/>
  <c r="H21" i="123"/>
  <c r="K22" i="123"/>
  <c r="L22" i="123" s="1"/>
  <c r="J22" i="123"/>
  <c r="J21" i="123" s="1"/>
  <c r="Q13" i="121" l="1"/>
  <c r="M13" i="121"/>
  <c r="N13" i="121" s="1"/>
  <c r="S13" i="121"/>
  <c r="O13" i="121"/>
  <c r="S15" i="123"/>
  <c r="O15" i="123"/>
  <c r="Q15" i="123"/>
  <c r="M15" i="123"/>
  <c r="N15" i="123" s="1"/>
  <c r="P15" i="123" s="1"/>
  <c r="Q17" i="121"/>
  <c r="M17" i="121"/>
  <c r="N17" i="121" s="1"/>
  <c r="S17" i="121"/>
  <c r="O17" i="121"/>
  <c r="S22" i="123"/>
  <c r="O22" i="123"/>
  <c r="Q22" i="123"/>
  <c r="M22" i="123"/>
  <c r="N22" i="123" s="1"/>
  <c r="P22" i="123" s="1"/>
  <c r="R22" i="123" s="1"/>
  <c r="T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4" i="132"/>
  <c r="L14" i="132" s="1"/>
  <c r="J14" i="132"/>
  <c r="K27" i="120"/>
  <c r="L27" i="120" s="1"/>
  <c r="J27" i="120"/>
  <c r="K13" i="132"/>
  <c r="L13" i="132" s="1"/>
  <c r="J13" i="132"/>
  <c r="K12" i="133"/>
  <c r="L12" i="133" s="1"/>
  <c r="J12" i="133"/>
  <c r="R15" i="123" l="1"/>
  <c r="T15" i="123" s="1"/>
  <c r="P13" i="121"/>
  <c r="R13" i="121" s="1"/>
  <c r="T13" i="121" s="1"/>
  <c r="V13" i="121" s="1"/>
  <c r="W13" i="121" s="1"/>
  <c r="W15" i="123"/>
  <c r="P17" i="121"/>
  <c r="R17" i="121" s="1"/>
  <c r="T17" i="121" s="1"/>
  <c r="U17" i="121" s="1"/>
  <c r="V22" i="123"/>
  <c r="U22" i="123"/>
  <c r="U21" i="123" s="1"/>
  <c r="S10" i="133"/>
  <c r="O10" i="133"/>
  <c r="Q10" i="133"/>
  <c r="M10" i="133"/>
  <c r="N10" i="133" s="1"/>
  <c r="Q21" i="135"/>
  <c r="M21" i="135"/>
  <c r="O21" i="135"/>
  <c r="K21" i="135"/>
  <c r="L21" i="135" s="1"/>
  <c r="S15" i="119"/>
  <c r="O15" i="119"/>
  <c r="Q15" i="119"/>
  <c r="M15" i="119"/>
  <c r="N15" i="119" s="1"/>
  <c r="S14" i="132"/>
  <c r="Q14" i="132"/>
  <c r="M14" i="132"/>
  <c r="N14" i="132" s="1"/>
  <c r="O14" i="132"/>
  <c r="Q27" i="120"/>
  <c r="M27" i="120"/>
  <c r="N27" i="120" s="1"/>
  <c r="S27" i="120"/>
  <c r="O27" i="120"/>
  <c r="S13" i="132"/>
  <c r="O13" i="132"/>
  <c r="Q13" i="132"/>
  <c r="M13" i="132"/>
  <c r="N13" i="132" s="1"/>
  <c r="S12" i="133"/>
  <c r="O12" i="133"/>
  <c r="Q12" i="133"/>
  <c r="M12" i="133"/>
  <c r="N12" i="133" s="1"/>
  <c r="P27" i="120" l="1"/>
  <c r="R27" i="120" s="1"/>
  <c r="T27" i="120" s="1"/>
  <c r="U27" i="120" s="1"/>
  <c r="P12" i="133"/>
  <c r="R12" i="133" s="1"/>
  <c r="T12" i="133" s="1"/>
  <c r="V12" i="133" s="1"/>
  <c r="W12" i="133" s="1"/>
  <c r="P15" i="119"/>
  <c r="R15" i="119" s="1"/>
  <c r="T15" i="119" s="1"/>
  <c r="V15" i="119" s="1"/>
  <c r="W15" i="119" s="1"/>
  <c r="P13" i="132"/>
  <c r="R13" i="132"/>
  <c r="T13" i="132" s="1"/>
  <c r="V13" i="132" s="1"/>
  <c r="W13" i="132" s="1"/>
  <c r="U13" i="121"/>
  <c r="X13" i="121" s="1"/>
  <c r="N21" i="135"/>
  <c r="P21" i="135" s="1"/>
  <c r="R21" i="135" s="1"/>
  <c r="T21" i="135" s="1"/>
  <c r="U21" i="135" s="1"/>
  <c r="X15" i="123"/>
  <c r="V17" i="121"/>
  <c r="W17" i="121" s="1"/>
  <c r="X17" i="121" s="1"/>
  <c r="W22" i="123"/>
  <c r="W21" i="123" s="1"/>
  <c r="V21" i="123"/>
  <c r="P10" i="133"/>
  <c r="R10" i="133" s="1"/>
  <c r="T10" i="133" s="1"/>
  <c r="V10" i="133" s="1"/>
  <c r="P14" i="132"/>
  <c r="R14" i="132" s="1"/>
  <c r="T14" i="132" s="1"/>
  <c r="V14" i="132" s="1"/>
  <c r="W14" i="132" s="1"/>
  <c r="U12" i="133" l="1"/>
  <c r="U15" i="119"/>
  <c r="X15" i="119" s="1"/>
  <c r="X12" i="133"/>
  <c r="X22" i="123"/>
  <c r="X21" i="123" s="1"/>
  <c r="U13" i="132"/>
  <c r="X13" i="132" s="1"/>
  <c r="V27" i="120"/>
  <c r="W27" i="120" s="1"/>
  <c r="X27" i="120" s="1"/>
  <c r="S21" i="135"/>
  <c r="V21" i="135" s="1"/>
  <c r="U10" i="133"/>
  <c r="W10" i="133"/>
  <c r="U14" i="132"/>
  <c r="X14" i="132" s="1"/>
  <c r="X10" i="133" l="1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8" i="120" l="1"/>
  <c r="L28" i="120" s="1"/>
  <c r="J28" i="120"/>
  <c r="K10" i="123"/>
  <c r="L10" i="123" s="1"/>
  <c r="J10" i="123"/>
  <c r="K32" i="123"/>
  <c r="L32" i="123" s="1"/>
  <c r="J32" i="123"/>
  <c r="H31" i="123"/>
  <c r="S28" i="120" l="1"/>
  <c r="O28" i="120"/>
  <c r="Q28" i="120"/>
  <c r="M28" i="120"/>
  <c r="N28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8" i="120" l="1"/>
  <c r="R28" i="120" s="1"/>
  <c r="T28" i="120" s="1"/>
  <c r="U28" i="120" s="1"/>
  <c r="P32" i="123"/>
  <c r="R32" i="123" s="1"/>
  <c r="T32" i="123" s="1"/>
  <c r="U32" i="123" s="1"/>
  <c r="P10" i="123"/>
  <c r="R10" i="123" s="1"/>
  <c r="T10" i="123" s="1"/>
  <c r="V10" i="123" s="1"/>
  <c r="W10" i="123" s="1"/>
  <c r="V28" i="120" l="1"/>
  <c r="W28" i="120" s="1"/>
  <c r="X28" i="120" s="1"/>
  <c r="V32" i="123"/>
  <c r="V31" i="123" s="1"/>
  <c r="U10" i="123"/>
  <c r="X10" i="123" s="1"/>
  <c r="U31" i="123"/>
  <c r="W32" i="123" l="1"/>
  <c r="X32" i="123" s="1"/>
  <c r="X31" i="123" s="1"/>
  <c r="W31" i="123"/>
  <c r="I20" i="135" l="1"/>
  <c r="J20" i="135" s="1"/>
  <c r="Q20" i="135" s="1"/>
  <c r="H20" i="135"/>
  <c r="I13" i="135"/>
  <c r="J13" i="135" s="1"/>
  <c r="H13" i="135"/>
  <c r="I11" i="135"/>
  <c r="J11" i="135" s="1"/>
  <c r="Q11" i="135" s="1"/>
  <c r="H11" i="135"/>
  <c r="K29" i="120"/>
  <c r="L29" i="120" s="1"/>
  <c r="J29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9" i="120"/>
  <c r="O29" i="120"/>
  <c r="Q29" i="120"/>
  <c r="M29" i="120"/>
  <c r="N29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9" i="120"/>
  <c r="R29" i="120" s="1"/>
  <c r="T29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S20" i="135"/>
  <c r="V20" i="135" s="1"/>
  <c r="T13" i="135"/>
  <c r="U13" i="135" s="1"/>
  <c r="V13" i="135" s="1"/>
  <c r="T11" i="135"/>
  <c r="U11" i="135" s="1"/>
  <c r="S11" i="135"/>
  <c r="U29" i="120"/>
  <c r="V29" i="120"/>
  <c r="W29" i="120" s="1"/>
  <c r="P11" i="133"/>
  <c r="R11" i="133" s="1"/>
  <c r="T11" i="133" s="1"/>
  <c r="V11" i="132"/>
  <c r="W11" i="132" s="1"/>
  <c r="U11" i="132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V11" i="135" l="1"/>
  <c r="X11" i="132"/>
  <c r="X29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W11" i="133" l="1"/>
  <c r="X11" i="133"/>
  <c r="T18" i="135"/>
  <c r="U18" i="135" s="1"/>
  <c r="V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J14" i="134" s="1"/>
  <c r="P12" i="132" l="1"/>
  <c r="R12" i="132" s="1"/>
  <c r="T12" i="132" s="1"/>
  <c r="V12" i="132" s="1"/>
  <c r="W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P10" i="119"/>
  <c r="R10" i="119" s="1"/>
  <c r="T10" i="119" s="1"/>
  <c r="P9" i="119"/>
  <c r="R9" i="119" s="1"/>
  <c r="T9" i="119" s="1"/>
  <c r="V9" i="119" s="1"/>
  <c r="W9" i="119" s="1"/>
  <c r="T13" i="131" l="1"/>
  <c r="U13" i="131"/>
  <c r="V13" i="131" s="1"/>
  <c r="W13" i="131" s="1"/>
  <c r="V10" i="119"/>
  <c r="W10" i="119" s="1"/>
  <c r="U10" i="119"/>
  <c r="U9" i="119"/>
  <c r="X9" i="119" s="1"/>
  <c r="X10" i="119" l="1"/>
  <c r="K26" i="120"/>
  <c r="L26" i="120" s="1"/>
  <c r="J26" i="120"/>
  <c r="Q26" i="120" l="1"/>
  <c r="S26" i="120"/>
  <c r="O26" i="120"/>
  <c r="M26" i="120"/>
  <c r="N26" i="120" s="1"/>
  <c r="P26" i="120" l="1"/>
  <c r="R26" i="120" s="1"/>
  <c r="T26" i="120" s="1"/>
  <c r="U26" i="120" s="1"/>
  <c r="V26" i="120" l="1"/>
  <c r="W26" i="120" s="1"/>
  <c r="X26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4" i="121"/>
  <c r="L14" i="121" s="1"/>
  <c r="M14" i="121" s="1"/>
  <c r="K10" i="121"/>
  <c r="L10" i="121" s="1"/>
  <c r="K30" i="120"/>
  <c r="L30" i="120" s="1"/>
  <c r="M30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2" i="121"/>
  <c r="O12" i="121"/>
  <c r="Q11" i="121"/>
  <c r="M11" i="121"/>
  <c r="N11" i="121" s="1"/>
  <c r="P11" i="121" s="1"/>
  <c r="N14" i="121"/>
  <c r="N12" i="121"/>
  <c r="Q14" i="121"/>
  <c r="Q12" i="121"/>
  <c r="S11" i="121"/>
  <c r="Q10" i="121"/>
  <c r="M10" i="121"/>
  <c r="N10" i="121" s="1"/>
  <c r="S10" i="121"/>
  <c r="O10" i="121"/>
  <c r="S30" i="120"/>
  <c r="O30" i="120"/>
  <c r="N30" i="120"/>
  <c r="Q30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30" i="120"/>
  <c r="R30" i="120" s="1"/>
  <c r="T30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M14" i="131" s="1"/>
  <c r="R14" i="131"/>
  <c r="P14" i="131"/>
  <c r="N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33" l="1"/>
  <c r="G15" i="133"/>
  <c r="V15" i="133" l="1"/>
  <c r="W15" i="133" s="1"/>
  <c r="U15" i="133" l="1"/>
  <c r="X15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31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30" i="120"/>
  <c r="G30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31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2" i="135"/>
  <c r="U19" i="123"/>
  <c r="V19" i="123"/>
  <c r="W19" i="123" s="1"/>
  <c r="V28" i="121"/>
  <c r="U28" i="121"/>
  <c r="U30" i="120"/>
  <c r="V30" i="120"/>
  <c r="W30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31" i="120"/>
  <c r="O36" i="123"/>
  <c r="S22" i="119"/>
  <c r="S36" i="123"/>
  <c r="Q31" i="121"/>
  <c r="M31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30" i="120"/>
  <c r="X19" i="123"/>
  <c r="X11" i="121"/>
  <c r="X18" i="121"/>
  <c r="X10" i="121"/>
  <c r="W16" i="131"/>
  <c r="W10" i="131"/>
  <c r="X15" i="120"/>
  <c r="W11" i="131"/>
  <c r="X29" i="121"/>
  <c r="X30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2" i="135"/>
  <c r="U13" i="123"/>
  <c r="U36" i="123" s="1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X14" i="133" l="1"/>
  <c r="X16" i="133" s="1"/>
  <c r="W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31" i="120"/>
  <c r="G9" i="120"/>
  <c r="S31" i="120" l="1"/>
  <c r="O31" i="120"/>
  <c r="L31" i="120"/>
  <c r="N31" i="120"/>
  <c r="J31" i="120"/>
  <c r="P31" i="120" l="1"/>
  <c r="R31" i="120" l="1"/>
  <c r="T31" i="120" l="1"/>
  <c r="U31" i="120" l="1"/>
  <c r="W31" i="120"/>
  <c r="V31" i="120" l="1"/>
  <c r="X31" i="120"/>
</calcChain>
</file>

<file path=xl/sharedStrings.xml><?xml version="1.0" encoding="utf-8"?>
<sst xmlns="http://schemas.openxmlformats.org/spreadsheetml/2006/main" count="1126" uniqueCount="327">
  <si>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</si>
  <si>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</si>
  <si>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</si>
  <si>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</si>
  <si>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</si>
  <si>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</si>
  <si>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</si>
  <si>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</si>
  <si>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</si>
  <si>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</si>
  <si>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</si>
  <si>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</si>
  <si>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</si>
  <si>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</si>
  <si>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</si>
  <si>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</si>
  <si>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</si>
  <si>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</si>
  <si>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</si>
  <si>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</si>
  <si>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</si>
  <si>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</si>
  <si>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</si>
  <si>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</si>
  <si>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</si>
  <si>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</si>
  <si>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</si>
  <si>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</si>
  <si>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</si>
  <si>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</si>
  <si>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</si>
  <si>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</si>
  <si>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</si>
  <si>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</si>
  <si>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</si>
  <si>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</si>
  <si>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</si>
  <si>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</si>
  <si>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</si>
  <si>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</si>
  <si>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</si>
  <si>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</si>
  <si>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</si>
  <si>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</si>
  <si>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</si>
  <si>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</si>
  <si>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</si>
  <si>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</si>
  <si>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</si>
  <si>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</si>
  <si>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</si>
  <si>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</si>
  <si>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</si>
  <si>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</si>
  <si>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</si>
  <si>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</si>
  <si>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</si>
  <si>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</si>
  <si>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</si>
  <si>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</si>
  <si>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</si>
  <si>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</si>
  <si>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</si>
  <si>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</si>
  <si>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</si>
  <si>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</si>
  <si>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</si>
  <si>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</si>
  <si>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</si>
  <si>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</si>
  <si>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</si>
  <si>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</si>
  <si>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</si>
  <si>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</si>
  <si>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</si>
  <si>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</si>
  <si>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</si>
  <si>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</si>
  <si>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</si>
  <si>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</si>
  <si>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</si>
  <si>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</si>
  <si>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</si>
  <si>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</si>
  <si>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</si>
  <si>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</si>
  <si>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</si>
  <si>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</si>
  <si>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</si>
  <si>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</si>
  <si>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</si>
  <si>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</si>
  <si>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</si>
  <si>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</si>
  <si>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</si>
  <si>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</si>
  <si>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</si>
  <si>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</si>
  <si>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</si>
  <si>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</si>
  <si>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</si>
  <si>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</si>
  <si>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</si>
  <si>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</si>
  <si>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</si>
  <si>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</si>
  <si>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</si>
  <si>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</si>
  <si>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</si>
  <si>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</si>
  <si>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</si>
  <si>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</si>
  <si>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</si>
  <si>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</si>
  <si>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</si>
  <si>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</si>
  <si>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</si>
  <si>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</si>
  <si>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</si>
  <si>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</si>
  <si>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</si>
  <si>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</si>
  <si>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</si>
  <si>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</si>
  <si>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</si>
  <si>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</si>
  <si>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</si>
  <si>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</si>
  <si>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</si>
  <si>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</si>
  <si>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</si>
  <si>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</si>
  <si>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</si>
  <si>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</si>
  <si>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</si>
  <si>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</si>
  <si>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</si>
  <si>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</si>
  <si>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</si>
  <si>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</si>
  <si>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</si>
  <si>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</si>
  <si>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</si>
  <si>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</si>
  <si>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</si>
  <si>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</si>
  <si>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</si>
  <si>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</si>
  <si>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</si>
  <si>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</si>
  <si>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</si>
  <si>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</si>
  <si>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</si>
  <si>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</si>
  <si>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</si>
  <si>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</si>
  <si>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</si>
  <si>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</si>
  <si>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</si>
  <si>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</si>
  <si>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</si>
  <si>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</si>
  <si>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</si>
  <si>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</si>
  <si>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</si>
  <si>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</si>
  <si>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</si>
  <si>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</si>
  <si>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</si>
  <si>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</si>
  <si>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</si>
  <si>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</si>
  <si>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</si>
  <si>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</si>
  <si>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</si>
  <si>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</si>
  <si>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</si>
  <si>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</si>
  <si>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</si>
  <si>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</si>
  <si>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</si>
  <si>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</si>
  <si>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</si>
  <si>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</si>
  <si>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</si>
  <si>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</si>
  <si>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</si>
  <si>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</si>
  <si>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</si>
  <si>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</si>
  <si>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</si>
  <si>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</si>
  <si>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</si>
  <si>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</si>
  <si>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</si>
  <si>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</si>
  <si>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</si>
  <si>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</si>
  <si>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</si>
  <si>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</si>
  <si>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</si>
  <si>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</si>
  <si>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</si>
  <si>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</si>
  <si>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</si>
  <si>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</si>
  <si>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</si>
  <si>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</si>
  <si>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</si>
  <si>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</si>
  <si>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</si>
  <si>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</si>
  <si>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</si>
  <si>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</si>
  <si>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</si>
  <si>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</si>
  <si>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</si>
  <si>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</si>
  <si>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</si>
  <si>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</si>
  <si>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</si>
  <si>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</si>
  <si>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</si>
  <si>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</si>
  <si>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</si>
  <si>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</si>
  <si>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</si>
  <si>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</si>
  <si>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</si>
  <si>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</si>
  <si>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</si>
  <si>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</si>
  <si>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</si>
  <si>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</si>
  <si>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</si>
  <si>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</si>
  <si>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</si>
  <si>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</si>
  <si>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</si>
  <si>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</si>
  <si>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</si>
  <si>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</si>
  <si>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</si>
  <si>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</si>
  <si>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</si>
  <si>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</si>
  <si>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</si>
  <si>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</si>
  <si>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</si>
  <si>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</si>
  <si>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</si>
  <si>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</si>
  <si>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</si>
  <si>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</si>
  <si>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</si>
  <si>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</si>
  <si>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</si>
  <si>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</si>
  <si>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</si>
  <si>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</si>
  <si>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</si>
  <si>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</si>
  <si>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</si>
  <si>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</si>
  <si>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</si>
  <si>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</si>
  <si>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</si>
  <si>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</si>
  <si>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</si>
  <si>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</si>
  <si>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</si>
  <si>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</si>
  <si>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</si>
  <si>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</si>
  <si>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</si>
  <si>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</si>
  <si>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</si>
  <si>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</si>
  <si>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</si>
  <si>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</si>
  <si>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</si>
  <si>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</si>
  <si>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</si>
  <si>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</si>
  <si>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</si>
  <si>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</si>
  <si>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</si>
  <si>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</si>
  <si>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</si>
  <si>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</si>
  <si>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</si>
  <si>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</si>
  <si>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</si>
  <si>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</si>
  <si>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</si>
  <si>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</si>
  <si>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</si>
  <si>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</si>
  <si>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</si>
  <si>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</si>
  <si>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</si>
  <si>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</si>
  <si>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</si>
  <si>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</si>
  <si>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</si>
  <si>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</si>
  <si>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</si>
  <si>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</si>
  <si>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</si>
  <si>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</si>
  <si>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</si>
  <si>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</si>
  <si>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</si>
  <si>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</si>
  <si>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</si>
  <si>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</si>
  <si>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</si>
  <si>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</si>
  <si>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</si>
  <si>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</si>
  <si>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LICENCIA SIN GOCE DE SUELDO</t>
  </si>
  <si>
    <t>304</t>
  </si>
  <si>
    <t>SUPERVISOR BODEGA MUNICIPAL</t>
  </si>
  <si>
    <t>GERARDO AVILA SILVA</t>
  </si>
  <si>
    <t>SUELDO  DEL 01 AL 15 DE NOVIEMBRE DE 2022</t>
  </si>
  <si>
    <t>305</t>
  </si>
  <si>
    <t>RAFAEL NUÑEZ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</si>
</sst>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20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221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219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11</v>
      </c>
      <c r="C7" s="257"/>
      <c r="D7" s="257"/>
      <c r="E7" s="7"/>
      <c r="F7" s="258" t="s">
        <v>50</v>
      </c>
      <c r="G7" s="259"/>
      <c r="I7" s="122" t="s">
        <v>222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1">
        <v>89.62</v>
      </c>
    </row>
    <row r="9" spans="1:9" ht="8.25" customHeight="1" x14ac:dyDescent="0.2">
      <c r="B9" s="254"/>
      <c r="C9" s="254"/>
      <c r="D9" s="254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5"/>
      <c r="G34" s="256"/>
    </row>
    <row r="35" spans="2:7" x14ac:dyDescent="0.2">
      <c r="B35" s="257" t="s">
        <v>11</v>
      </c>
      <c r="C35" s="257"/>
      <c r="D35" s="257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4"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7" t="s">
        <v>1</v>
      </c>
      <c r="H7" s="278"/>
      <c r="I7" s="279"/>
      <c r="J7" s="24" t="s">
        <v>26</v>
      </c>
      <c r="K7" s="25"/>
      <c r="L7" s="280" t="s">
        <v>9</v>
      </c>
      <c r="M7" s="281"/>
      <c r="N7" s="281"/>
      <c r="O7" s="281"/>
      <c r="P7" s="281"/>
      <c r="Q7" s="282"/>
      <c r="R7" s="24" t="s">
        <v>30</v>
      </c>
      <c r="S7" s="24" t="s">
        <v>10</v>
      </c>
      <c r="T7" s="23" t="s">
        <v>54</v>
      </c>
      <c r="U7" s="283" t="s">
        <v>2</v>
      </c>
      <c r="V7" s="284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229</v>
      </c>
      <c r="B11" s="177" t="s">
        <v>117</v>
      </c>
      <c r="C11" s="179" t="s">
        <v>230</v>
      </c>
      <c r="D11" s="179" t="s">
        <v>284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4"/>
      <c r="B13" s="264"/>
      <c r="C13" s="264"/>
      <c r="D13" s="264"/>
      <c r="E13" s="264"/>
      <c r="F13" s="265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1" zoomScale="77" zoomScaleNormal="77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285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258</v>
      </c>
      <c r="C12" s="177" t="s">
        <v>117</v>
      </c>
      <c r="D12" s="189" t="s">
        <v>259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255</v>
      </c>
      <c r="E13" s="178" t="s">
        <v>120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312</v>
      </c>
      <c r="E14" s="178" t="s">
        <v>120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6" zoomScale="80" zoomScaleNormal="80" workbookViewId="0">
      <selection activeCell="U16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4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4"/>
    </row>
    <row r="3" spans="1:25" ht="19.5" x14ac:dyDescent="0.25">
      <c r="A3" s="42" t="s">
        <v>197</v>
      </c>
      <c r="B3" s="267" t="s">
        <v>324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7" t="s">
        <v>1</v>
      </c>
      <c r="G5" s="278"/>
      <c r="H5" s="279"/>
      <c r="I5" s="24" t="s">
        <v>26</v>
      </c>
      <c r="J5" s="25"/>
      <c r="K5" s="280" t="s">
        <v>9</v>
      </c>
      <c r="L5" s="281"/>
      <c r="M5" s="281"/>
      <c r="N5" s="281"/>
      <c r="O5" s="281"/>
      <c r="P5" s="282"/>
      <c r="Q5" s="24" t="s">
        <v>30</v>
      </c>
      <c r="R5" s="24" t="s">
        <v>10</v>
      </c>
      <c r="S5" s="23" t="s">
        <v>54</v>
      </c>
      <c r="T5" s="283" t="s">
        <v>2</v>
      </c>
      <c r="U5" s="284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196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192</v>
      </c>
      <c r="C12" s="177" t="s">
        <v>117</v>
      </c>
      <c r="D12" s="179" t="s">
        <v>291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236</v>
      </c>
      <c r="C13" s="177" t="s">
        <v>117</v>
      </c>
      <c r="D13" s="179" t="s">
        <v>291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205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209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224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0" si="66">IF(F17/15&lt;=SMG,0,G17/2)</f>
        <v>0</v>
      </c>
      <c r="J17" s="185">
        <f t="shared" ref="J17" si="67">F17+I17</f>
        <v>7401</v>
      </c>
      <c r="K17" s="185">
        <f t="shared" ref="K17:K20" si="68">VLOOKUP(J17,Tarifa1,1)</f>
        <v>6602.71</v>
      </c>
      <c r="L17" s="185">
        <f t="shared" ref="L17" si="69">J17-K17</f>
        <v>798.29</v>
      </c>
      <c r="M17" s="186">
        <f t="shared" ref="M17:M20" si="70">VLOOKUP(J17,Tarifa1,3)</f>
        <v>0.21360000000000001</v>
      </c>
      <c r="N17" s="185">
        <f t="shared" ref="N17" si="71">L17*M17</f>
        <v>170.51474400000001</v>
      </c>
      <c r="O17" s="187">
        <f t="shared" ref="O17:O20" si="72">VLOOKUP(J17,Tarifa1,2)</f>
        <v>699.3</v>
      </c>
      <c r="P17" s="185">
        <f t="shared" ref="P17" si="73">N17+O17</f>
        <v>869.81474400000002</v>
      </c>
      <c r="Q17" s="185">
        <f t="shared" ref="Q17:Q20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287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0" si="78">SUM(F18:G18)</f>
        <v>7401</v>
      </c>
      <c r="I18" s="185">
        <f t="shared" si="66"/>
        <v>0</v>
      </c>
      <c r="J18" s="185">
        <f t="shared" ref="J18:J20" si="79">F18+I18</f>
        <v>7401</v>
      </c>
      <c r="K18" s="185">
        <f t="shared" si="68"/>
        <v>6602.71</v>
      </c>
      <c r="L18" s="185">
        <f t="shared" ref="L18:L20" si="80">J18-K18</f>
        <v>798.29</v>
      </c>
      <c r="M18" s="186">
        <f t="shared" si="70"/>
        <v>0.21360000000000001</v>
      </c>
      <c r="N18" s="185">
        <f t="shared" ref="N18:N20" si="81">L18*M18</f>
        <v>170.51474400000001</v>
      </c>
      <c r="O18" s="187">
        <f t="shared" si="72"/>
        <v>699.3</v>
      </c>
      <c r="P18" s="185">
        <f t="shared" ref="P18:P20" si="82">N18+O18</f>
        <v>869.81474400000002</v>
      </c>
      <c r="Q18" s="185">
        <f t="shared" si="74"/>
        <v>0</v>
      </c>
      <c r="R18" s="185">
        <f t="shared" ref="R18:R20" si="83">ROUND(P18-Q18,2)</f>
        <v>869.81</v>
      </c>
      <c r="S18" s="184">
        <f t="shared" ref="S18:S20" si="84">-IF(R18&gt;0,0,R18)</f>
        <v>0</v>
      </c>
      <c r="T18" s="184">
        <f t="shared" ref="T18:T20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288</v>
      </c>
      <c r="C19" s="177" t="s">
        <v>117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295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311</v>
      </c>
      <c r="C21" s="177" t="s">
        <v>117</v>
      </c>
      <c r="D21" s="178" t="s">
        <v>82</v>
      </c>
      <c r="E21" s="180"/>
      <c r="F21" s="182">
        <v>7401</v>
      </c>
      <c r="G21" s="183">
        <v>0</v>
      </c>
      <c r="H21" s="184">
        <f t="shared" ref="H21" si="86">SUM(F21:G21)</f>
        <v>7401</v>
      </c>
      <c r="I21" s="185">
        <f t="shared" ref="I21" si="87">IF(F21/15&lt;=SMG,0,G21/2)</f>
        <v>0</v>
      </c>
      <c r="J21" s="185">
        <f t="shared" ref="J21" si="88">F21+I21</f>
        <v>7401</v>
      </c>
      <c r="K21" s="185">
        <f t="shared" ref="K21" si="89">VLOOKUP(J21,Tarifa1,1)</f>
        <v>6602.71</v>
      </c>
      <c r="L21" s="185">
        <f t="shared" ref="L21" si="90">J21-K21</f>
        <v>798.29</v>
      </c>
      <c r="M21" s="186">
        <f t="shared" ref="M21" si="91">VLOOKUP(J21,Tarifa1,3)</f>
        <v>0.21360000000000001</v>
      </c>
      <c r="N21" s="185">
        <f t="shared" ref="N21" si="92">L21*M21</f>
        <v>170.51474400000001</v>
      </c>
      <c r="O21" s="187">
        <f t="shared" ref="O21" si="93">VLOOKUP(J21,Tarifa1,2)</f>
        <v>699.3</v>
      </c>
      <c r="P21" s="185">
        <f t="shared" ref="P21" si="94">N21+O21</f>
        <v>869.81474400000002</v>
      </c>
      <c r="Q21" s="185">
        <f t="shared" ref="Q21" si="95">VLOOKUP(J21,Credito1,2)</f>
        <v>0</v>
      </c>
      <c r="R21" s="185">
        <f t="shared" ref="R21" si="96">ROUND(P21-Q21,2)</f>
        <v>869.81</v>
      </c>
      <c r="S21" s="184">
        <f t="shared" ref="S21" si="97">-IF(R21&gt;0,0,R21)</f>
        <v>0</v>
      </c>
      <c r="T21" s="184">
        <f t="shared" ref="T21" si="98">IF(R21&lt;0,0,R21)</f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29.25" customHeight="1" thickBot="1" x14ac:dyDescent="0.3">
      <c r="A22" s="263" t="s">
        <v>45</v>
      </c>
      <c r="B22" s="264"/>
      <c r="C22" s="264"/>
      <c r="D22" s="264"/>
      <c r="E22" s="264"/>
      <c r="F22" s="191">
        <f>SUM(F9:F21)</f>
        <v>101094</v>
      </c>
      <c r="G22" s="191">
        <f>SUM(G9:G21)</f>
        <v>0</v>
      </c>
      <c r="H22" s="191">
        <f>SUM(H9:H21)</f>
        <v>101094</v>
      </c>
      <c r="I22" s="192">
        <f t="shared" ref="I22:R22" si="99">SUM(I9:I14)</f>
        <v>0</v>
      </c>
      <c r="J22" s="192">
        <f t="shared" si="99"/>
        <v>49287</v>
      </c>
      <c r="K22" s="192">
        <f t="shared" si="99"/>
        <v>39616.26</v>
      </c>
      <c r="L22" s="192">
        <f t="shared" si="99"/>
        <v>9670.7400000000016</v>
      </c>
      <c r="M22" s="192">
        <f t="shared" si="99"/>
        <v>1.2816000000000001</v>
      </c>
      <c r="N22" s="192">
        <f t="shared" si="99"/>
        <v>2065.6700639999999</v>
      </c>
      <c r="O22" s="192">
        <f t="shared" si="99"/>
        <v>4195.8</v>
      </c>
      <c r="P22" s="192">
        <f t="shared" si="99"/>
        <v>6261.4700640000001</v>
      </c>
      <c r="Q22" s="192">
        <f t="shared" si="99"/>
        <v>0</v>
      </c>
      <c r="R22" s="192">
        <f t="shared" si="99"/>
        <v>6261.4600000000009</v>
      </c>
      <c r="S22" s="191">
        <f>SUM(S9:S21)</f>
        <v>0</v>
      </c>
      <c r="T22" s="191">
        <f>SUM(T9:T21)</f>
        <v>12350.129999999997</v>
      </c>
      <c r="U22" s="191">
        <f>SUM(U9:U21)</f>
        <v>12350.129999999997</v>
      </c>
      <c r="V22" s="191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5"/>
  <sheetViews>
    <sheetView tabSelected="1" topLeftCell="B8" zoomScale="73" zoomScaleNormal="73" workbookViewId="0">
      <selection activeCell="W8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7" t="s">
        <v>1</v>
      </c>
      <c r="I6" s="298"/>
      <c r="J6" s="299"/>
      <c r="K6" s="70" t="s">
        <v>26</v>
      </c>
      <c r="L6" s="71"/>
      <c r="M6" s="300" t="s">
        <v>9</v>
      </c>
      <c r="N6" s="301"/>
      <c r="O6" s="301"/>
      <c r="P6" s="301"/>
      <c r="Q6" s="301"/>
      <c r="R6" s="302"/>
      <c r="S6" s="70" t="s">
        <v>30</v>
      </c>
      <c r="T6" s="70" t="s">
        <v>10</v>
      </c>
      <c r="U6" s="69" t="s">
        <v>54</v>
      </c>
      <c r="V6" s="303" t="s">
        <v>2</v>
      </c>
      <c r="W6" s="304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315</v>
      </c>
      <c r="C10" s="177" t="s">
        <v>117</v>
      </c>
      <c r="D10" s="233" t="s">
        <v>313</v>
      </c>
      <c r="E10" s="179" t="s">
        <v>314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2"/>
    </row>
    <row r="11" spans="1:25" s="94" customFormat="1" ht="80.099999999999994" customHeight="1" x14ac:dyDescent="0.25">
      <c r="A11" s="116"/>
      <c r="B11" s="177" t="s">
        <v>293</v>
      </c>
      <c r="C11" s="177" t="s">
        <v>117</v>
      </c>
      <c r="D11" s="233" t="s">
        <v>292</v>
      </c>
      <c r="E11" s="179" t="s">
        <v>294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302</v>
      </c>
      <c r="C12" s="177" t="s">
        <v>117</v>
      </c>
      <c r="D12" s="233" t="s">
        <v>310</v>
      </c>
      <c r="E12" s="179" t="s">
        <v>137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216</v>
      </c>
      <c r="C13" s="177" t="s">
        <v>117</v>
      </c>
      <c r="D13" s="117" t="s">
        <v>215</v>
      </c>
      <c r="E13" s="178" t="s">
        <v>137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141</v>
      </c>
      <c r="C14" s="177" t="s">
        <v>159</v>
      </c>
      <c r="D14" s="117" t="s">
        <v>136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142</v>
      </c>
      <c r="C15" s="177" t="s">
        <v>117</v>
      </c>
      <c r="D15" s="233" t="s">
        <v>135</v>
      </c>
      <c r="E15" s="179" t="s">
        <v>138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>SUM(H10:H15)</f>
        <v>36768.81</v>
      </c>
      <c r="I16" s="191">
        <f>SUM(I10:I15)</f>
        <v>0</v>
      </c>
      <c r="J16" s="191">
        <f t="shared" ref="J16:U16" si="46">SUM(J11:J15)</f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>SUM(V10:V15)</f>
        <v>3846.79</v>
      </c>
      <c r="W16" s="191">
        <f>SUM(W10:W15)</f>
        <v>3846.79</v>
      </c>
      <c r="X16" s="191">
        <f>SUM(X10:X15)</f>
        <v>32922.019999999997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25" spans="1:24" ht="14.25" x14ac:dyDescent="0.2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3"/>
  <sheetViews>
    <sheetView topLeftCell="D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8" t="s">
        <v>1</v>
      </c>
      <c r="I5" s="269"/>
      <c r="J5" s="270"/>
      <c r="K5" s="130" t="s">
        <v>26</v>
      </c>
      <c r="L5" s="131"/>
      <c r="M5" s="271" t="s">
        <v>9</v>
      </c>
      <c r="N5" s="272"/>
      <c r="O5" s="272"/>
      <c r="P5" s="272"/>
      <c r="Q5" s="272"/>
      <c r="R5" s="273"/>
      <c r="S5" s="130" t="s">
        <v>54</v>
      </c>
      <c r="T5" s="130" t="s">
        <v>10</v>
      </c>
      <c r="U5" s="129" t="s">
        <v>54</v>
      </c>
      <c r="V5" s="274" t="s">
        <v>2</v>
      </c>
      <c r="W5" s="275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232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225</v>
      </c>
      <c r="C9" s="177" t="s">
        <v>117</v>
      </c>
      <c r="D9" s="179" t="s">
        <v>226</v>
      </c>
      <c r="E9" s="178" t="s">
        <v>227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228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308</v>
      </c>
      <c r="C13" s="176" t="s">
        <v>117</v>
      </c>
      <c r="D13" s="178" t="s">
        <v>301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237</v>
      </c>
      <c r="C15" s="177" t="s">
        <v>117</v>
      </c>
      <c r="D15" s="179" t="s">
        <v>253</v>
      </c>
      <c r="E15" s="179" t="s">
        <v>306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278</v>
      </c>
      <c r="C18" s="195" t="s">
        <v>117</v>
      </c>
      <c r="D18" s="196" t="s">
        <v>279</v>
      </c>
      <c r="E18" s="199" t="s">
        <v>280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3" t="s">
        <v>45</v>
      </c>
      <c r="B22" s="264"/>
      <c r="C22" s="264"/>
      <c r="D22" s="264"/>
      <c r="E22" s="264"/>
      <c r="F22" s="264"/>
      <c r="G22" s="265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33" spans="10:10" x14ac:dyDescent="0.2">
      <c r="J33" s="4" t="s">
        <v>266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2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54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286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3" t="s">
        <v>45</v>
      </c>
      <c r="B12" s="264"/>
      <c r="C12" s="264"/>
      <c r="D12" s="264"/>
      <c r="E12" s="264"/>
      <c r="F12" s="264"/>
      <c r="G12" s="265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D10" zoomScale="89" zoomScaleNormal="89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223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281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282</v>
      </c>
      <c r="E10" s="179" t="s">
        <v>283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274</v>
      </c>
      <c r="C12" s="177" t="s">
        <v>117</v>
      </c>
      <c r="D12" s="179" t="s">
        <v>275</v>
      </c>
      <c r="E12" s="179" t="s">
        <v>277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253">
        <f>H9+H11</f>
        <v>16835.080000000002</v>
      </c>
      <c r="I14" s="253">
        <f>I9+I11</f>
        <v>0</v>
      </c>
      <c r="J14" s="253">
        <f>J9+J11</f>
        <v>16835.080000000002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253">
        <f>U9+U11</f>
        <v>0</v>
      </c>
      <c r="V14" s="253">
        <f>V9+V11</f>
        <v>2173.9</v>
      </c>
      <c r="W14" s="253">
        <f>W9+W11</f>
        <v>2173.9</v>
      </c>
      <c r="X14" s="253">
        <f>X9+X11</f>
        <v>14661.18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7"/>
  <sheetViews>
    <sheetView topLeftCell="B30" zoomScale="66" zoomScaleNormal="66" workbookViewId="0">
      <selection activeCell="W3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118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7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212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6" si="2">IF(H9/15&lt;=SMG,0,I9/2)</f>
        <v>0</v>
      </c>
      <c r="L9" s="185">
        <f>H9+K9</f>
        <v>10008.5</v>
      </c>
      <c r="M9" s="185">
        <f t="shared" ref="M9:M16" si="3">VLOOKUP(L9,Tarifa1,1)</f>
        <v>6602.71</v>
      </c>
      <c r="N9" s="185">
        <f>L9-M9</f>
        <v>3405.79</v>
      </c>
      <c r="O9" s="186">
        <f t="shared" ref="O9:O16" si="4">VLOOKUP(L9,Tarifa1,3)</f>
        <v>0.21360000000000001</v>
      </c>
      <c r="P9" s="185">
        <f>N9*O9</f>
        <v>727.47674400000005</v>
      </c>
      <c r="Q9" s="187">
        <f t="shared" ref="Q9:Q16" si="5">VLOOKUP(L9,Tarifa1,2)</f>
        <v>699.3</v>
      </c>
      <c r="R9" s="185">
        <f>P9+Q9</f>
        <v>1426.776744</v>
      </c>
      <c r="S9" s="188">
        <f t="shared" ref="S9:S16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49.25" customHeight="1" x14ac:dyDescent="0.25">
      <c r="A10" s="116"/>
      <c r="B10" s="177" t="s">
        <v>213</v>
      </c>
      <c r="C10" s="177" t="s">
        <v>117</v>
      </c>
      <c r="D10" s="179" t="s">
        <v>214</v>
      </c>
      <c r="E10" s="179" t="s">
        <v>289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49.25" customHeight="1" x14ac:dyDescent="0.25">
      <c r="A11" s="116"/>
      <c r="B11" s="177" t="s">
        <v>321</v>
      </c>
      <c r="C11" s="177" t="s">
        <v>117</v>
      </c>
      <c r="D11" s="179" t="s">
        <v>323</v>
      </c>
      <c r="E11" s="179" t="s">
        <v>322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49.25" customHeight="1" x14ac:dyDescent="0.25">
      <c r="A12" s="116"/>
      <c r="B12" s="177" t="s">
        <v>203</v>
      </c>
      <c r="C12" s="177" t="s">
        <v>159</v>
      </c>
      <c r="D12" s="189" t="s">
        <v>202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" si="15">H12+K12</f>
        <v>6071</v>
      </c>
      <c r="M12" s="185">
        <f t="shared" ref="M12" si="16">VLOOKUP(L12,Tarifa1,1)</f>
        <v>5514.76</v>
      </c>
      <c r="N12" s="185">
        <f t="shared" ref="N12" si="17">L12-M12</f>
        <v>556.23999999999978</v>
      </c>
      <c r="O12" s="186">
        <f t="shared" ref="O12" si="18">VLOOKUP(L12,Tarifa1,3)</f>
        <v>0.1792</v>
      </c>
      <c r="P12" s="185">
        <f t="shared" ref="P12" si="19">N12*O12</f>
        <v>99.678207999999955</v>
      </c>
      <c r="Q12" s="187">
        <f t="shared" ref="Q12" si="20">VLOOKUP(L12,Tarifa1,2)</f>
        <v>504.3</v>
      </c>
      <c r="R12" s="185">
        <f t="shared" ref="R12" si="21">P12+Q12</f>
        <v>603.978208</v>
      </c>
      <c r="S12" s="188">
        <f t="shared" ref="S12" si="22">VLOOKUP(L12,Credito1,2)</f>
        <v>0</v>
      </c>
      <c r="T12" s="185">
        <f t="shared" ref="T12" si="23">ROUND(R12-S12,2)</f>
        <v>603.98</v>
      </c>
      <c r="U12" s="184">
        <f>-IF(T12&gt;0,0,T12)</f>
        <v>0</v>
      </c>
      <c r="V12" s="184">
        <f t="shared" ref="V12:V26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49.25" customHeight="1" x14ac:dyDescent="0.25">
      <c r="A13" s="116"/>
      <c r="B13" s="176" t="s">
        <v>218</v>
      </c>
      <c r="C13" s="176" t="s">
        <v>117</v>
      </c>
      <c r="D13" s="203" t="s">
        <v>217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ref="V13" si="35">IF(T13&lt;0,0,T13)</f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49.25" customHeight="1" x14ac:dyDescent="0.25">
      <c r="A14" s="116"/>
      <c r="B14" s="176" t="s">
        <v>325</v>
      </c>
      <c r="C14" s="176" t="s">
        <v>117</v>
      </c>
      <c r="D14" s="203" t="s">
        <v>326</v>
      </c>
      <c r="E14" s="179" t="s">
        <v>68</v>
      </c>
      <c r="F14" s="180"/>
      <c r="G14" s="181"/>
      <c r="H14" s="182">
        <v>6071</v>
      </c>
      <c r="I14" s="183">
        <v>0</v>
      </c>
      <c r="J14" s="182">
        <f>H14</f>
        <v>6071</v>
      </c>
      <c r="K14" s="185">
        <f t="shared" ref="K14" si="36">IF(H14/15&lt;=SMG,0,I14/2)</f>
        <v>0</v>
      </c>
      <c r="L14" s="185">
        <f t="shared" ref="L14" si="37">H14+K14</f>
        <v>6071</v>
      </c>
      <c r="M14" s="185">
        <f t="shared" ref="M14" si="38">VLOOKUP(L14,Tarifa1,1)</f>
        <v>5514.76</v>
      </c>
      <c r="N14" s="185">
        <f t="shared" ref="N14" si="39">L14-M14</f>
        <v>556.23999999999978</v>
      </c>
      <c r="O14" s="186">
        <f t="shared" ref="O14" si="40">VLOOKUP(L14,Tarifa1,3)</f>
        <v>0.1792</v>
      </c>
      <c r="P14" s="185">
        <f t="shared" ref="P14" si="41">N14*O14</f>
        <v>99.678207999999955</v>
      </c>
      <c r="Q14" s="187">
        <f t="shared" ref="Q14" si="42">VLOOKUP(L14,Tarifa1,2)</f>
        <v>504.3</v>
      </c>
      <c r="R14" s="185">
        <f t="shared" ref="R14" si="43">P14+Q14</f>
        <v>603.978208</v>
      </c>
      <c r="S14" s="188">
        <f t="shared" ref="S14" si="44">VLOOKUP(L14,Credito1,2)</f>
        <v>0</v>
      </c>
      <c r="T14" s="185">
        <f t="shared" ref="T14" si="45">ROUND(R14-S14,2)</f>
        <v>603.98</v>
      </c>
      <c r="U14" s="184">
        <f>-IF(T14&gt;0,0,T14)</f>
        <v>0</v>
      </c>
      <c r="V14" s="184">
        <f t="shared" ref="V14" si="46">IF(T14&lt;0,0,T14)</f>
        <v>603.98</v>
      </c>
      <c r="W14" s="184">
        <f>SUM(V14:V14)</f>
        <v>603.98</v>
      </c>
      <c r="X14" s="184">
        <f>J14+U14-W14+I14</f>
        <v>5467.02</v>
      </c>
      <c r="Y14" s="117"/>
      <c r="AE14" s="97"/>
    </row>
    <row r="15" spans="1:31" s="94" customFormat="1" ht="149.25" customHeight="1" x14ac:dyDescent="0.25">
      <c r="A15" s="116"/>
      <c r="B15" s="177" t="s">
        <v>115</v>
      </c>
      <c r="C15" s="177" t="s">
        <v>117</v>
      </c>
      <c r="D15" s="178" t="s">
        <v>69</v>
      </c>
      <c r="E15" s="179" t="s">
        <v>145</v>
      </c>
      <c r="F15" s="180">
        <v>15</v>
      </c>
      <c r="G15" s="181">
        <f>H15/F15</f>
        <v>553.5333333333333</v>
      </c>
      <c r="H15" s="182">
        <v>8303</v>
      </c>
      <c r="I15" s="183">
        <v>0</v>
      </c>
      <c r="J15" s="184">
        <f>SUM(H15:I15)</f>
        <v>8303</v>
      </c>
      <c r="K15" s="185">
        <f t="shared" si="2"/>
        <v>0</v>
      </c>
      <c r="L15" s="185">
        <f t="shared" ref="L15:L16" si="47">H15+K15</f>
        <v>8303</v>
      </c>
      <c r="M15" s="185">
        <f t="shared" si="3"/>
        <v>6602.71</v>
      </c>
      <c r="N15" s="185">
        <f t="shared" ref="N15:N16" si="48">L15-M15</f>
        <v>1700.29</v>
      </c>
      <c r="O15" s="186">
        <f t="shared" si="4"/>
        <v>0.21360000000000001</v>
      </c>
      <c r="P15" s="185">
        <f t="shared" ref="P15:P16" si="49">N15*O15</f>
        <v>363.18194399999999</v>
      </c>
      <c r="Q15" s="187">
        <f t="shared" si="5"/>
        <v>699.3</v>
      </c>
      <c r="R15" s="185">
        <f t="shared" ref="R15:R16" si="50">P15+Q15</f>
        <v>1062.4819439999999</v>
      </c>
      <c r="S15" s="188">
        <f t="shared" si="6"/>
        <v>0</v>
      </c>
      <c r="T15" s="185">
        <f t="shared" ref="T15:T16" si="51">ROUND(R15-S15,2)</f>
        <v>1062.48</v>
      </c>
      <c r="U15" s="184">
        <f t="shared" ref="U15:U30" si="52">-IF(T15&gt;0,0,T15)</f>
        <v>0</v>
      </c>
      <c r="V15" s="184">
        <f t="shared" si="24"/>
        <v>1062.48</v>
      </c>
      <c r="W15" s="184">
        <f>SUM(V15:V15)</f>
        <v>1062.48</v>
      </c>
      <c r="X15" s="184">
        <f>J15+U15-W15</f>
        <v>7240.52</v>
      </c>
      <c r="Y15" s="117"/>
      <c r="AE15" s="97"/>
    </row>
    <row r="16" spans="1:31" s="94" customFormat="1" ht="149.25" customHeight="1" x14ac:dyDescent="0.25">
      <c r="A16" s="116"/>
      <c r="B16" s="177" t="s">
        <v>206</v>
      </c>
      <c r="C16" s="177" t="s">
        <v>117</v>
      </c>
      <c r="D16" s="189" t="s">
        <v>207</v>
      </c>
      <c r="E16" s="179" t="s">
        <v>169</v>
      </c>
      <c r="F16" s="180">
        <v>15</v>
      </c>
      <c r="G16" s="181"/>
      <c r="H16" s="182">
        <v>6643.5</v>
      </c>
      <c r="I16" s="183">
        <v>0</v>
      </c>
      <c r="J16" s="184">
        <f>SUM(H16:I16)</f>
        <v>6643.5</v>
      </c>
      <c r="K16" s="185">
        <f t="shared" si="2"/>
        <v>0</v>
      </c>
      <c r="L16" s="185">
        <f t="shared" si="47"/>
        <v>6643.5</v>
      </c>
      <c r="M16" s="185">
        <f t="shared" si="3"/>
        <v>6602.71</v>
      </c>
      <c r="N16" s="185">
        <f t="shared" si="48"/>
        <v>40.789999999999964</v>
      </c>
      <c r="O16" s="186">
        <f t="shared" si="4"/>
        <v>0.21360000000000001</v>
      </c>
      <c r="P16" s="185">
        <f t="shared" si="49"/>
        <v>8.7127439999999936</v>
      </c>
      <c r="Q16" s="187">
        <f t="shared" si="5"/>
        <v>699.3</v>
      </c>
      <c r="R16" s="185">
        <f t="shared" si="50"/>
        <v>708.012744</v>
      </c>
      <c r="S16" s="188">
        <f t="shared" si="6"/>
        <v>0</v>
      </c>
      <c r="T16" s="185">
        <f t="shared" si="51"/>
        <v>708.01</v>
      </c>
      <c r="U16" s="184">
        <f t="shared" si="52"/>
        <v>0</v>
      </c>
      <c r="V16" s="184">
        <f t="shared" si="24"/>
        <v>708.01</v>
      </c>
      <c r="W16" s="184">
        <f>SUM(V16:V16)</f>
        <v>708.01</v>
      </c>
      <c r="X16" s="184">
        <f>J16+U16-W16</f>
        <v>5935.49</v>
      </c>
      <c r="Y16" s="117"/>
      <c r="AE16" s="97"/>
    </row>
    <row r="17" spans="1:31" s="94" customFormat="1" ht="44.25" customHeight="1" x14ac:dyDescent="0.25">
      <c r="A17" s="216"/>
      <c r="B17" s="232"/>
      <c r="C17" s="232"/>
      <c r="D17" s="237"/>
      <c r="E17" s="238"/>
      <c r="F17" s="239"/>
      <c r="G17" s="240"/>
      <c r="H17" s="241"/>
      <c r="I17" s="242"/>
      <c r="J17" s="243"/>
      <c r="K17" s="244"/>
      <c r="L17" s="244"/>
      <c r="M17" s="244"/>
      <c r="N17" s="244"/>
      <c r="O17" s="245"/>
      <c r="P17" s="244"/>
      <c r="Q17" s="246"/>
      <c r="R17" s="244"/>
      <c r="S17" s="247"/>
      <c r="T17" s="244"/>
      <c r="U17" s="243"/>
      <c r="V17" s="243"/>
      <c r="W17" s="243"/>
      <c r="X17" s="243"/>
      <c r="Y17" s="118"/>
      <c r="AE17" s="97"/>
    </row>
    <row r="18" spans="1:31" s="94" customFormat="1" ht="39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40.5" customHeight="1" x14ac:dyDescent="0.25">
      <c r="A19" s="216"/>
      <c r="B19" s="232"/>
      <c r="C19" s="232"/>
      <c r="D19" s="237"/>
      <c r="E19" s="238"/>
      <c r="F19" s="239"/>
      <c r="G19" s="240"/>
      <c r="H19" s="241"/>
      <c r="I19" s="242"/>
      <c r="J19" s="243"/>
      <c r="K19" s="244"/>
      <c r="L19" s="244"/>
      <c r="M19" s="244"/>
      <c r="N19" s="244"/>
      <c r="O19" s="245"/>
      <c r="P19" s="244"/>
      <c r="Q19" s="246"/>
      <c r="R19" s="244"/>
      <c r="S19" s="247"/>
      <c r="T19" s="244"/>
      <c r="U19" s="243"/>
      <c r="V19" s="243"/>
      <c r="W19" s="243"/>
      <c r="X19" s="243"/>
      <c r="Y19" s="118"/>
      <c r="AE19" s="97"/>
    </row>
    <row r="20" spans="1:31" s="94" customFormat="1" ht="32.25" customHeight="1" x14ac:dyDescent="0.25">
      <c r="A20" s="216"/>
      <c r="B20" s="232"/>
      <c r="C20" s="232"/>
      <c r="D20" s="237"/>
      <c r="E20" s="238"/>
      <c r="F20" s="239"/>
      <c r="G20" s="240"/>
      <c r="H20" s="241"/>
      <c r="I20" s="242"/>
      <c r="J20" s="243"/>
      <c r="K20" s="244"/>
      <c r="L20" s="244"/>
      <c r="M20" s="244"/>
      <c r="N20" s="244"/>
      <c r="O20" s="245"/>
      <c r="P20" s="244"/>
      <c r="Q20" s="246"/>
      <c r="R20" s="244"/>
      <c r="S20" s="247"/>
      <c r="T20" s="244"/>
      <c r="U20" s="243"/>
      <c r="V20" s="243"/>
      <c r="W20" s="243"/>
      <c r="X20" s="243"/>
      <c r="Y20" s="118"/>
      <c r="AE20" s="97"/>
    </row>
    <row r="21" spans="1:31" s="94" customFormat="1" ht="29.25" customHeight="1" x14ac:dyDescent="0.25">
      <c r="A21" s="216"/>
      <c r="B21" s="266" t="s">
        <v>80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E21" s="97"/>
    </row>
    <row r="22" spans="1:31" s="94" customFormat="1" ht="28.5" customHeight="1" x14ac:dyDescent="0.25">
      <c r="A22" s="216"/>
      <c r="B22" s="266" t="s">
        <v>65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E22" s="97"/>
    </row>
    <row r="23" spans="1:31" s="94" customFormat="1" ht="28.5" customHeight="1" x14ac:dyDescent="0.25">
      <c r="A23" s="216"/>
      <c r="B23" s="267" t="s">
        <v>324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E23" s="97"/>
    </row>
    <row r="24" spans="1:31" s="94" customFormat="1" ht="28.5" customHeight="1" x14ac:dyDescent="0.25">
      <c r="A24" s="21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E24" s="97"/>
    </row>
    <row r="25" spans="1:31" s="94" customFormat="1" ht="132" customHeight="1" x14ac:dyDescent="0.25">
      <c r="A25" s="216"/>
      <c r="B25" s="177" t="s">
        <v>180</v>
      </c>
      <c r="C25" s="177" t="s">
        <v>117</v>
      </c>
      <c r="D25" s="189" t="s">
        <v>173</v>
      </c>
      <c r="E25" s="179" t="s">
        <v>169</v>
      </c>
      <c r="F25" s="180">
        <v>15</v>
      </c>
      <c r="G25" s="181"/>
      <c r="H25" s="182">
        <v>8303</v>
      </c>
      <c r="I25" s="183">
        <v>0</v>
      </c>
      <c r="J25" s="184">
        <f t="shared" ref="J25" si="53">SUM(H25:I25)</f>
        <v>8303</v>
      </c>
      <c r="K25" s="185">
        <f t="shared" ref="K25" si="54">IF(H25/15&lt;=SMG,0,I25/2)</f>
        <v>0</v>
      </c>
      <c r="L25" s="185">
        <f t="shared" ref="L25" si="55">H25+K25</f>
        <v>8303</v>
      </c>
      <c r="M25" s="185">
        <f t="shared" ref="M25" si="56">VLOOKUP(L25,Tarifa1,1)</f>
        <v>6602.71</v>
      </c>
      <c r="N25" s="185">
        <f t="shared" ref="N25" si="57">L25-M25</f>
        <v>1700.29</v>
      </c>
      <c r="O25" s="186">
        <f t="shared" ref="O25" si="58">VLOOKUP(L25,Tarifa1,3)</f>
        <v>0.21360000000000001</v>
      </c>
      <c r="P25" s="185">
        <f t="shared" ref="P25" si="59">N25*O25</f>
        <v>363.18194399999999</v>
      </c>
      <c r="Q25" s="187">
        <f t="shared" ref="Q25" si="60">VLOOKUP(L25,Tarifa1,2)</f>
        <v>699.3</v>
      </c>
      <c r="R25" s="185">
        <f t="shared" ref="R25" si="61">P25+Q25</f>
        <v>1062.4819439999999</v>
      </c>
      <c r="S25" s="188">
        <f t="shared" ref="S25" si="62">VLOOKUP(L25,Credito1,2)</f>
        <v>0</v>
      </c>
      <c r="T25" s="185">
        <f t="shared" ref="T25" si="63">ROUND(R25-S25,2)</f>
        <v>1062.48</v>
      </c>
      <c r="U25" s="184">
        <f t="shared" ref="U25" si="64">-IF(T25&gt;0,0,T25)</f>
        <v>0</v>
      </c>
      <c r="V25" s="184">
        <f t="shared" ref="V25" si="65">IF(T25&lt;0,0,T25)</f>
        <v>1062.48</v>
      </c>
      <c r="W25" s="184">
        <f>SUM(V25:V25)</f>
        <v>1062.48</v>
      </c>
      <c r="X25" s="184">
        <f>J25+U25-W25</f>
        <v>7240.52</v>
      </c>
      <c r="Y25" s="117"/>
      <c r="Z25" s="236"/>
      <c r="AE25" s="97"/>
    </row>
    <row r="26" spans="1:31" s="94" customFormat="1" ht="132" customHeight="1" x14ac:dyDescent="0.25">
      <c r="A26" s="116"/>
      <c r="B26" s="177" t="s">
        <v>187</v>
      </c>
      <c r="C26" s="177" t="s">
        <v>117</v>
      </c>
      <c r="D26" s="189" t="s">
        <v>188</v>
      </c>
      <c r="E26" s="179" t="s">
        <v>169</v>
      </c>
      <c r="F26" s="180">
        <v>15</v>
      </c>
      <c r="G26" s="181"/>
      <c r="H26" s="182">
        <v>8303</v>
      </c>
      <c r="I26" s="183">
        <v>0</v>
      </c>
      <c r="J26" s="184">
        <f t="shared" ref="J26" si="66">SUM(H26:I26)</f>
        <v>8303</v>
      </c>
      <c r="K26" s="185">
        <f t="shared" ref="K26:K29" si="67">IF(H26/15&lt;=SMG,0,I26/2)</f>
        <v>0</v>
      </c>
      <c r="L26" s="185">
        <f t="shared" ref="L26:L29" si="68">H26+K26</f>
        <v>8303</v>
      </c>
      <c r="M26" s="185">
        <f t="shared" ref="M26:M29" si="69">VLOOKUP(L26,Tarifa1,1)</f>
        <v>6602.71</v>
      </c>
      <c r="N26" s="185">
        <f t="shared" ref="N26:N29" si="70">L26-M26</f>
        <v>1700.29</v>
      </c>
      <c r="O26" s="186">
        <f t="shared" ref="O26:O29" si="71">VLOOKUP(L26,Tarifa1,3)</f>
        <v>0.21360000000000001</v>
      </c>
      <c r="P26" s="185">
        <f t="shared" ref="P26:P29" si="72">N26*O26</f>
        <v>363.18194399999999</v>
      </c>
      <c r="Q26" s="187">
        <f t="shared" ref="Q26:Q29" si="73">VLOOKUP(L26,Tarifa1,2)</f>
        <v>699.3</v>
      </c>
      <c r="R26" s="185">
        <f t="shared" ref="R26:R29" si="74">P26+Q26</f>
        <v>1062.4819439999999</v>
      </c>
      <c r="S26" s="188">
        <f t="shared" ref="S26:S29" si="75">VLOOKUP(L26,Credito1,2)</f>
        <v>0</v>
      </c>
      <c r="T26" s="185">
        <f t="shared" ref="T26:T29" si="76">ROUND(R26-S26,2)</f>
        <v>1062.48</v>
      </c>
      <c r="U26" s="184">
        <f t="shared" si="52"/>
        <v>0</v>
      </c>
      <c r="V26" s="184">
        <f t="shared" si="24"/>
        <v>1062.48</v>
      </c>
      <c r="W26" s="184">
        <f>SUM(V26:V26)</f>
        <v>1062.48</v>
      </c>
      <c r="X26" s="184">
        <f>J26+U26-W26</f>
        <v>7240.52</v>
      </c>
      <c r="Y26" s="117"/>
      <c r="AE26" s="97"/>
    </row>
    <row r="27" spans="1:31" s="94" customFormat="1" ht="132" customHeight="1" x14ac:dyDescent="0.25">
      <c r="A27" s="116"/>
      <c r="B27" s="177" t="s">
        <v>296</v>
      </c>
      <c r="C27" s="177" t="s">
        <v>117</v>
      </c>
      <c r="D27" s="189" t="s">
        <v>297</v>
      </c>
      <c r="E27" s="179" t="s">
        <v>169</v>
      </c>
      <c r="F27" s="180"/>
      <c r="G27" s="181"/>
      <c r="H27" s="182">
        <v>8303</v>
      </c>
      <c r="I27" s="183">
        <v>0</v>
      </c>
      <c r="J27" s="184">
        <f>SUM(H27:I27)</f>
        <v>8303</v>
      </c>
      <c r="K27" s="185">
        <f t="shared" si="67"/>
        <v>0</v>
      </c>
      <c r="L27" s="185">
        <f t="shared" si="68"/>
        <v>8303</v>
      </c>
      <c r="M27" s="185">
        <f t="shared" si="69"/>
        <v>6602.71</v>
      </c>
      <c r="N27" s="185">
        <f t="shared" si="70"/>
        <v>1700.29</v>
      </c>
      <c r="O27" s="186">
        <f t="shared" si="71"/>
        <v>0.21360000000000001</v>
      </c>
      <c r="P27" s="185">
        <f t="shared" si="72"/>
        <v>363.18194399999999</v>
      </c>
      <c r="Q27" s="187">
        <f t="shared" si="73"/>
        <v>699.3</v>
      </c>
      <c r="R27" s="185">
        <f t="shared" si="74"/>
        <v>1062.4819439999999</v>
      </c>
      <c r="S27" s="188">
        <f t="shared" si="75"/>
        <v>0</v>
      </c>
      <c r="T27" s="185">
        <f t="shared" si="76"/>
        <v>1062.48</v>
      </c>
      <c r="U27" s="184">
        <f t="shared" ref="U27" si="77">-IF(T27&gt;0,0,T27)</f>
        <v>0</v>
      </c>
      <c r="V27" s="184">
        <f t="shared" ref="V27" si="78">IF(T27&lt;0,0,T27)</f>
        <v>1062.48</v>
      </c>
      <c r="W27" s="184">
        <f>SUM(V27:V27)</f>
        <v>1062.48</v>
      </c>
      <c r="X27" s="184">
        <f>J27+U27-W27</f>
        <v>7240.52</v>
      </c>
      <c r="Y27" s="117"/>
      <c r="AE27" s="97"/>
    </row>
    <row r="28" spans="1:31" s="94" customFormat="1" ht="132" customHeight="1" x14ac:dyDescent="0.25">
      <c r="A28" s="116"/>
      <c r="B28" s="177" t="s">
        <v>210</v>
      </c>
      <c r="C28" s="177" t="s">
        <v>117</v>
      </c>
      <c r="D28" s="178" t="s">
        <v>211</v>
      </c>
      <c r="E28" s="179" t="s">
        <v>169</v>
      </c>
      <c r="F28" s="180"/>
      <c r="G28" s="181"/>
      <c r="H28" s="182">
        <v>6643.5</v>
      </c>
      <c r="I28" s="183">
        <v>0</v>
      </c>
      <c r="J28" s="184">
        <f>SUM(H28:I28)</f>
        <v>6643.5</v>
      </c>
      <c r="K28" s="185">
        <f t="shared" ref="K28" si="79">IF(H28/15&lt;=SMG,0,I28/2)</f>
        <v>0</v>
      </c>
      <c r="L28" s="185">
        <f t="shared" ref="L28" si="80">H28+K28</f>
        <v>6643.5</v>
      </c>
      <c r="M28" s="185">
        <f t="shared" ref="M28" si="81">VLOOKUP(L28,Tarifa1,1)</f>
        <v>6602.71</v>
      </c>
      <c r="N28" s="185">
        <f t="shared" ref="N28" si="82">L28-M28</f>
        <v>40.789999999999964</v>
      </c>
      <c r="O28" s="186">
        <f t="shared" ref="O28" si="83">VLOOKUP(L28,Tarifa1,3)</f>
        <v>0.21360000000000001</v>
      </c>
      <c r="P28" s="185">
        <f t="shared" ref="P28" si="84">N28*O28</f>
        <v>8.7127439999999936</v>
      </c>
      <c r="Q28" s="187">
        <f t="shared" ref="Q28" si="85">VLOOKUP(L28,Tarifa1,2)</f>
        <v>699.3</v>
      </c>
      <c r="R28" s="185">
        <f t="shared" ref="R28" si="86">P28+Q28</f>
        <v>708.012744</v>
      </c>
      <c r="S28" s="188">
        <f t="shared" ref="S28" si="87">VLOOKUP(L28,Credito1,2)</f>
        <v>0</v>
      </c>
      <c r="T28" s="185">
        <f t="shared" ref="T28" si="88">ROUND(R28-S28,2)</f>
        <v>708.01</v>
      </c>
      <c r="U28" s="184">
        <f t="shared" ref="U28" si="89">-IF(T28&gt;0,0,T28)</f>
        <v>0</v>
      </c>
      <c r="V28" s="184">
        <f t="shared" ref="V28" si="90">IF(T28&lt;0,0,T28)</f>
        <v>708.01</v>
      </c>
      <c r="W28" s="184">
        <f>SUM(V28:V28)</f>
        <v>708.01</v>
      </c>
      <c r="X28" s="184">
        <f>J28+U28-W28</f>
        <v>5935.49</v>
      </c>
      <c r="Y28" s="117"/>
      <c r="AE28" s="97"/>
    </row>
    <row r="29" spans="1:31" s="94" customFormat="1" ht="132" customHeight="1" x14ac:dyDescent="0.25">
      <c r="A29" s="116"/>
      <c r="B29" s="177" t="s">
        <v>300</v>
      </c>
      <c r="C29" s="177" t="s">
        <v>117</v>
      </c>
      <c r="D29" s="189" t="s">
        <v>298</v>
      </c>
      <c r="E29" s="179" t="s">
        <v>299</v>
      </c>
      <c r="F29" s="180"/>
      <c r="G29" s="181"/>
      <c r="H29" s="182">
        <v>6071</v>
      </c>
      <c r="I29" s="183">
        <v>0</v>
      </c>
      <c r="J29" s="182">
        <f>H29</f>
        <v>6071</v>
      </c>
      <c r="K29" s="185">
        <f t="shared" si="67"/>
        <v>0</v>
      </c>
      <c r="L29" s="185">
        <f t="shared" si="68"/>
        <v>6071</v>
      </c>
      <c r="M29" s="185">
        <f t="shared" si="69"/>
        <v>5514.76</v>
      </c>
      <c r="N29" s="185">
        <f t="shared" si="70"/>
        <v>556.23999999999978</v>
      </c>
      <c r="O29" s="186">
        <f t="shared" si="71"/>
        <v>0.1792</v>
      </c>
      <c r="P29" s="185">
        <f t="shared" si="72"/>
        <v>99.678207999999955</v>
      </c>
      <c r="Q29" s="187">
        <f t="shared" si="73"/>
        <v>504.3</v>
      </c>
      <c r="R29" s="185">
        <f t="shared" si="74"/>
        <v>603.978208</v>
      </c>
      <c r="S29" s="188">
        <f t="shared" si="75"/>
        <v>0</v>
      </c>
      <c r="T29" s="185">
        <f t="shared" si="76"/>
        <v>603.98</v>
      </c>
      <c r="U29" s="184">
        <f>-IF(T29&gt;0,0,T29)</f>
        <v>0</v>
      </c>
      <c r="V29" s="184">
        <f t="shared" ref="V29" si="91">IF(T29&lt;0,0,T29)</f>
        <v>603.98</v>
      </c>
      <c r="W29" s="184">
        <f>SUM(V29:V29)</f>
        <v>603.98</v>
      </c>
      <c r="X29" s="184">
        <f>J29+U29-W29+I29</f>
        <v>5467.02</v>
      </c>
      <c r="Y29" s="117"/>
      <c r="AE29" s="97"/>
    </row>
    <row r="30" spans="1:31" s="94" customFormat="1" ht="132" customHeight="1" x14ac:dyDescent="0.25">
      <c r="A30" s="116"/>
      <c r="B30" s="177" t="s">
        <v>182</v>
      </c>
      <c r="C30" s="177" t="s">
        <v>117</v>
      </c>
      <c r="D30" s="189" t="s">
        <v>170</v>
      </c>
      <c r="E30" s="179" t="s">
        <v>290</v>
      </c>
      <c r="F30" s="180">
        <v>15</v>
      </c>
      <c r="G30" s="181">
        <f t="shared" ref="G30" si="92">H30/F30</f>
        <v>301.13333333333333</v>
      </c>
      <c r="H30" s="182">
        <v>4517</v>
      </c>
      <c r="I30" s="183">
        <v>0</v>
      </c>
      <c r="J30" s="184">
        <f t="shared" ref="J30" si="93">SUM(H30:I30)</f>
        <v>4517</v>
      </c>
      <c r="K30" s="185">
        <f t="shared" ref="K30" si="94">IF(H30/15&lt;=SMG,0,I30/2)</f>
        <v>0</v>
      </c>
      <c r="L30" s="185">
        <f t="shared" ref="L30" si="95">H30+K30</f>
        <v>4517</v>
      </c>
      <c r="M30" s="185">
        <f t="shared" ref="M30" si="96">VLOOKUP(L30,Tarifa1,1)</f>
        <v>2699.41</v>
      </c>
      <c r="N30" s="185">
        <f t="shared" ref="N30" si="97">L30-M30</f>
        <v>1817.5900000000001</v>
      </c>
      <c r="O30" s="186">
        <f t="shared" ref="O30" si="98">VLOOKUP(L30,Tarifa1,3)</f>
        <v>0.10879999999999999</v>
      </c>
      <c r="P30" s="185">
        <f t="shared" ref="P30" si="99">N30*O30</f>
        <v>197.753792</v>
      </c>
      <c r="Q30" s="187">
        <f t="shared" ref="Q30" si="100">VLOOKUP(L30,Tarifa1,2)</f>
        <v>158.55000000000001</v>
      </c>
      <c r="R30" s="185">
        <f t="shared" ref="R30" si="101">P30+Q30</f>
        <v>356.30379200000004</v>
      </c>
      <c r="S30" s="188">
        <f t="shared" ref="S30" si="102">VLOOKUP(L30,Credito1,2)</f>
        <v>0</v>
      </c>
      <c r="T30" s="185">
        <f t="shared" ref="T30" si="103">ROUND(R30-S30,2)</f>
        <v>356.3</v>
      </c>
      <c r="U30" s="184">
        <f t="shared" si="52"/>
        <v>0</v>
      </c>
      <c r="V30" s="184">
        <f t="shared" ref="V30" si="104">IF(T30&lt;0,0,T30)</f>
        <v>356.3</v>
      </c>
      <c r="W30" s="184">
        <f>SUM(V30:V30)</f>
        <v>356.3</v>
      </c>
      <c r="X30" s="184">
        <f>J30+U30-W30</f>
        <v>4160.7</v>
      </c>
      <c r="Y30" s="117"/>
      <c r="AE30" s="97"/>
    </row>
    <row r="31" spans="1:31" s="51" customFormat="1" ht="39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1">
        <f t="shared" ref="H31:X31" si="105">SUM(H9:H30)</f>
        <v>100673.58</v>
      </c>
      <c r="I31" s="191">
        <f t="shared" si="105"/>
        <v>0</v>
      </c>
      <c r="J31" s="191">
        <f t="shared" si="105"/>
        <v>100673.58</v>
      </c>
      <c r="K31" s="192">
        <f t="shared" si="105"/>
        <v>0</v>
      </c>
      <c r="L31" s="192">
        <f t="shared" si="105"/>
        <v>100673.58</v>
      </c>
      <c r="M31" s="192">
        <f t="shared" si="105"/>
        <v>80279.539999999994</v>
      </c>
      <c r="N31" s="192">
        <f t="shared" si="105"/>
        <v>20394.040000000005</v>
      </c>
      <c r="O31" s="192">
        <f t="shared" si="105"/>
        <v>2.6432000000000002</v>
      </c>
      <c r="P31" s="192">
        <f t="shared" si="105"/>
        <v>3917.5579439999992</v>
      </c>
      <c r="Q31" s="192">
        <f t="shared" si="105"/>
        <v>7928.7000000000016</v>
      </c>
      <c r="R31" s="192">
        <f t="shared" si="105"/>
        <v>11846.257943999999</v>
      </c>
      <c r="S31" s="192">
        <f t="shared" si="105"/>
        <v>0</v>
      </c>
      <c r="T31" s="192">
        <f t="shared" si="105"/>
        <v>11846.259999999997</v>
      </c>
      <c r="U31" s="191">
        <f t="shared" si="105"/>
        <v>0</v>
      </c>
      <c r="V31" s="191">
        <f t="shared" si="105"/>
        <v>11846.259999999997</v>
      </c>
      <c r="W31" s="191">
        <f t="shared" si="105"/>
        <v>11846.259999999997</v>
      </c>
      <c r="X31" s="191">
        <f t="shared" si="105"/>
        <v>88827.32</v>
      </c>
      <c r="Y31" s="118"/>
    </row>
    <row r="32" spans="1:31" s="51" customFormat="1" ht="39" customHeight="1" thickTop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  <row r="35" spans="1:24" s="51" customFormat="1" ht="39" customHeight="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2"/>
      <c r="V35" s="112"/>
      <c r="W35" s="112"/>
      <c r="X35" s="112"/>
    </row>
    <row r="36" spans="1:24" s="51" customFormat="1" ht="39" customHeight="1" x14ac:dyDescent="0.25">
      <c r="A36" s="111"/>
      <c r="B36" s="111"/>
      <c r="C36" s="111"/>
      <c r="D36" s="111"/>
      <c r="E36" s="111"/>
      <c r="F36" s="111"/>
      <c r="G36" s="111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2"/>
      <c r="V36" s="112"/>
      <c r="W36" s="112"/>
      <c r="X36" s="112"/>
    </row>
    <row r="37" spans="1:24" s="51" customFormat="1" ht="12" x14ac:dyDescent="0.2"/>
  </sheetData>
  <mergeCells count="11">
    <mergeCell ref="A31:G31"/>
    <mergeCell ref="C5:C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5:D30 D12 D16:D20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5"/>
  <sheetViews>
    <sheetView topLeftCell="B21" zoomScale="69" zoomScaleNormal="69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8" t="s">
        <v>1</v>
      </c>
      <c r="I6" s="289"/>
      <c r="J6" s="290"/>
      <c r="K6" s="49" t="s">
        <v>26</v>
      </c>
      <c r="L6" s="50"/>
      <c r="M6" s="291" t="s">
        <v>9</v>
      </c>
      <c r="N6" s="292"/>
      <c r="O6" s="292"/>
      <c r="P6" s="292"/>
      <c r="Q6" s="292"/>
      <c r="R6" s="293"/>
      <c r="S6" s="49" t="s">
        <v>30</v>
      </c>
      <c r="T6" s="49" t="s">
        <v>10</v>
      </c>
      <c r="U6" s="48" t="s">
        <v>54</v>
      </c>
      <c r="V6" s="294" t="s">
        <v>2</v>
      </c>
      <c r="W6" s="295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41337.049999999996</v>
      </c>
      <c r="I9" s="125">
        <f>SUM(I10:I20)</f>
        <v>0</v>
      </c>
      <c r="J9" s="125">
        <f>SUM(J10:J20)</f>
        <v>41337.049999999996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2220.8299999999995</v>
      </c>
      <c r="W9" s="125">
        <f>SUM(W10:W20)</f>
        <v>2220.8299999999995</v>
      </c>
      <c r="X9" s="125">
        <f>SUM(X10:X20)</f>
        <v>39157.69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3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303</v>
      </c>
      <c r="C12" s="177" t="s">
        <v>117</v>
      </c>
      <c r="D12" s="179" t="s">
        <v>307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289.11266666666666</v>
      </c>
      <c r="H13" s="182">
        <v>4336.6899999999996</v>
      </c>
      <c r="I13" s="183">
        <v>0</v>
      </c>
      <c r="J13" s="184">
        <f>SUM(H13:I13)</f>
        <v>4336.6899999999996</v>
      </c>
      <c r="K13" s="185">
        <f t="shared" si="1"/>
        <v>0</v>
      </c>
      <c r="L13" s="185">
        <f t="shared" si="14"/>
        <v>4336.6899999999996</v>
      </c>
      <c r="M13" s="185">
        <f t="shared" si="3"/>
        <v>2699.41</v>
      </c>
      <c r="N13" s="185">
        <f t="shared" si="15"/>
        <v>1637.2799999999997</v>
      </c>
      <c r="O13" s="186">
        <f t="shared" si="5"/>
        <v>0.10879999999999999</v>
      </c>
      <c r="P13" s="185">
        <f t="shared" si="16"/>
        <v>178.13606399999998</v>
      </c>
      <c r="Q13" s="187">
        <f t="shared" si="7"/>
        <v>158.55000000000001</v>
      </c>
      <c r="R13" s="185">
        <f t="shared" si="17"/>
        <v>336.68606399999999</v>
      </c>
      <c r="S13" s="185">
        <f t="shared" si="9"/>
        <v>0</v>
      </c>
      <c r="T13" s="185">
        <f t="shared" si="18"/>
        <v>336.69</v>
      </c>
      <c r="U13" s="184">
        <f>-IF(T13&gt;0,0,T13)</f>
        <v>0</v>
      </c>
      <c r="V13" s="184">
        <f t="shared" si="20"/>
        <v>336.69</v>
      </c>
      <c r="W13" s="184">
        <f>SUM(V13:V13)</f>
        <v>336.69</v>
      </c>
      <c r="X13" s="184">
        <f>J13+U13-W13</f>
        <v>3999.9999999999995</v>
      </c>
      <c r="Y13" s="90"/>
    </row>
    <row r="14" spans="1:25" s="4" customFormat="1" ht="81" customHeight="1" x14ac:dyDescent="0.25">
      <c r="A14" s="43"/>
      <c r="B14" s="177" t="s">
        <v>194</v>
      </c>
      <c r="C14" s="177" t="s">
        <v>117</v>
      </c>
      <c r="D14" s="200" t="s">
        <v>195</v>
      </c>
      <c r="E14" s="179" t="s">
        <v>268</v>
      </c>
      <c r="F14" s="180">
        <v>15</v>
      </c>
      <c r="G14" s="181"/>
      <c r="H14" s="182">
        <v>3303.5</v>
      </c>
      <c r="I14" s="183">
        <v>0</v>
      </c>
      <c r="J14" s="184">
        <f t="shared" ref="J14" si="22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3">-IF(T14&gt;0,0,T14)</f>
        <v>0</v>
      </c>
      <c r="V14" s="184">
        <f t="shared" ref="V14" si="24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269</v>
      </c>
      <c r="C15" s="177" t="s">
        <v>117</v>
      </c>
      <c r="D15" s="203" t="s">
        <v>271</v>
      </c>
      <c r="E15" s="179" t="s">
        <v>270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238</v>
      </c>
      <c r="C16" s="177" t="s">
        <v>117</v>
      </c>
      <c r="D16" s="179" t="s">
        <v>257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5">SUM(H16:I16)</f>
        <v>7246.51</v>
      </c>
      <c r="K16" s="185">
        <f t="shared" ref="K16" si="26">IF(H16/15&lt;=SMG,0,I16/2)</f>
        <v>0</v>
      </c>
      <c r="L16" s="185">
        <f t="shared" si="14"/>
        <v>7246.51</v>
      </c>
      <c r="M16" s="185">
        <f t="shared" ref="M16" si="27">VLOOKUP(L16,Tarifa1,1)</f>
        <v>6602.71</v>
      </c>
      <c r="N16" s="185">
        <f t="shared" si="15"/>
        <v>643.80000000000018</v>
      </c>
      <c r="O16" s="186">
        <f t="shared" ref="O16" si="28">VLOOKUP(L16,Tarifa1,3)</f>
        <v>0.21360000000000001</v>
      </c>
      <c r="P16" s="185">
        <f t="shared" si="16"/>
        <v>137.51568000000006</v>
      </c>
      <c r="Q16" s="187">
        <f t="shared" ref="Q16" si="29">VLOOKUP(L16,Tarifa1,2)</f>
        <v>699.3</v>
      </c>
      <c r="R16" s="185">
        <f t="shared" si="17"/>
        <v>836.81568000000004</v>
      </c>
      <c r="S16" s="185">
        <f t="shared" ref="S16" si="30">VLOOKUP(L16,Credito1,2)</f>
        <v>0</v>
      </c>
      <c r="T16" s="185">
        <f t="shared" si="18"/>
        <v>836.82</v>
      </c>
      <c r="U16" s="184">
        <f t="shared" ref="U16" si="31">-IF(T16&gt;0,0,T16)</f>
        <v>0</v>
      </c>
      <c r="V16" s="184">
        <f t="shared" ref="V16" si="32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239</v>
      </c>
      <c r="C17" s="177" t="s">
        <v>117</v>
      </c>
      <c r="D17" s="178" t="s">
        <v>256</v>
      </c>
      <c r="E17" s="179" t="s">
        <v>176</v>
      </c>
      <c r="F17" s="180">
        <v>15</v>
      </c>
      <c r="G17" s="181"/>
      <c r="H17" s="182">
        <v>4117</v>
      </c>
      <c r="I17" s="183">
        <v>0</v>
      </c>
      <c r="J17" s="184">
        <f>SUM(H17:I17)</f>
        <v>4117</v>
      </c>
      <c r="K17" s="185">
        <f>IF(H17/15&lt;=SMG,0,I17/2)</f>
        <v>0</v>
      </c>
      <c r="L17" s="185">
        <f t="shared" si="14"/>
        <v>4117</v>
      </c>
      <c r="M17" s="185">
        <f>VLOOKUP(L17,Tarifa1,1)</f>
        <v>2699.41</v>
      </c>
      <c r="N17" s="185">
        <f t="shared" si="15"/>
        <v>1417.5900000000001</v>
      </c>
      <c r="O17" s="186">
        <f>VLOOKUP(L17,Tarifa1,3)</f>
        <v>0.10879999999999999</v>
      </c>
      <c r="P17" s="185">
        <f t="shared" si="16"/>
        <v>154.23379199999999</v>
      </c>
      <c r="Q17" s="187">
        <f>VLOOKUP(L17,Tarifa1,2)</f>
        <v>158.55000000000001</v>
      </c>
      <c r="R17" s="185">
        <f t="shared" si="17"/>
        <v>312.78379200000001</v>
      </c>
      <c r="S17" s="188">
        <f>VLOOKUP(L17,Credito1,2)</f>
        <v>0</v>
      </c>
      <c r="T17" s="185">
        <f t="shared" si="18"/>
        <v>312.77999999999997</v>
      </c>
      <c r="U17" s="184">
        <f>-IF(T17&gt;0,0,T17)</f>
        <v>0</v>
      </c>
      <c r="V17" s="184">
        <f>IF(T17&lt;0,0,T17)</f>
        <v>312.77999999999997</v>
      </c>
      <c r="W17" s="184">
        <f>SUM(V17:V17)</f>
        <v>312.77999999999997</v>
      </c>
      <c r="X17" s="184">
        <f>J17+U17-W17</f>
        <v>3804.2200000000003</v>
      </c>
      <c r="Y17" s="90"/>
    </row>
    <row r="18" spans="1:31" s="4" customFormat="1" ht="81" customHeight="1" x14ac:dyDescent="0.25">
      <c r="A18" s="119"/>
      <c r="B18" s="176" t="s">
        <v>208</v>
      </c>
      <c r="C18" s="177" t="s">
        <v>117</v>
      </c>
      <c r="D18" s="179" t="s">
        <v>83</v>
      </c>
      <c r="E18" s="179" t="s">
        <v>189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3">H18+K18</f>
        <v>3127</v>
      </c>
      <c r="M18" s="185">
        <f>VLOOKUP(L18,Tarifa1,1)</f>
        <v>2699.41</v>
      </c>
      <c r="N18" s="185">
        <f t="shared" ref="N18:N20" si="34">L18-M18</f>
        <v>427.59000000000015</v>
      </c>
      <c r="O18" s="186">
        <f>VLOOKUP(L18,Tarifa1,3)</f>
        <v>0.10879999999999999</v>
      </c>
      <c r="P18" s="185">
        <f t="shared" ref="P18:P20" si="35">N18*O18</f>
        <v>46.521792000000012</v>
      </c>
      <c r="Q18" s="187">
        <f>VLOOKUP(L18,Tarifa1,2)</f>
        <v>158.55000000000001</v>
      </c>
      <c r="R18" s="185">
        <f t="shared" ref="R18:R20" si="36">P18+Q18</f>
        <v>205.07179200000002</v>
      </c>
      <c r="S18" s="188">
        <f>VLOOKUP(L18,Credito1,2)</f>
        <v>125.1</v>
      </c>
      <c r="T18" s="185">
        <f t="shared" ref="T18:T20" si="37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240</v>
      </c>
      <c r="C19" s="177" t="s">
        <v>117</v>
      </c>
      <c r="D19" s="179" t="s">
        <v>252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8">SUM(H19:I19)</f>
        <v>3513.5</v>
      </c>
      <c r="K19" s="185">
        <f t="shared" ref="K19" si="39">IF(H19/15&lt;=SMG,0,I19/2)</f>
        <v>0</v>
      </c>
      <c r="L19" s="185">
        <f t="shared" si="33"/>
        <v>3513.5</v>
      </c>
      <c r="M19" s="185">
        <f t="shared" ref="M19" si="40">VLOOKUP(L19,Tarifa1,1)</f>
        <v>2699.41</v>
      </c>
      <c r="N19" s="185">
        <f t="shared" si="34"/>
        <v>814.09000000000015</v>
      </c>
      <c r="O19" s="186">
        <f t="shared" ref="O19" si="41">VLOOKUP(L19,Tarifa1,3)</f>
        <v>0.10879999999999999</v>
      </c>
      <c r="P19" s="185">
        <f t="shared" si="35"/>
        <v>88.572992000000013</v>
      </c>
      <c r="Q19" s="187">
        <f t="shared" ref="Q19" si="42">VLOOKUP(L19,Tarifa1,2)</f>
        <v>158.55000000000001</v>
      </c>
      <c r="R19" s="185">
        <f t="shared" si="36"/>
        <v>247.12299200000001</v>
      </c>
      <c r="S19" s="188">
        <f t="shared" ref="S19" si="43">VLOOKUP(L19,Credito1,2)</f>
        <v>107.4</v>
      </c>
      <c r="T19" s="185">
        <f t="shared" si="37"/>
        <v>139.72</v>
      </c>
      <c r="U19" s="184">
        <f t="shared" ref="U19" si="44">-IF(T19&gt;0,0,T19)</f>
        <v>0</v>
      </c>
      <c r="V19" s="184">
        <f t="shared" ref="V19" si="45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273</v>
      </c>
      <c r="C20" s="177" t="s">
        <v>117</v>
      </c>
      <c r="D20" s="178" t="s">
        <v>254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3"/>
        <v>3127</v>
      </c>
      <c r="M20" s="185">
        <f>VLOOKUP(L20,Tarifa1,1)</f>
        <v>2699.41</v>
      </c>
      <c r="N20" s="185">
        <f t="shared" si="34"/>
        <v>427.59000000000015</v>
      </c>
      <c r="O20" s="186">
        <f>VLOOKUP(L20,Tarifa1,3)</f>
        <v>0.10879999999999999</v>
      </c>
      <c r="P20" s="185">
        <f t="shared" si="35"/>
        <v>46.521792000000012</v>
      </c>
      <c r="Q20" s="187">
        <f>VLOOKUP(L20,Tarifa1,2)</f>
        <v>158.55000000000001</v>
      </c>
      <c r="R20" s="185">
        <f t="shared" si="36"/>
        <v>205.07179200000002</v>
      </c>
      <c r="S20" s="188">
        <f>VLOOKUP(L20,Credito1,2)</f>
        <v>125.1</v>
      </c>
      <c r="T20" s="185">
        <f t="shared" si="37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6" t="s">
        <v>80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31" s="4" customFormat="1" ht="24" customHeight="1" x14ac:dyDescent="0.25">
      <c r="A23" s="119"/>
      <c r="B23" s="276" t="s">
        <v>65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31" s="4" customFormat="1" ht="25.5" customHeight="1" x14ac:dyDescent="0.25">
      <c r="A24" s="119"/>
      <c r="B24" s="267" t="s">
        <v>324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6">H28+K28</f>
        <v>4991</v>
      </c>
      <c r="M28" s="185">
        <f>VLOOKUP(L28,Tarifa1,1)</f>
        <v>4744.0600000000004</v>
      </c>
      <c r="N28" s="185">
        <f t="shared" ref="N28:N29" si="47">L28-M28</f>
        <v>246.9399999999996</v>
      </c>
      <c r="O28" s="186">
        <f>VLOOKUP(L28,Tarifa1,3)</f>
        <v>0.16</v>
      </c>
      <c r="P28" s="185">
        <f t="shared" ref="P28:P29" si="48">N28*O28</f>
        <v>39.51039999999994</v>
      </c>
      <c r="Q28" s="187">
        <f>VLOOKUP(L28,Tarifa1,2)</f>
        <v>381</v>
      </c>
      <c r="R28" s="185">
        <f t="shared" ref="R28:R29" si="49">P28+Q28</f>
        <v>420.51039999999995</v>
      </c>
      <c r="S28" s="188">
        <f>VLOOKUP(L28,Credito1,2)</f>
        <v>0</v>
      </c>
      <c r="T28" s="185">
        <f t="shared" ref="T28:T29" si="50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6"/>
        <v>4517</v>
      </c>
      <c r="M29" s="185">
        <f>VLOOKUP(L29,Tarifa1,1)</f>
        <v>2699.41</v>
      </c>
      <c r="N29" s="185">
        <f t="shared" si="47"/>
        <v>1817.5900000000001</v>
      </c>
      <c r="O29" s="186">
        <f>VLOOKUP(L29,Tarifa1,3)</f>
        <v>0.10879999999999999</v>
      </c>
      <c r="P29" s="185">
        <f t="shared" si="48"/>
        <v>197.753792</v>
      </c>
      <c r="Q29" s="187">
        <f>VLOOKUP(L29,Tarifa1,2)</f>
        <v>158.55000000000001</v>
      </c>
      <c r="R29" s="185">
        <f t="shared" si="49"/>
        <v>356.30379200000004</v>
      </c>
      <c r="S29" s="188">
        <f>VLOOKUP(L29,Credito1,2)</f>
        <v>0</v>
      </c>
      <c r="T29" s="185">
        <f t="shared" si="50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1">
        <f>H9+H27</f>
        <v>50845.049999999996</v>
      </c>
      <c r="I31" s="191">
        <f>I9+I27</f>
        <v>0</v>
      </c>
      <c r="J31" s="191">
        <f>J9+J27</f>
        <v>50845.049999999996</v>
      </c>
      <c r="K31" s="192">
        <f t="shared" ref="K31:T31" si="51">SUM(K10:K30)</f>
        <v>0</v>
      </c>
      <c r="L31" s="192">
        <f t="shared" si="51"/>
        <v>50845.049999999996</v>
      </c>
      <c r="M31" s="192">
        <f t="shared" si="51"/>
        <v>38658.880000000005</v>
      </c>
      <c r="N31" s="192">
        <f t="shared" si="51"/>
        <v>12186.170000000002</v>
      </c>
      <c r="O31" s="192">
        <f t="shared" si="51"/>
        <v>1.5255999999999998</v>
      </c>
      <c r="P31" s="192">
        <f t="shared" si="51"/>
        <v>1316.980832</v>
      </c>
      <c r="Q31" s="192">
        <f t="shared" si="51"/>
        <v>2671.95</v>
      </c>
      <c r="R31" s="192">
        <f t="shared" si="51"/>
        <v>3988.9308320000014</v>
      </c>
      <c r="S31" s="192">
        <f t="shared" si="51"/>
        <v>1032.75</v>
      </c>
      <c r="T31" s="192">
        <f t="shared" si="51"/>
        <v>2956.17</v>
      </c>
      <c r="U31" s="191">
        <f>U9+U27</f>
        <v>41.47</v>
      </c>
      <c r="V31" s="191">
        <f>V9+V27</f>
        <v>2997.6399999999994</v>
      </c>
      <c r="W31" s="191">
        <f>W9+W27</f>
        <v>2997.6399999999994</v>
      </c>
      <c r="X31" s="191">
        <f>X9+X27</f>
        <v>47888.880000000005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1"/>
  <sheetViews>
    <sheetView topLeftCell="B33" zoomScale="57" zoomScaleNormal="57" workbookViewId="0">
      <selection activeCell="W3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126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7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117</v>
      </c>
      <c r="D9" s="220" t="s">
        <v>267</v>
      </c>
      <c r="E9" s="221" t="s">
        <v>235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304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199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200</v>
      </c>
      <c r="C12" s="177" t="s">
        <v>117</v>
      </c>
      <c r="D12" s="190" t="s">
        <v>198</v>
      </c>
      <c r="E12" s="179" t="s">
        <v>276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10239</v>
      </c>
      <c r="I13" s="100">
        <f>SUM(I14:I16)</f>
        <v>0</v>
      </c>
      <c r="J13" s="100">
        <f>SUM(J14:J16)</f>
        <v>10239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943.4</v>
      </c>
      <c r="W13" s="100">
        <f>SUM(W14:W16)</f>
        <v>943.4</v>
      </c>
      <c r="X13" s="100">
        <f>SUM(X14:X16)</f>
        <v>9295.6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30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0</v>
      </c>
      <c r="I15" s="183">
        <v>0</v>
      </c>
      <c r="J15" s="184">
        <f>SUM(H15:I15)</f>
        <v>0</v>
      </c>
      <c r="K15" s="185">
        <f>IF(H15/15&lt;=SMG,0,I15/2)</f>
        <v>0</v>
      </c>
      <c r="L15" s="185">
        <f t="shared" ref="L15" si="16">H15+K15</f>
        <v>0</v>
      </c>
      <c r="M15" s="185" t="e">
        <f>VLOOKUP(L15,Tarifa1,1)</f>
        <v>#N/A</v>
      </c>
      <c r="N15" s="185" t="e">
        <f t="shared" ref="N15" si="17">L15-M15</f>
        <v>#N/A</v>
      </c>
      <c r="O15" s="186" t="e">
        <f>VLOOKUP(L15,Tarifa1,3)</f>
        <v>#N/A</v>
      </c>
      <c r="P15" s="185" t="e">
        <f t="shared" ref="P15" si="18">N15*O15</f>
        <v>#N/A</v>
      </c>
      <c r="Q15" s="187" t="e">
        <f>VLOOKUP(L15,Tarifa1,2)</f>
        <v>#N/A</v>
      </c>
      <c r="R15" s="185" t="e">
        <f t="shared" ref="R15" si="19">P15+Q15</f>
        <v>#N/A</v>
      </c>
      <c r="S15" s="188" t="e">
        <f>VLOOKUP(L15,Credito1,2)</f>
        <v>#N/A</v>
      </c>
      <c r="T15" s="185" t="e">
        <f t="shared" ref="T15" si="20">ROUND(R15-S15,2)</f>
        <v>#N/A</v>
      </c>
      <c r="U15" s="184">
        <v>0</v>
      </c>
      <c r="V15" s="193">
        <v>0</v>
      </c>
      <c r="W15" s="184">
        <f>SUM(V15:V15)</f>
        <v>0</v>
      </c>
      <c r="X15" s="184">
        <f>J15+U15-W15</f>
        <v>0</v>
      </c>
      <c r="Y15" s="117" t="s">
        <v>320</v>
      </c>
      <c r="AE15" s="64"/>
    </row>
    <row r="16" spans="1:31" s="51" customFormat="1" ht="84.95" customHeight="1" x14ac:dyDescent="0.25">
      <c r="A16" s="45"/>
      <c r="B16" s="176" t="s">
        <v>204</v>
      </c>
      <c r="C16" s="177" t="s">
        <v>159</v>
      </c>
      <c r="D16" s="190" t="s">
        <v>201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1.7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21">SUM(H18:I18)</f>
        <v>7246.5</v>
      </c>
      <c r="K18" s="185">
        <f>IF(H18/15&lt;=SMG,0,I18/2)</f>
        <v>0</v>
      </c>
      <c r="L18" s="185">
        <f t="shared" ref="L18:L22" si="22">H18+K18</f>
        <v>7246.5</v>
      </c>
      <c r="M18" s="185">
        <f>VLOOKUP(L18,Tarifa1,1)</f>
        <v>6602.71</v>
      </c>
      <c r="N18" s="185">
        <f t="shared" ref="N18:N22" si="23">L18-M18</f>
        <v>643.79</v>
      </c>
      <c r="O18" s="186">
        <f>VLOOKUP(L18,Tarifa1,3)</f>
        <v>0.21360000000000001</v>
      </c>
      <c r="P18" s="185">
        <f t="shared" ref="P18:P22" si="24">N18*O18</f>
        <v>137.513544</v>
      </c>
      <c r="Q18" s="187">
        <f>VLOOKUP(L18,Tarifa1,2)</f>
        <v>699.3</v>
      </c>
      <c r="R18" s="185">
        <f t="shared" ref="R18:R22" si="25">P18+Q18</f>
        <v>836.81354399999998</v>
      </c>
      <c r="S18" s="188">
        <f>VLOOKUP(L18,Credito1,2)</f>
        <v>0</v>
      </c>
      <c r="T18" s="185">
        <f t="shared" ref="T18:T22" si="26">ROUND(R18-S18,2)</f>
        <v>836.81</v>
      </c>
      <c r="U18" s="184">
        <f t="shared" ref="U18" si="27">-IF(T18&gt;0,0,T18)</f>
        <v>0</v>
      </c>
      <c r="V18" s="184">
        <f t="shared" ref="V18" si="28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22"/>
        <v>5222</v>
      </c>
      <c r="M19" s="185">
        <f>VLOOKUP(L19,Tarifa1,1)</f>
        <v>4744.0600000000004</v>
      </c>
      <c r="N19" s="185">
        <f t="shared" si="23"/>
        <v>477.9399999999996</v>
      </c>
      <c r="O19" s="186">
        <f>VLOOKUP(L19,Tarifa1,3)</f>
        <v>0.16</v>
      </c>
      <c r="P19" s="185">
        <f t="shared" si="24"/>
        <v>76.470399999999941</v>
      </c>
      <c r="Q19" s="187">
        <f>VLOOKUP(L19,Tarifa1,2)</f>
        <v>381</v>
      </c>
      <c r="R19" s="185">
        <f t="shared" si="25"/>
        <v>457.47039999999993</v>
      </c>
      <c r="S19" s="188">
        <f>VLOOKUP(L19,Credito1,2)</f>
        <v>0</v>
      </c>
      <c r="T19" s="185">
        <f t="shared" si="26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193</v>
      </c>
      <c r="C20" s="177" t="s">
        <v>117</v>
      </c>
      <c r="D20" s="200" t="s">
        <v>190</v>
      </c>
      <c r="E20" s="179" t="s">
        <v>191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22"/>
        <v>3869</v>
      </c>
      <c r="M20" s="185">
        <f>VLOOKUP(L20,Tarifa1,1)</f>
        <v>2699.41</v>
      </c>
      <c r="N20" s="185">
        <f t="shared" si="23"/>
        <v>1169.5900000000001</v>
      </c>
      <c r="O20" s="186">
        <f>VLOOKUP(L20,Tarifa1,3)</f>
        <v>0.10879999999999999</v>
      </c>
      <c r="P20" s="185">
        <f t="shared" si="24"/>
        <v>127.25139200000001</v>
      </c>
      <c r="Q20" s="187">
        <f>VLOOKUP(L20,Tarifa1,2)</f>
        <v>158.55000000000001</v>
      </c>
      <c r="R20" s="185">
        <f t="shared" si="25"/>
        <v>285.80139200000002</v>
      </c>
      <c r="S20" s="188">
        <f>VLOOKUP(L20,Credito1,2)</f>
        <v>0</v>
      </c>
      <c r="T20" s="185">
        <f t="shared" si="26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60" customHeight="1" x14ac:dyDescent="0.25">
      <c r="A21" s="45"/>
      <c r="B21" s="103" t="s">
        <v>103</v>
      </c>
      <c r="C21" s="103" t="s">
        <v>126</v>
      </c>
      <c r="D21" s="37" t="s">
        <v>319</v>
      </c>
      <c r="E21" s="37" t="s">
        <v>62</v>
      </c>
      <c r="F21" s="37"/>
      <c r="G21" s="37"/>
      <c r="H21" s="100">
        <f>SUM(H22:H24)</f>
        <v>6808.5</v>
      </c>
      <c r="I21" s="100">
        <f>SUM(I22:I24)</f>
        <v>0</v>
      </c>
      <c r="J21" s="100">
        <f>SUM(J22:J24)</f>
        <v>6808.5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SUM(U22:U24)</f>
        <v>0</v>
      </c>
      <c r="V21" s="100">
        <f>SUM(V22:V24)</f>
        <v>743.26</v>
      </c>
      <c r="W21" s="100">
        <f>SUM(W22:W24)</f>
        <v>743.26</v>
      </c>
      <c r="X21" s="100">
        <f>SUM(X22:X24)</f>
        <v>6065.24</v>
      </c>
      <c r="Y21" s="102"/>
      <c r="AE21" s="64"/>
    </row>
    <row r="22" spans="1:31" s="51" customFormat="1" ht="84.95" customHeight="1" x14ac:dyDescent="0.25">
      <c r="A22" s="45"/>
      <c r="B22" s="176" t="s">
        <v>316</v>
      </c>
      <c r="C22" s="177" t="s">
        <v>117</v>
      </c>
      <c r="D22" s="203" t="s">
        <v>317</v>
      </c>
      <c r="E22" s="179" t="s">
        <v>318</v>
      </c>
      <c r="F22" s="180"/>
      <c r="G22" s="181"/>
      <c r="H22" s="182">
        <v>6808.5</v>
      </c>
      <c r="I22" s="183">
        <v>0</v>
      </c>
      <c r="J22" s="184">
        <f>SUM(H22:I22)</f>
        <v>6808.5</v>
      </c>
      <c r="K22" s="185">
        <f>IF(H22/15&lt;=SMG,0,I22/2)</f>
        <v>0</v>
      </c>
      <c r="L22" s="185">
        <f t="shared" si="22"/>
        <v>6808.5</v>
      </c>
      <c r="M22" s="185">
        <f>VLOOKUP(L22,Tarifa1,1)</f>
        <v>6602.71</v>
      </c>
      <c r="N22" s="185">
        <f t="shared" si="23"/>
        <v>205.78999999999996</v>
      </c>
      <c r="O22" s="186">
        <f>VLOOKUP(L22,Tarifa1,3)</f>
        <v>0.21360000000000001</v>
      </c>
      <c r="P22" s="185">
        <f t="shared" si="24"/>
        <v>43.956743999999993</v>
      </c>
      <c r="Q22" s="187">
        <f>VLOOKUP(L22,Tarifa1,2)</f>
        <v>699.3</v>
      </c>
      <c r="R22" s="185">
        <f t="shared" si="25"/>
        <v>743.25674399999991</v>
      </c>
      <c r="S22" s="188">
        <f>VLOOKUP(L22,Credito1,2)</f>
        <v>0</v>
      </c>
      <c r="T22" s="185">
        <f t="shared" si="26"/>
        <v>743.26</v>
      </c>
      <c r="U22" s="184">
        <f>-IF(T22&gt;0,0,T22)</f>
        <v>0</v>
      </c>
      <c r="V22" s="184">
        <f>IF(T22&lt;0,0,T22)</f>
        <v>743.26</v>
      </c>
      <c r="W22" s="184">
        <f>SUM(V22:V22)</f>
        <v>743.26</v>
      </c>
      <c r="X22" s="184">
        <f>J22+U22-W22</f>
        <v>6065.24</v>
      </c>
      <c r="Y22" s="93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4" customHeight="1" x14ac:dyDescent="0.25">
      <c r="A24" s="45"/>
      <c r="B24" s="249"/>
      <c r="C24" s="232"/>
      <c r="D24" s="250"/>
      <c r="E24" s="238"/>
      <c r="F24" s="239"/>
      <c r="G24" s="240"/>
      <c r="H24" s="241"/>
      <c r="I24" s="242"/>
      <c r="J24" s="243"/>
      <c r="K24" s="244"/>
      <c r="L24" s="244"/>
      <c r="M24" s="244"/>
      <c r="N24" s="244"/>
      <c r="O24" s="245"/>
      <c r="P24" s="244"/>
      <c r="Q24" s="246"/>
      <c r="R24" s="244"/>
      <c r="S24" s="247"/>
      <c r="T24" s="244"/>
      <c r="U24" s="243"/>
      <c r="V24" s="251"/>
      <c r="W24" s="243"/>
      <c r="X24" s="243"/>
      <c r="Y24" s="94"/>
      <c r="AE24" s="64"/>
    </row>
    <row r="25" spans="1:31" s="51" customFormat="1" ht="26.25" customHeight="1" x14ac:dyDescent="0.25">
      <c r="A25" s="45"/>
      <c r="B25" s="276" t="s">
        <v>80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E25" s="64"/>
    </row>
    <row r="26" spans="1:31" s="51" customFormat="1" ht="21.75" customHeight="1" x14ac:dyDescent="0.25">
      <c r="A26" s="45"/>
      <c r="B26" s="276" t="s">
        <v>65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E26" s="64"/>
    </row>
    <row r="27" spans="1:31" s="51" customFormat="1" ht="25.5" customHeight="1" x14ac:dyDescent="0.25">
      <c r="A27" s="45"/>
      <c r="B27" s="267" t="s">
        <v>324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E27" s="64"/>
    </row>
    <row r="28" spans="1:31" s="51" customFormat="1" ht="29.25" customHeight="1" x14ac:dyDescent="0.25">
      <c r="A28" s="248"/>
      <c r="B28" s="249"/>
      <c r="C28" s="232"/>
      <c r="D28" s="250"/>
      <c r="E28" s="238"/>
      <c r="F28" s="239"/>
      <c r="G28" s="240"/>
      <c r="H28" s="241"/>
      <c r="I28" s="242"/>
      <c r="J28" s="243"/>
      <c r="K28" s="244"/>
      <c r="L28" s="244"/>
      <c r="M28" s="244"/>
      <c r="N28" s="244"/>
      <c r="O28" s="245"/>
      <c r="P28" s="244"/>
      <c r="Q28" s="246"/>
      <c r="R28" s="244"/>
      <c r="S28" s="247"/>
      <c r="T28" s="244"/>
      <c r="U28" s="243"/>
      <c r="V28" s="251"/>
      <c r="W28" s="243"/>
      <c r="X28" s="243"/>
      <c r="Y28" s="94"/>
      <c r="AE28" s="64"/>
    </row>
    <row r="29" spans="1:31" s="51" customFormat="1" ht="84.95" customHeight="1" x14ac:dyDescent="0.25">
      <c r="A29" s="45"/>
      <c r="B29" s="103" t="s">
        <v>103</v>
      </c>
      <c r="C29" s="103" t="s">
        <v>126</v>
      </c>
      <c r="D29" s="103" t="s">
        <v>131</v>
      </c>
      <c r="E29" s="37" t="s">
        <v>62</v>
      </c>
      <c r="F29" s="37"/>
      <c r="G29" s="37"/>
      <c r="H29" s="100">
        <f>SUM(H30)</f>
        <v>4799</v>
      </c>
      <c r="I29" s="100">
        <f>SUM(I30)</f>
        <v>0</v>
      </c>
      <c r="J29" s="100">
        <f>SUM(J30)</f>
        <v>4799</v>
      </c>
      <c r="K29" s="37"/>
      <c r="L29" s="37"/>
      <c r="M29" s="37"/>
      <c r="N29" s="37"/>
      <c r="O29" s="37"/>
      <c r="P29" s="37"/>
      <c r="Q29" s="101"/>
      <c r="R29" s="37"/>
      <c r="S29" s="37"/>
      <c r="T29" s="37"/>
      <c r="U29" s="100">
        <f>SUM(U30)</f>
        <v>0</v>
      </c>
      <c r="V29" s="100">
        <f>SUM(V30)</f>
        <v>389.79</v>
      </c>
      <c r="W29" s="100">
        <f>SUM(W30)</f>
        <v>389.79</v>
      </c>
      <c r="X29" s="100">
        <f>SUM(X30)</f>
        <v>4409.21</v>
      </c>
      <c r="Y29" s="102"/>
      <c r="AE29" s="64"/>
    </row>
    <row r="30" spans="1:31" s="51" customFormat="1" ht="84.95" customHeight="1" x14ac:dyDescent="0.25">
      <c r="A30" s="45" t="s">
        <v>91</v>
      </c>
      <c r="B30" s="176" t="s">
        <v>165</v>
      </c>
      <c r="C30" s="177" t="s">
        <v>117</v>
      </c>
      <c r="D30" s="179" t="s">
        <v>231</v>
      </c>
      <c r="E30" s="179" t="s">
        <v>102</v>
      </c>
      <c r="F30" s="180">
        <v>15</v>
      </c>
      <c r="G30" s="181">
        <f t="shared" si="10"/>
        <v>319.93333333333334</v>
      </c>
      <c r="H30" s="182">
        <v>4799</v>
      </c>
      <c r="I30" s="183">
        <v>0</v>
      </c>
      <c r="J30" s="184">
        <f>SUM(H30:I30)</f>
        <v>4799</v>
      </c>
      <c r="K30" s="185">
        <f>IF(H30/15&lt;=SMG,0,I30/2)</f>
        <v>0</v>
      </c>
      <c r="L30" s="185">
        <f t="shared" ref="L30" si="29">H30+K30</f>
        <v>4799</v>
      </c>
      <c r="M30" s="185">
        <f>VLOOKUP(L30,Tarifa1,1)</f>
        <v>4744.0600000000004</v>
      </c>
      <c r="N30" s="185">
        <f t="shared" ref="N30" si="30">L30-M30</f>
        <v>54.9399999999996</v>
      </c>
      <c r="O30" s="186">
        <f>VLOOKUP(L30,Tarifa1,3)</f>
        <v>0.16</v>
      </c>
      <c r="P30" s="185">
        <f t="shared" ref="P30" si="31">N30*O30</f>
        <v>8.790399999999936</v>
      </c>
      <c r="Q30" s="187">
        <f>VLOOKUP(L30,Tarifa1,2)</f>
        <v>381</v>
      </c>
      <c r="R30" s="185">
        <f t="shared" ref="R30" si="32">P30+Q30</f>
        <v>389.79039999999992</v>
      </c>
      <c r="S30" s="188">
        <f>VLOOKUP(L30,Credito1,2)</f>
        <v>0</v>
      </c>
      <c r="T30" s="185">
        <f t="shared" ref="T30" si="33">ROUND(R30-S30,2)</f>
        <v>389.79</v>
      </c>
      <c r="U30" s="184">
        <f>-IF(T30&gt;0,0,T30)</f>
        <v>0</v>
      </c>
      <c r="V30" s="184">
        <f>IF(T30&lt;0,0,T30)</f>
        <v>389.79</v>
      </c>
      <c r="W30" s="184">
        <f>SUM(V30:V30)</f>
        <v>389.79</v>
      </c>
      <c r="X30" s="184">
        <f>J30+U30-W30</f>
        <v>4409.21</v>
      </c>
      <c r="Y30" s="93"/>
      <c r="AE30" s="64"/>
    </row>
    <row r="31" spans="1:31" s="51" customFormat="1" ht="84.95" customHeight="1" x14ac:dyDescent="0.25">
      <c r="A31" s="45"/>
      <c r="B31" s="103" t="s">
        <v>103</v>
      </c>
      <c r="C31" s="103" t="s">
        <v>126</v>
      </c>
      <c r="D31" s="103" t="s">
        <v>305</v>
      </c>
      <c r="E31" s="37" t="s">
        <v>62</v>
      </c>
      <c r="F31" s="37"/>
      <c r="G31" s="37"/>
      <c r="H31" s="100">
        <f>SUM(H32)</f>
        <v>4896.5</v>
      </c>
      <c r="I31" s="100">
        <f>SUM(I32)</f>
        <v>0</v>
      </c>
      <c r="J31" s="100">
        <f>SUM(J32)</f>
        <v>4896.5</v>
      </c>
      <c r="K31" s="37"/>
      <c r="L31" s="37"/>
      <c r="M31" s="37"/>
      <c r="N31" s="37"/>
      <c r="O31" s="37"/>
      <c r="P31" s="37"/>
      <c r="Q31" s="101"/>
      <c r="R31" s="37"/>
      <c r="S31" s="37"/>
      <c r="T31" s="37"/>
      <c r="U31" s="100">
        <f>SUM(U32)</f>
        <v>0</v>
      </c>
      <c r="V31" s="100">
        <f>SUM(V32)</f>
        <v>405.39</v>
      </c>
      <c r="W31" s="100">
        <f>SUM(W32)</f>
        <v>405.39</v>
      </c>
      <c r="X31" s="100">
        <f>SUM(X32)</f>
        <v>4491.1099999999997</v>
      </c>
      <c r="Y31" s="102"/>
      <c r="AE31" s="64"/>
    </row>
    <row r="32" spans="1:31" s="51" customFormat="1" ht="84.95" customHeight="1" x14ac:dyDescent="0.25">
      <c r="A32" s="45"/>
      <c r="B32" s="177" t="s">
        <v>110</v>
      </c>
      <c r="C32" s="177" t="s">
        <v>117</v>
      </c>
      <c r="D32" s="179" t="s">
        <v>100</v>
      </c>
      <c r="E32" s="179" t="s">
        <v>309</v>
      </c>
      <c r="F32" s="180">
        <v>15</v>
      </c>
      <c r="G32" s="181">
        <v>305.35000000000002</v>
      </c>
      <c r="H32" s="182">
        <v>4896.5</v>
      </c>
      <c r="I32" s="183">
        <v>0</v>
      </c>
      <c r="J32" s="184">
        <f>SUM(H32:I32)</f>
        <v>4896.5</v>
      </c>
      <c r="K32" s="185">
        <f>IF(H32/15&lt;=SMG,0,I32/2)</f>
        <v>0</v>
      </c>
      <c r="L32" s="185">
        <f t="shared" ref="L32" si="34">H32+K32</f>
        <v>4896.5</v>
      </c>
      <c r="M32" s="185">
        <f>VLOOKUP(L32,Tarifa1,1)</f>
        <v>4744.0600000000004</v>
      </c>
      <c r="N32" s="185">
        <f t="shared" ref="N32" si="35">L32-M32</f>
        <v>152.4399999999996</v>
      </c>
      <c r="O32" s="186">
        <f>VLOOKUP(L32,Tarifa1,3)</f>
        <v>0.16</v>
      </c>
      <c r="P32" s="185">
        <f t="shared" ref="P32" si="36">N32*O32</f>
        <v>24.390399999999936</v>
      </c>
      <c r="Q32" s="187">
        <f>VLOOKUP(L32,Tarifa1,2)</f>
        <v>381</v>
      </c>
      <c r="R32" s="185">
        <f t="shared" ref="R32" si="37">P32+Q32</f>
        <v>405.39039999999994</v>
      </c>
      <c r="S32" s="185">
        <f>VLOOKUP(L32,Credito1,2)</f>
        <v>0</v>
      </c>
      <c r="T32" s="185">
        <f t="shared" ref="T32" si="38">ROUND(R32-S32,2)</f>
        <v>405.39</v>
      </c>
      <c r="U32" s="184">
        <f>-IF(T32&gt;0,0,T32)</f>
        <v>0</v>
      </c>
      <c r="V32" s="184">
        <f>IF(T32&lt;0,0,T32)</f>
        <v>405.39</v>
      </c>
      <c r="W32" s="184">
        <f>SUM(V32:V32)</f>
        <v>405.39</v>
      </c>
      <c r="X32" s="184">
        <f>J32+U32-W32</f>
        <v>4491.1099999999997</v>
      </c>
      <c r="Y32" s="93"/>
      <c r="AE32" s="64"/>
    </row>
    <row r="33" spans="1:25" s="51" customFormat="1" ht="84.95" customHeight="1" x14ac:dyDescent="0.25">
      <c r="A33" s="104"/>
      <c r="B33" s="103" t="s">
        <v>103</v>
      </c>
      <c r="C33" s="103" t="s">
        <v>126</v>
      </c>
      <c r="D33" s="37" t="s">
        <v>151</v>
      </c>
      <c r="E33" s="37" t="s">
        <v>62</v>
      </c>
      <c r="F33" s="37"/>
      <c r="G33" s="37"/>
      <c r="H33" s="100">
        <f>SUM(H34)</f>
        <v>6808.5</v>
      </c>
      <c r="I33" s="100">
        <f>SUM(I34)</f>
        <v>0</v>
      </c>
      <c r="J33" s="100">
        <f>SUM(J34)</f>
        <v>6808.5</v>
      </c>
      <c r="K33" s="37"/>
      <c r="L33" s="37"/>
      <c r="M33" s="37"/>
      <c r="N33" s="37"/>
      <c r="O33" s="37"/>
      <c r="P33" s="37"/>
      <c r="Q33" s="101"/>
      <c r="R33" s="37"/>
      <c r="S33" s="37"/>
      <c r="T33" s="37"/>
      <c r="U33" s="100">
        <f>SUM(U34)</f>
        <v>0</v>
      </c>
      <c r="V33" s="100">
        <f>SUM(V34)</f>
        <v>743.26</v>
      </c>
      <c r="W33" s="100">
        <f>SUM(W34)</f>
        <v>743.26</v>
      </c>
      <c r="X33" s="100">
        <f>SUM(X34)</f>
        <v>6065.24</v>
      </c>
      <c r="Y33" s="102"/>
    </row>
    <row r="34" spans="1:25" s="51" customFormat="1" ht="84.95" customHeight="1" x14ac:dyDescent="0.25">
      <c r="A34" s="104"/>
      <c r="B34" s="176" t="s">
        <v>164</v>
      </c>
      <c r="C34" s="177" t="s">
        <v>117</v>
      </c>
      <c r="D34" s="178" t="s">
        <v>154</v>
      </c>
      <c r="E34" s="179" t="s">
        <v>155</v>
      </c>
      <c r="F34" s="180">
        <v>15</v>
      </c>
      <c r="G34" s="181">
        <f>H34/F34</f>
        <v>453.9</v>
      </c>
      <c r="H34" s="182">
        <v>6808.5</v>
      </c>
      <c r="I34" s="183">
        <v>0</v>
      </c>
      <c r="J34" s="184">
        <f>SUM(H34:I34)</f>
        <v>6808.5</v>
      </c>
      <c r="K34" s="185">
        <f>IF(H34/15&lt;=SMG,0,I34/2)</f>
        <v>0</v>
      </c>
      <c r="L34" s="185">
        <f t="shared" ref="L34" si="39">H34+K34</f>
        <v>6808.5</v>
      </c>
      <c r="M34" s="185">
        <f>VLOOKUP(L34,Tarifa1,1)</f>
        <v>6602.71</v>
      </c>
      <c r="N34" s="185">
        <f t="shared" ref="N34" si="40">L34-M34</f>
        <v>205.78999999999996</v>
      </c>
      <c r="O34" s="186">
        <f>VLOOKUP(L34,Tarifa1,3)</f>
        <v>0.21360000000000001</v>
      </c>
      <c r="P34" s="185">
        <f t="shared" ref="P34" si="41">N34*O34</f>
        <v>43.956743999999993</v>
      </c>
      <c r="Q34" s="187">
        <f>VLOOKUP(L34,Tarifa1,2)</f>
        <v>699.3</v>
      </c>
      <c r="R34" s="185">
        <f t="shared" ref="R34" si="42">P34+Q34</f>
        <v>743.25674399999991</v>
      </c>
      <c r="S34" s="188">
        <f>VLOOKUP(L34,Credito1,2)</f>
        <v>0</v>
      </c>
      <c r="T34" s="185">
        <f t="shared" ref="T34" si="43">ROUND(R34-S34,2)</f>
        <v>743.26</v>
      </c>
      <c r="U34" s="184">
        <f>-IF(T34&gt;0,0,T34)</f>
        <v>0</v>
      </c>
      <c r="V34" s="184">
        <f>IF(T34&lt;0,0,T34)</f>
        <v>743.26</v>
      </c>
      <c r="W34" s="184">
        <f>SUM(V34:V34)</f>
        <v>743.26</v>
      </c>
      <c r="X34" s="184">
        <f>J34+U34-W34</f>
        <v>6065.24</v>
      </c>
      <c r="Y34" s="93"/>
    </row>
    <row r="35" spans="1:25" s="51" customFormat="1" ht="15" x14ac:dyDescent="0.25">
      <c r="A35" s="104"/>
      <c r="B35" s="104"/>
      <c r="C35" s="104"/>
      <c r="D35" s="104"/>
      <c r="E35" s="104"/>
      <c r="F35" s="104"/>
      <c r="G35" s="104"/>
      <c r="H35" s="105"/>
      <c r="I35" s="105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93"/>
    </row>
    <row r="36" spans="1:25" s="51" customFormat="1" ht="39" customHeight="1" x14ac:dyDescent="0.25">
      <c r="A36" s="296" t="s">
        <v>45</v>
      </c>
      <c r="B36" s="296"/>
      <c r="C36" s="296"/>
      <c r="D36" s="296"/>
      <c r="E36" s="296"/>
      <c r="F36" s="296"/>
      <c r="G36" s="296"/>
      <c r="H36" s="224">
        <f>H8+H11+H13+H17+H29+H33+H31+H21</f>
        <v>63506</v>
      </c>
      <c r="I36" s="224">
        <f>I8+I11+I13+I17+I29+I33+I31+I21</f>
        <v>0</v>
      </c>
      <c r="J36" s="224">
        <f>J8+J11+J13+J17+J29+J33+J31+J21</f>
        <v>63506</v>
      </c>
      <c r="K36" s="225">
        <f t="shared" ref="K36:T36" si="44">SUM(K11:K35)</f>
        <v>0</v>
      </c>
      <c r="L36" s="225">
        <f t="shared" si="44"/>
        <v>56697.5</v>
      </c>
      <c r="M36" s="225" t="e">
        <f t="shared" si="44"/>
        <v>#N/A</v>
      </c>
      <c r="N36" s="225" t="e">
        <f t="shared" si="44"/>
        <v>#N/A</v>
      </c>
      <c r="O36" s="225" t="e">
        <f t="shared" si="44"/>
        <v>#N/A</v>
      </c>
      <c r="P36" s="225" t="e">
        <f t="shared" si="44"/>
        <v>#N/A</v>
      </c>
      <c r="Q36" s="225" t="e">
        <f t="shared" si="44"/>
        <v>#N/A</v>
      </c>
      <c r="R36" s="225" t="e">
        <f t="shared" si="44"/>
        <v>#N/A</v>
      </c>
      <c r="S36" s="225" t="e">
        <f t="shared" si="44"/>
        <v>#N/A</v>
      </c>
      <c r="T36" s="225" t="e">
        <f t="shared" si="44"/>
        <v>#N/A</v>
      </c>
      <c r="U36" s="224">
        <f>U8+U11+U13+U17+U29+U33+U31+U21</f>
        <v>0</v>
      </c>
      <c r="V36" s="224">
        <f>V8+V11+V13+V17+V29+V33+V31+V21</f>
        <v>6291.7000000000007</v>
      </c>
      <c r="W36" s="224">
        <f>W8+W11+W13+W17+W29+W33+W31+W21</f>
        <v>6291.7000000000007</v>
      </c>
      <c r="X36" s="224">
        <f>X8+X11+X13+X17+X29+X33+X31+X21</f>
        <v>57214.299999999996</v>
      </c>
      <c r="Y36" s="93"/>
    </row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233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234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234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5" workbookViewId="0">
      <selection activeCell="V15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9"/>
      <c r="J6" s="24" t="s">
        <v>26</v>
      </c>
      <c r="K6" s="25"/>
      <c r="L6" s="280" t="s">
        <v>9</v>
      </c>
      <c r="M6" s="281"/>
      <c r="N6" s="281"/>
      <c r="O6" s="281"/>
      <c r="P6" s="281"/>
      <c r="Q6" s="282"/>
      <c r="R6" s="24" t="s">
        <v>30</v>
      </c>
      <c r="S6" s="24" t="s">
        <v>10</v>
      </c>
      <c r="T6" s="23" t="s">
        <v>54</v>
      </c>
      <c r="U6" s="283" t="s">
        <v>2</v>
      </c>
      <c r="V6" s="284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260</v>
      </c>
      <c r="C10" s="177" t="s">
        <v>117</v>
      </c>
      <c r="D10" s="179" t="s">
        <v>243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241</v>
      </c>
      <c r="C11" s="177" t="s">
        <v>117</v>
      </c>
      <c r="D11" s="179" t="s">
        <v>244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242</v>
      </c>
      <c r="C12" s="177" t="s">
        <v>117</v>
      </c>
      <c r="D12" s="179" t="s">
        <v>245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261</v>
      </c>
      <c r="C13" s="177" t="s">
        <v>117</v>
      </c>
      <c r="D13" s="178" t="s">
        <v>246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262</v>
      </c>
      <c r="C14" s="177" t="s">
        <v>117</v>
      </c>
      <c r="D14" s="203" t="s">
        <v>247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263</v>
      </c>
      <c r="C15" s="177" t="s">
        <v>117</v>
      </c>
      <c r="D15" s="179" t="s">
        <v>248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249</v>
      </c>
      <c r="C16" s="177" t="s">
        <v>117</v>
      </c>
      <c r="D16" s="179" t="s">
        <v>250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264</v>
      </c>
      <c r="C17" s="177" t="s">
        <v>117</v>
      </c>
      <c r="D17" s="179" t="s">
        <v>251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265</v>
      </c>
      <c r="C18" s="177" t="s">
        <v>117</v>
      </c>
      <c r="D18" s="178" t="s">
        <v>272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3" t="s">
        <v>45</v>
      </c>
      <c r="B20" s="264"/>
      <c r="C20" s="264"/>
      <c r="D20" s="264"/>
      <c r="E20" s="264"/>
      <c r="F20" s="264"/>
      <c r="G20" s="265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2022-11-15T18:14:27Z</cp:lastPrinted>
  <dcterms:created xsi:type="dcterms:W3CDTF">2000-05-05T04:08:27Z</dcterms:created>
  <dcterms:modified xsi:type="dcterms:W3CDTF">2023-09-14T20:51:52Z</dcterms:modified>
</cp:coreProperties>
</file>