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1\"/>
    </mc:Choice>
  </mc:AlternateContent>
  <xr:revisionPtr revIDLastSave="0" documentId="13_ncr:1_{772DF59F-60FF-4529-A021-AF359AD8DC77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SINDICO!$1:$31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121" l="1"/>
  <c r="L16" i="121" s="1"/>
  <c r="J16" i="121"/>
  <c r="S16" i="121" l="1"/>
  <c r="O16" i="121"/>
  <c r="Q16" i="121"/>
  <c r="M16" i="121"/>
  <c r="N16" i="121" s="1"/>
  <c r="K17" i="121"/>
  <c r="L17" i="121" s="1"/>
  <c r="J17" i="121"/>
  <c r="K14" i="132"/>
  <c r="L14" i="132" s="1"/>
  <c r="J14" i="132"/>
  <c r="K15" i="121"/>
  <c r="L15" i="121" s="1"/>
  <c r="J15" i="121"/>
  <c r="K33" i="121"/>
  <c r="L33" i="121" s="1"/>
  <c r="J33" i="121"/>
  <c r="J32" i="121" s="1"/>
  <c r="G33" i="121"/>
  <c r="I32" i="121"/>
  <c r="H32" i="121"/>
  <c r="K31" i="121"/>
  <c r="L31" i="121" s="1"/>
  <c r="J31" i="121"/>
  <c r="J30" i="121" s="1"/>
  <c r="G31" i="121"/>
  <c r="I30" i="121"/>
  <c r="H30" i="121"/>
  <c r="K22" i="119"/>
  <c r="L22" i="119" s="1"/>
  <c r="J22" i="119"/>
  <c r="W21" i="119"/>
  <c r="I21" i="119"/>
  <c r="H21" i="119"/>
  <c r="P16" i="121" l="1"/>
  <c r="R16" i="121" s="1"/>
  <c r="T16" i="121" s="1"/>
  <c r="U16" i="121" s="1"/>
  <c r="V16" i="121"/>
  <c r="W16" i="121" s="1"/>
  <c r="Q17" i="121"/>
  <c r="M17" i="121"/>
  <c r="N17" i="121" s="1"/>
  <c r="S17" i="121"/>
  <c r="O17" i="121"/>
  <c r="Q14" i="132"/>
  <c r="M14" i="132"/>
  <c r="N14" i="132" s="1"/>
  <c r="S14" i="132"/>
  <c r="O14" i="132"/>
  <c r="S15" i="121"/>
  <c r="O15" i="121"/>
  <c r="Q15" i="121"/>
  <c r="M15" i="121"/>
  <c r="N15" i="121" s="1"/>
  <c r="K30" i="121"/>
  <c r="S31" i="121"/>
  <c r="S30" i="121" s="1"/>
  <c r="O31" i="121"/>
  <c r="O30" i="121" s="1"/>
  <c r="L30" i="121"/>
  <c r="Q31" i="121"/>
  <c r="M31" i="121"/>
  <c r="M30" i="121" s="1"/>
  <c r="S33" i="121"/>
  <c r="O33" i="121"/>
  <c r="Q33" i="121"/>
  <c r="M33" i="121"/>
  <c r="N33" i="121" s="1"/>
  <c r="S22" i="119"/>
  <c r="O22" i="119"/>
  <c r="N22" i="119"/>
  <c r="Q22" i="119"/>
  <c r="M22" i="119"/>
  <c r="J21" i="119"/>
  <c r="X16" i="121" l="1"/>
  <c r="P17" i="121"/>
  <c r="R17" i="121" s="1"/>
  <c r="T17" i="121" s="1"/>
  <c r="V17" i="121" s="1"/>
  <c r="W17" i="121" s="1"/>
  <c r="P14" i="132"/>
  <c r="R14" i="132" s="1"/>
  <c r="T14" i="132" s="1"/>
  <c r="V14" i="132" s="1"/>
  <c r="W14" i="132" s="1"/>
  <c r="P15" i="121"/>
  <c r="R15" i="121" s="1"/>
  <c r="T15" i="121" s="1"/>
  <c r="P33" i="121"/>
  <c r="R33" i="121" s="1"/>
  <c r="T33" i="121" s="1"/>
  <c r="V33" i="121" s="1"/>
  <c r="Q30" i="121"/>
  <c r="N31" i="121"/>
  <c r="P22" i="119"/>
  <c r="R22" i="119" s="1"/>
  <c r="T22" i="119" s="1"/>
  <c r="V22" i="119" s="1"/>
  <c r="U17" i="121" l="1"/>
  <c r="X17" i="121" s="1"/>
  <c r="U14" i="132"/>
  <c r="X14" i="132" s="1"/>
  <c r="V15" i="121"/>
  <c r="W15" i="121" s="1"/>
  <c r="U15" i="121"/>
  <c r="U33" i="121"/>
  <c r="U32" i="121" s="1"/>
  <c r="W33" i="121"/>
  <c r="W32" i="121" s="1"/>
  <c r="V32" i="121"/>
  <c r="N30" i="121"/>
  <c r="P31" i="121"/>
  <c r="U22" i="119"/>
  <c r="U21" i="119"/>
  <c r="X22" i="119"/>
  <c r="X21" i="119" s="1"/>
  <c r="V21" i="119"/>
  <c r="X15" i="121" l="1"/>
  <c r="X33" i="121"/>
  <c r="X32" i="121" s="1"/>
  <c r="P30" i="121"/>
  <c r="R31" i="121"/>
  <c r="Y22" i="119"/>
  <c r="Y21" i="119" s="1"/>
  <c r="R30" i="121" l="1"/>
  <c r="T31" i="121"/>
  <c r="T30" i="121" l="1"/>
  <c r="V31" i="121"/>
  <c r="U31" i="121"/>
  <c r="U30" i="121" l="1"/>
  <c r="W31" i="121"/>
  <c r="W30" i="121" s="1"/>
  <c r="V30" i="121"/>
  <c r="X31" i="121" l="1"/>
  <c r="X30" i="121" s="1"/>
  <c r="K11" i="132" l="1"/>
  <c r="L11" i="132" s="1"/>
  <c r="J11" i="132"/>
  <c r="Q11" i="132" l="1"/>
  <c r="M11" i="132"/>
  <c r="N11" i="132" s="1"/>
  <c r="S11" i="132"/>
  <c r="O11" i="132"/>
  <c r="K13" i="132"/>
  <c r="L13" i="132" s="1"/>
  <c r="J13" i="132"/>
  <c r="K12" i="132"/>
  <c r="L12" i="132" s="1"/>
  <c r="J12" i="132"/>
  <c r="P11" i="132" l="1"/>
  <c r="R11" i="132" s="1"/>
  <c r="T11" i="132" s="1"/>
  <c r="V11" i="132" s="1"/>
  <c r="W11" i="132" s="1"/>
  <c r="S13" i="132"/>
  <c r="O13" i="132"/>
  <c r="Q13" i="132"/>
  <c r="M13" i="132"/>
  <c r="N13" i="132" s="1"/>
  <c r="S12" i="132"/>
  <c r="O12" i="132"/>
  <c r="Q12" i="132"/>
  <c r="M12" i="132"/>
  <c r="N12" i="132" s="1"/>
  <c r="U11" i="132" l="1"/>
  <c r="P12" i="132"/>
  <c r="R12" i="132" s="1"/>
  <c r="T12" i="132" s="1"/>
  <c r="P13" i="132"/>
  <c r="R13" i="132" s="1"/>
  <c r="T13" i="132" s="1"/>
  <c r="V13" i="132" s="1"/>
  <c r="W13" i="132" s="1"/>
  <c r="X11" i="132"/>
  <c r="U13" i="132" l="1"/>
  <c r="X13" i="132" s="1"/>
  <c r="V12" i="132"/>
  <c r="W12" i="132" s="1"/>
  <c r="U12" i="132"/>
  <c r="X12" i="132" l="1"/>
  <c r="K10" i="132" l="1"/>
  <c r="L10" i="132" s="1"/>
  <c r="J10" i="132"/>
  <c r="K19" i="121"/>
  <c r="L19" i="121" s="1"/>
  <c r="J19" i="121"/>
  <c r="S10" i="132" l="1"/>
  <c r="O10" i="132"/>
  <c r="Q10" i="132"/>
  <c r="M10" i="132"/>
  <c r="N10" i="132" s="1"/>
  <c r="S19" i="121"/>
  <c r="O19" i="121"/>
  <c r="M19" i="121"/>
  <c r="N19" i="121" s="1"/>
  <c r="Q19" i="121"/>
  <c r="I24" i="135"/>
  <c r="J24" i="135" s="1"/>
  <c r="H24" i="135"/>
  <c r="I8" i="123"/>
  <c r="H8" i="123"/>
  <c r="K9" i="123"/>
  <c r="L9" i="123" s="1"/>
  <c r="J9" i="123"/>
  <c r="J8" i="123" s="1"/>
  <c r="P10" i="132" l="1"/>
  <c r="R10" i="132" s="1"/>
  <c r="T10" i="132" s="1"/>
  <c r="P19" i="121"/>
  <c r="R19" i="121" s="1"/>
  <c r="T19" i="121" s="1"/>
  <c r="V19" i="121" s="1"/>
  <c r="W19" i="121" s="1"/>
  <c r="O24" i="135"/>
  <c r="Q24" i="135"/>
  <c r="M24" i="135"/>
  <c r="K24" i="135"/>
  <c r="L24" i="135" s="1"/>
  <c r="N24" i="135" s="1"/>
  <c r="O9" i="123"/>
  <c r="Q9" i="123"/>
  <c r="M9" i="123"/>
  <c r="N9" i="123" s="1"/>
  <c r="S9" i="123"/>
  <c r="P24" i="135" l="1"/>
  <c r="R24" i="135" s="1"/>
  <c r="T24" i="135" s="1"/>
  <c r="U24" i="135" s="1"/>
  <c r="P9" i="123"/>
  <c r="R9" i="123" s="1"/>
  <c r="T9" i="123" s="1"/>
  <c r="U19" i="121"/>
  <c r="X19" i="121" s="1"/>
  <c r="V10" i="132"/>
  <c r="W10" i="132" s="1"/>
  <c r="U10" i="132"/>
  <c r="S24" i="135" l="1"/>
  <c r="V24" i="135" s="1"/>
  <c r="X10" i="132"/>
  <c r="V9" i="123"/>
  <c r="U9" i="123"/>
  <c r="U8" i="123" l="1"/>
  <c r="W9" i="123"/>
  <c r="W8" i="123" s="1"/>
  <c r="V8" i="123"/>
  <c r="I25" i="135"/>
  <c r="J25" i="135" s="1"/>
  <c r="H25" i="135"/>
  <c r="I23" i="135"/>
  <c r="J23" i="135" s="1"/>
  <c r="H23" i="135"/>
  <c r="X9" i="123" l="1"/>
  <c r="X8" i="123" s="1"/>
  <c r="Q25" i="135"/>
  <c r="M25" i="135"/>
  <c r="O25" i="135"/>
  <c r="K25" i="135"/>
  <c r="L25" i="135" s="1"/>
  <c r="O23" i="135"/>
  <c r="K23" i="135"/>
  <c r="L23" i="135" s="1"/>
  <c r="N23" i="135" s="1"/>
  <c r="Q23" i="135"/>
  <c r="M23" i="135"/>
  <c r="I12" i="135"/>
  <c r="J12" i="135" s="1"/>
  <c r="H12" i="135"/>
  <c r="P23" i="135" l="1"/>
  <c r="R23" i="135" s="1"/>
  <c r="S23" i="135" s="1"/>
  <c r="N25" i="135"/>
  <c r="P25" i="135" s="1"/>
  <c r="R25" i="135" s="1"/>
  <c r="Q12" i="135"/>
  <c r="M12" i="135"/>
  <c r="O12" i="135"/>
  <c r="K12" i="135"/>
  <c r="L12" i="135" s="1"/>
  <c r="I22" i="135"/>
  <c r="J22" i="135" s="1"/>
  <c r="H22" i="135"/>
  <c r="I21" i="135"/>
  <c r="J21" i="135" s="1"/>
  <c r="H21" i="135"/>
  <c r="T23" i="135" l="1"/>
  <c r="U23" i="135" s="1"/>
  <c r="V23" i="135" s="1"/>
  <c r="T25" i="135"/>
  <c r="U25" i="135" s="1"/>
  <c r="S25" i="135"/>
  <c r="N12" i="135"/>
  <c r="P12" i="135" s="1"/>
  <c r="R12" i="135" s="1"/>
  <c r="T12" i="135" s="1"/>
  <c r="U12" i="135" s="1"/>
  <c r="O22" i="135"/>
  <c r="K22" i="135"/>
  <c r="L22" i="135" s="1"/>
  <c r="Q22" i="135"/>
  <c r="M22" i="135"/>
  <c r="O21" i="135"/>
  <c r="K21" i="135"/>
  <c r="L21" i="135" s="1"/>
  <c r="Q21" i="135"/>
  <c r="M21" i="135"/>
  <c r="I20" i="135"/>
  <c r="J20" i="135" s="1"/>
  <c r="H20" i="135"/>
  <c r="V25" i="135" l="1"/>
  <c r="S12" i="135"/>
  <c r="V12" i="135"/>
  <c r="N21" i="135"/>
  <c r="P21" i="135" s="1"/>
  <c r="R21" i="135" s="1"/>
  <c r="T21" i="135" s="1"/>
  <c r="U21" i="135" s="1"/>
  <c r="N22" i="135"/>
  <c r="P22" i="135" s="1"/>
  <c r="R22" i="135" s="1"/>
  <c r="T22" i="135" s="1"/>
  <c r="U22" i="135" s="1"/>
  <c r="Q20" i="135"/>
  <c r="M20" i="135"/>
  <c r="O20" i="135"/>
  <c r="K20" i="135"/>
  <c r="L20" i="135" s="1"/>
  <c r="S21" i="135" l="1"/>
  <c r="S22" i="135"/>
  <c r="V22" i="135" s="1"/>
  <c r="N20" i="135"/>
  <c r="P20" i="135" s="1"/>
  <c r="R20" i="135" s="1"/>
  <c r="T20" i="135" s="1"/>
  <c r="U20" i="135" s="1"/>
  <c r="V21" i="135"/>
  <c r="S20" i="135" l="1"/>
  <c r="V20" i="135" s="1"/>
  <c r="I19" i="135" l="1"/>
  <c r="J19" i="135" s="1"/>
  <c r="H19" i="135"/>
  <c r="M19" i="135" l="1"/>
  <c r="O19" i="135"/>
  <c r="K19" i="135"/>
  <c r="L19" i="135" s="1"/>
  <c r="Q19" i="135"/>
  <c r="N19" i="135" l="1"/>
  <c r="P19" i="135" s="1"/>
  <c r="R19" i="135" s="1"/>
  <c r="T19" i="135" s="1"/>
  <c r="U19" i="135" s="1"/>
  <c r="I18" i="135"/>
  <c r="J18" i="135" s="1"/>
  <c r="H18" i="135"/>
  <c r="S19" i="135" l="1"/>
  <c r="V19" i="135" s="1"/>
  <c r="Q18" i="135"/>
  <c r="M18" i="135"/>
  <c r="O18" i="135"/>
  <c r="K18" i="135"/>
  <c r="L18" i="135" s="1"/>
  <c r="K23" i="123"/>
  <c r="L23" i="123" s="1"/>
  <c r="J23" i="123"/>
  <c r="N18" i="135" l="1"/>
  <c r="P18" i="135" s="1"/>
  <c r="R18" i="135" s="1"/>
  <c r="T18" i="135" s="1"/>
  <c r="U18" i="135" s="1"/>
  <c r="Q23" i="123"/>
  <c r="M23" i="123"/>
  <c r="N23" i="123" s="1"/>
  <c r="S23" i="123"/>
  <c r="O23" i="123"/>
  <c r="H13" i="136"/>
  <c r="G13" i="136"/>
  <c r="J11" i="136"/>
  <c r="J13" i="136" s="1"/>
  <c r="I11" i="136"/>
  <c r="F11" i="136"/>
  <c r="S18" i="135" l="1"/>
  <c r="V18" i="135" s="1"/>
  <c r="P23" i="123"/>
  <c r="R23" i="123" s="1"/>
  <c r="T23" i="123" s="1"/>
  <c r="V23" i="123" s="1"/>
  <c r="W23" i="123" s="1"/>
  <c r="I13" i="136"/>
  <c r="K11" i="136"/>
  <c r="U23" i="123" l="1"/>
  <c r="X23" i="123" s="1"/>
  <c r="K13" i="136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2" i="134"/>
  <c r="L12" i="134" s="1"/>
  <c r="J12" i="134"/>
  <c r="K10" i="119"/>
  <c r="L10" i="119" s="1"/>
  <c r="J10" i="119"/>
  <c r="K9" i="119"/>
  <c r="L9" i="119" s="1"/>
  <c r="J9" i="119"/>
  <c r="N13" i="131" l="1"/>
  <c r="P13" i="131"/>
  <c r="L13" i="131"/>
  <c r="M13" i="131" s="1"/>
  <c r="O13" i="131" s="1"/>
  <c r="Q13" i="131" s="1"/>
  <c r="R13" i="131"/>
  <c r="S12" i="134"/>
  <c r="O12" i="134"/>
  <c r="Q12" i="134"/>
  <c r="M12" i="134"/>
  <c r="N12" i="134" s="1"/>
  <c r="P12" i="134" s="1"/>
  <c r="Q10" i="119"/>
  <c r="M10" i="119"/>
  <c r="N10" i="119" s="1"/>
  <c r="S10" i="119"/>
  <c r="O10" i="119"/>
  <c r="S9" i="119"/>
  <c r="O9" i="119"/>
  <c r="M9" i="119"/>
  <c r="N9" i="119" s="1"/>
  <c r="Q9" i="119"/>
  <c r="R12" i="134" l="1"/>
  <c r="T12" i="134" s="1"/>
  <c r="U12" i="134" s="1"/>
  <c r="S13" i="131"/>
  <c r="U13" i="131" s="1"/>
  <c r="V13" i="131" s="1"/>
  <c r="P10" i="119"/>
  <c r="R10" i="119" s="1"/>
  <c r="T10" i="119" s="1"/>
  <c r="V10" i="119" s="1"/>
  <c r="X10" i="119" s="1"/>
  <c r="P9" i="119"/>
  <c r="R9" i="119" s="1"/>
  <c r="T9" i="119" s="1"/>
  <c r="V9" i="119" s="1"/>
  <c r="X9" i="119" s="1"/>
  <c r="V12" i="134"/>
  <c r="X12" i="134" s="1"/>
  <c r="T13" i="131" l="1"/>
  <c r="U9" i="119"/>
  <c r="Y9" i="119" s="1"/>
  <c r="U10" i="119"/>
  <c r="Y10" i="119" s="1"/>
  <c r="Y12" i="134"/>
  <c r="W13" i="131"/>
  <c r="K11" i="133" l="1"/>
  <c r="L11" i="133" s="1"/>
  <c r="J11" i="133"/>
  <c r="Q11" i="133" l="1"/>
  <c r="M11" i="133"/>
  <c r="N11" i="133" s="1"/>
  <c r="S11" i="133"/>
  <c r="O11" i="133"/>
  <c r="P11" i="133" l="1"/>
  <c r="R11" i="133" s="1"/>
  <c r="T11" i="133" s="1"/>
  <c r="K18" i="120"/>
  <c r="L18" i="120" s="1"/>
  <c r="J18" i="120"/>
  <c r="K17" i="120"/>
  <c r="L17" i="120" s="1"/>
  <c r="J17" i="120"/>
  <c r="V11" i="133" l="1"/>
  <c r="W11" i="133" s="1"/>
  <c r="U11" i="133"/>
  <c r="Q18" i="120"/>
  <c r="S18" i="120"/>
  <c r="O18" i="120"/>
  <c r="M18" i="120"/>
  <c r="N18" i="120" s="1"/>
  <c r="S17" i="120"/>
  <c r="O17" i="120"/>
  <c r="Q17" i="120"/>
  <c r="M17" i="120"/>
  <c r="N17" i="120" s="1"/>
  <c r="K10" i="133"/>
  <c r="L10" i="133" s="1"/>
  <c r="J10" i="133"/>
  <c r="G10" i="133"/>
  <c r="P17" i="120" l="1"/>
  <c r="R17" i="120" s="1"/>
  <c r="T17" i="120" s="1"/>
  <c r="U17" i="120" s="1"/>
  <c r="P18" i="120"/>
  <c r="R18" i="120" s="1"/>
  <c r="T18" i="120" s="1"/>
  <c r="U18" i="120" s="1"/>
  <c r="X11" i="133"/>
  <c r="S10" i="133"/>
  <c r="O10" i="133"/>
  <c r="Q10" i="133"/>
  <c r="M10" i="133"/>
  <c r="N10" i="133" s="1"/>
  <c r="V17" i="120" l="1"/>
  <c r="W17" i="120" s="1"/>
  <c r="X17" i="120" s="1"/>
  <c r="V18" i="120"/>
  <c r="W18" i="120" s="1"/>
  <c r="X18" i="120" s="1"/>
  <c r="P10" i="133"/>
  <c r="R10" i="133" s="1"/>
  <c r="T10" i="133" s="1"/>
  <c r="V10" i="133" s="1"/>
  <c r="W10" i="133" s="1"/>
  <c r="K20" i="121"/>
  <c r="L20" i="121" s="1"/>
  <c r="J20" i="121"/>
  <c r="U10" i="133" l="1"/>
  <c r="X10" i="133" s="1"/>
  <c r="O20" i="121"/>
  <c r="S20" i="121"/>
  <c r="Q20" i="121"/>
  <c r="M20" i="121"/>
  <c r="N20" i="121" s="1"/>
  <c r="P20" i="121" l="1"/>
  <c r="R20" i="121" s="1"/>
  <c r="T20" i="121" s="1"/>
  <c r="V20" i="121" l="1"/>
  <c r="W20" i="121" s="1"/>
  <c r="U20" i="121"/>
  <c r="X20" i="121" l="1"/>
  <c r="K12" i="133" l="1"/>
  <c r="L12" i="133" s="1"/>
  <c r="K13" i="133"/>
  <c r="L13" i="133" s="1"/>
  <c r="M13" i="133" s="1"/>
  <c r="I10" i="135"/>
  <c r="J10" i="135" s="1"/>
  <c r="I11" i="135"/>
  <c r="J11" i="135" s="1"/>
  <c r="K11" i="135" s="1"/>
  <c r="I13" i="135"/>
  <c r="J13" i="135" s="1"/>
  <c r="I14" i="135"/>
  <c r="J14" i="135" s="1"/>
  <c r="K14" i="135" s="1"/>
  <c r="I15" i="135"/>
  <c r="J15" i="135" s="1"/>
  <c r="K15" i="135" s="1"/>
  <c r="I16" i="135"/>
  <c r="J16" i="135" s="1"/>
  <c r="I17" i="135"/>
  <c r="J17" i="135" s="1"/>
  <c r="K17" i="135" s="1"/>
  <c r="I9" i="135"/>
  <c r="J9" i="135" s="1"/>
  <c r="K11" i="118"/>
  <c r="L11" i="118" s="1"/>
  <c r="K12" i="118"/>
  <c r="L12" i="118" s="1"/>
  <c r="M12" i="118" s="1"/>
  <c r="K10" i="118"/>
  <c r="L10" i="118" s="1"/>
  <c r="S10" i="118" s="1"/>
  <c r="K21" i="123"/>
  <c r="L21" i="123" s="1"/>
  <c r="K19" i="123"/>
  <c r="L19" i="123" s="1"/>
  <c r="K18" i="123"/>
  <c r="L18" i="123" s="1"/>
  <c r="K17" i="123"/>
  <c r="L17" i="123" s="1"/>
  <c r="K14" i="123"/>
  <c r="L14" i="123" s="1"/>
  <c r="K15" i="123"/>
  <c r="L15" i="123" s="1"/>
  <c r="K13" i="123"/>
  <c r="L13" i="123" s="1"/>
  <c r="K11" i="123"/>
  <c r="L11" i="123" s="1"/>
  <c r="S11" i="123" s="1"/>
  <c r="K29" i="121"/>
  <c r="L29" i="121" s="1"/>
  <c r="K28" i="121"/>
  <c r="L28" i="121" s="1"/>
  <c r="K18" i="121"/>
  <c r="L18" i="121" s="1"/>
  <c r="S18" i="121" s="1"/>
  <c r="K11" i="121"/>
  <c r="L11" i="121" s="1"/>
  <c r="O11" i="121" s="1"/>
  <c r="K12" i="121"/>
  <c r="L12" i="121" s="1"/>
  <c r="M12" i="121" s="1"/>
  <c r="K13" i="121"/>
  <c r="L13" i="121" s="1"/>
  <c r="M13" i="121" s="1"/>
  <c r="K14" i="121"/>
  <c r="L14" i="121" s="1"/>
  <c r="M14" i="121" s="1"/>
  <c r="K10" i="121"/>
  <c r="L10" i="121" s="1"/>
  <c r="K19" i="120"/>
  <c r="L19" i="120" s="1"/>
  <c r="M19" i="120" s="1"/>
  <c r="K10" i="120"/>
  <c r="L10" i="120" s="1"/>
  <c r="K11" i="120"/>
  <c r="L11" i="120" s="1"/>
  <c r="K12" i="120"/>
  <c r="L12" i="120" s="1"/>
  <c r="M12" i="120" s="1"/>
  <c r="K13" i="120"/>
  <c r="L13" i="120" s="1"/>
  <c r="K14" i="120"/>
  <c r="L14" i="120" s="1"/>
  <c r="M14" i="120" s="1"/>
  <c r="K15" i="120"/>
  <c r="L15" i="120" s="1"/>
  <c r="M15" i="120" s="1"/>
  <c r="K16" i="120"/>
  <c r="L16" i="120" s="1"/>
  <c r="M16" i="120" s="1"/>
  <c r="K9" i="120"/>
  <c r="L9" i="120" s="1"/>
  <c r="K10" i="134"/>
  <c r="L10" i="134" s="1"/>
  <c r="K10" i="127"/>
  <c r="L10" i="127" s="1"/>
  <c r="S10" i="127" s="1"/>
  <c r="K20" i="119"/>
  <c r="L20" i="119" s="1"/>
  <c r="K19" i="119"/>
  <c r="L19" i="119" s="1"/>
  <c r="K17" i="119"/>
  <c r="L17" i="119" s="1"/>
  <c r="K15" i="119"/>
  <c r="L15" i="119" s="1"/>
  <c r="K13" i="119"/>
  <c r="L13" i="119" s="1"/>
  <c r="K11" i="119"/>
  <c r="L11" i="119" s="1"/>
  <c r="Q18" i="121" l="1"/>
  <c r="O12" i="133"/>
  <c r="S12" i="133"/>
  <c r="M12" i="133"/>
  <c r="N12" i="133" s="1"/>
  <c r="Q12" i="133"/>
  <c r="S13" i="133"/>
  <c r="O13" i="133"/>
  <c r="N13" i="133"/>
  <c r="Q13" i="133"/>
  <c r="O11" i="118"/>
  <c r="M11" i="118"/>
  <c r="N11" i="118" s="1"/>
  <c r="P11" i="118" s="1"/>
  <c r="Q11" i="118"/>
  <c r="M18" i="121"/>
  <c r="N18" i="121" s="1"/>
  <c r="M13" i="135"/>
  <c r="Q13" i="135"/>
  <c r="K13" i="135"/>
  <c r="L13" i="135" s="1"/>
  <c r="O13" i="135"/>
  <c r="M16" i="135"/>
  <c r="Q16" i="135"/>
  <c r="K16" i="135"/>
  <c r="L16" i="135" s="1"/>
  <c r="O16" i="135"/>
  <c r="M10" i="135"/>
  <c r="Q10" i="135"/>
  <c r="O10" i="135"/>
  <c r="K10" i="135"/>
  <c r="L10" i="135" s="1"/>
  <c r="Q17" i="135"/>
  <c r="M15" i="135"/>
  <c r="Q14" i="135"/>
  <c r="L17" i="135"/>
  <c r="L15" i="135"/>
  <c r="L14" i="135"/>
  <c r="L11" i="135"/>
  <c r="M17" i="135"/>
  <c r="Q15" i="135"/>
  <c r="M14" i="135"/>
  <c r="Q11" i="135"/>
  <c r="M11" i="135"/>
  <c r="O17" i="135"/>
  <c r="O15" i="135"/>
  <c r="O14" i="135"/>
  <c r="O11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S21" i="123"/>
  <c r="O21" i="123"/>
  <c r="Q21" i="123"/>
  <c r="M21" i="123"/>
  <c r="N21" i="123" s="1"/>
  <c r="S19" i="123"/>
  <c r="O19" i="123"/>
  <c r="Q19" i="123"/>
  <c r="M19" i="123"/>
  <c r="N19" i="123" s="1"/>
  <c r="S18" i="123"/>
  <c r="O18" i="123"/>
  <c r="Q18" i="123"/>
  <c r="M18" i="123"/>
  <c r="N18" i="123" s="1"/>
  <c r="Q17" i="123"/>
  <c r="M17" i="123"/>
  <c r="N17" i="123" s="1"/>
  <c r="S17" i="123"/>
  <c r="O17" i="123"/>
  <c r="Q15" i="123"/>
  <c r="M15" i="123"/>
  <c r="N15" i="123" s="1"/>
  <c r="S15" i="123"/>
  <c r="O15" i="123"/>
  <c r="S14" i="123"/>
  <c r="O14" i="123"/>
  <c r="Q14" i="123"/>
  <c r="M14" i="123"/>
  <c r="N14" i="123" s="1"/>
  <c r="S13" i="123"/>
  <c r="O13" i="123"/>
  <c r="Q13" i="123"/>
  <c r="M13" i="123"/>
  <c r="N13" i="123" s="1"/>
  <c r="M11" i="123"/>
  <c r="N11" i="123" s="1"/>
  <c r="Q11" i="123"/>
  <c r="O11" i="123"/>
  <c r="Q29" i="121"/>
  <c r="M29" i="121"/>
  <c r="N29" i="121" s="1"/>
  <c r="S29" i="121"/>
  <c r="O29" i="121"/>
  <c r="S28" i="121"/>
  <c r="O28" i="121"/>
  <c r="Q28" i="121"/>
  <c r="M28" i="121"/>
  <c r="N28" i="121" s="1"/>
  <c r="O18" i="121"/>
  <c r="S14" i="121"/>
  <c r="O14" i="121"/>
  <c r="S13" i="121"/>
  <c r="O13" i="121"/>
  <c r="S12" i="121"/>
  <c r="O12" i="121"/>
  <c r="Q11" i="121"/>
  <c r="M11" i="121"/>
  <c r="N11" i="121" s="1"/>
  <c r="P11" i="121" s="1"/>
  <c r="N14" i="121"/>
  <c r="N13" i="121"/>
  <c r="N12" i="121"/>
  <c r="Q14" i="121"/>
  <c r="Q13" i="121"/>
  <c r="Q12" i="121"/>
  <c r="S11" i="121"/>
  <c r="Q10" i="121"/>
  <c r="M10" i="121"/>
  <c r="N10" i="121" s="1"/>
  <c r="S10" i="121"/>
  <c r="O10" i="121"/>
  <c r="S19" i="120"/>
  <c r="O19" i="120"/>
  <c r="N19" i="120"/>
  <c r="Q19" i="120"/>
  <c r="O10" i="120"/>
  <c r="S10" i="120"/>
  <c r="M10" i="120"/>
  <c r="N10" i="120" s="1"/>
  <c r="Q10" i="120"/>
  <c r="O13" i="120"/>
  <c r="S13" i="120"/>
  <c r="M13" i="120"/>
  <c r="N13" i="120" s="1"/>
  <c r="Q13" i="120"/>
  <c r="O11" i="120"/>
  <c r="S11" i="120"/>
  <c r="M11" i="120"/>
  <c r="N11" i="120" s="1"/>
  <c r="Q11" i="120"/>
  <c r="S16" i="120"/>
  <c r="O16" i="120"/>
  <c r="S15" i="120"/>
  <c r="O15" i="120"/>
  <c r="S14" i="120"/>
  <c r="O14" i="120"/>
  <c r="S12" i="120"/>
  <c r="O12" i="120"/>
  <c r="N16" i="120"/>
  <c r="N15" i="120"/>
  <c r="N14" i="120"/>
  <c r="N12" i="120"/>
  <c r="Q16" i="120"/>
  <c r="Q15" i="120"/>
  <c r="Q14" i="120"/>
  <c r="Q12" i="120"/>
  <c r="Q9" i="120"/>
  <c r="M9" i="120"/>
  <c r="N9" i="120" s="1"/>
  <c r="S9" i="120"/>
  <c r="O9" i="120"/>
  <c r="O10" i="134"/>
  <c r="M10" i="134"/>
  <c r="N10" i="134" s="1"/>
  <c r="P10" i="134" s="1"/>
  <c r="S10" i="134"/>
  <c r="Q10" i="134"/>
  <c r="M10" i="127"/>
  <c r="N10" i="127" s="1"/>
  <c r="Q10" i="127"/>
  <c r="O10" i="127"/>
  <c r="S20" i="119"/>
  <c r="O20" i="119"/>
  <c r="Q20" i="119"/>
  <c r="M20" i="119"/>
  <c r="N20" i="119" s="1"/>
  <c r="O19" i="119"/>
  <c r="S19" i="119"/>
  <c r="Q19" i="119"/>
  <c r="M19" i="119"/>
  <c r="N19" i="119" s="1"/>
  <c r="S17" i="119"/>
  <c r="O17" i="119"/>
  <c r="Q17" i="119"/>
  <c r="M17" i="119"/>
  <c r="N17" i="119" s="1"/>
  <c r="S15" i="119"/>
  <c r="O15" i="119"/>
  <c r="Q15" i="119"/>
  <c r="M15" i="119"/>
  <c r="N15" i="119" s="1"/>
  <c r="S13" i="119"/>
  <c r="O13" i="119"/>
  <c r="Q13" i="119"/>
  <c r="M13" i="119"/>
  <c r="N13" i="119" s="1"/>
  <c r="M11" i="119"/>
  <c r="N11" i="119" s="1"/>
  <c r="Q11" i="119"/>
  <c r="O11" i="119"/>
  <c r="S11" i="119"/>
  <c r="P14" i="121" l="1"/>
  <c r="P19" i="123"/>
  <c r="R19" i="123" s="1"/>
  <c r="T19" i="123" s="1"/>
  <c r="P12" i="120"/>
  <c r="R12" i="120" s="1"/>
  <c r="T12" i="120" s="1"/>
  <c r="P12" i="133"/>
  <c r="R12" i="133" s="1"/>
  <c r="T12" i="133" s="1"/>
  <c r="P13" i="133"/>
  <c r="R13" i="133" s="1"/>
  <c r="T13" i="133" s="1"/>
  <c r="R11" i="118"/>
  <c r="T11" i="118" s="1"/>
  <c r="P18" i="123"/>
  <c r="R18" i="123" s="1"/>
  <c r="T18" i="123" s="1"/>
  <c r="P14" i="123"/>
  <c r="R14" i="123" s="1"/>
  <c r="T14" i="123" s="1"/>
  <c r="P11" i="120"/>
  <c r="R11" i="120" s="1"/>
  <c r="T11" i="120" s="1"/>
  <c r="R14" i="121"/>
  <c r="T14" i="121" s="1"/>
  <c r="P18" i="121"/>
  <c r="R18" i="121" s="1"/>
  <c r="T18" i="121" s="1"/>
  <c r="P28" i="121"/>
  <c r="R28" i="121" s="1"/>
  <c r="T28" i="121" s="1"/>
  <c r="P13" i="123"/>
  <c r="R13" i="123" s="1"/>
  <c r="T13" i="123" s="1"/>
  <c r="P14" i="120"/>
  <c r="R14" i="120" s="1"/>
  <c r="T14" i="120" s="1"/>
  <c r="R11" i="121"/>
  <c r="T11" i="121" s="1"/>
  <c r="P13" i="119"/>
  <c r="R13" i="119" s="1"/>
  <c r="T13" i="119" s="1"/>
  <c r="P15" i="119"/>
  <c r="R15" i="119" s="1"/>
  <c r="T15" i="119" s="1"/>
  <c r="P17" i="119"/>
  <c r="R17" i="119" s="1"/>
  <c r="T17" i="119" s="1"/>
  <c r="P20" i="119"/>
  <c r="R20" i="119" s="1"/>
  <c r="T20" i="119" s="1"/>
  <c r="P19" i="119"/>
  <c r="R19" i="119" s="1"/>
  <c r="T19" i="119" s="1"/>
  <c r="N10" i="135"/>
  <c r="P10" i="135" s="1"/>
  <c r="R10" i="135" s="1"/>
  <c r="R10" i="134"/>
  <c r="T10" i="134" s="1"/>
  <c r="P15" i="123"/>
  <c r="R15" i="123" s="1"/>
  <c r="T15" i="123" s="1"/>
  <c r="P17" i="123"/>
  <c r="R17" i="123" s="1"/>
  <c r="T17" i="123" s="1"/>
  <c r="P21" i="123"/>
  <c r="R21" i="123" s="1"/>
  <c r="T21" i="123" s="1"/>
  <c r="P12" i="118"/>
  <c r="R12" i="118" s="1"/>
  <c r="T12" i="118" s="1"/>
  <c r="P9" i="120"/>
  <c r="R9" i="120" s="1"/>
  <c r="T9" i="120" s="1"/>
  <c r="P15" i="120"/>
  <c r="R15" i="120" s="1"/>
  <c r="T15" i="120" s="1"/>
  <c r="P13" i="120"/>
  <c r="R13" i="120" s="1"/>
  <c r="T13" i="120" s="1"/>
  <c r="P10" i="120"/>
  <c r="R10" i="120" s="1"/>
  <c r="T10" i="120" s="1"/>
  <c r="P29" i="121"/>
  <c r="R29" i="121" s="1"/>
  <c r="T29" i="121" s="1"/>
  <c r="N9" i="135"/>
  <c r="P9" i="135" s="1"/>
  <c r="R9" i="135" s="1"/>
  <c r="P19" i="120"/>
  <c r="R19" i="120" s="1"/>
  <c r="T19" i="120" s="1"/>
  <c r="P10" i="121"/>
  <c r="R10" i="121" s="1"/>
  <c r="T10" i="121" s="1"/>
  <c r="N13" i="135"/>
  <c r="P13" i="135" s="1"/>
  <c r="R13" i="135" s="1"/>
  <c r="N11" i="135"/>
  <c r="P11" i="135" s="1"/>
  <c r="R11" i="135" s="1"/>
  <c r="N14" i="135"/>
  <c r="P14" i="135" s="1"/>
  <c r="R14" i="135" s="1"/>
  <c r="N16" i="135"/>
  <c r="P16" i="135" s="1"/>
  <c r="R16" i="135" s="1"/>
  <c r="N17" i="135"/>
  <c r="P17" i="135" s="1"/>
  <c r="R17" i="135" s="1"/>
  <c r="N15" i="135"/>
  <c r="P15" i="135" s="1"/>
  <c r="R15" i="135" s="1"/>
  <c r="P10" i="118"/>
  <c r="R10" i="118" s="1"/>
  <c r="T10" i="118" s="1"/>
  <c r="P11" i="123"/>
  <c r="R11" i="123" s="1"/>
  <c r="T11" i="123" s="1"/>
  <c r="P12" i="121"/>
  <c r="R12" i="121" s="1"/>
  <c r="T12" i="121" s="1"/>
  <c r="P13" i="121"/>
  <c r="R13" i="121" s="1"/>
  <c r="T13" i="121" s="1"/>
  <c r="P16" i="120"/>
  <c r="R16" i="120" s="1"/>
  <c r="T16" i="120" s="1"/>
  <c r="P10" i="127"/>
  <c r="R10" i="127" s="1"/>
  <c r="T10" i="127" s="1"/>
  <c r="P11" i="119"/>
  <c r="R11" i="119" s="1"/>
  <c r="T11" i="119" s="1"/>
  <c r="V11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5" i="123"/>
  <c r="V15" i="123" l="1"/>
  <c r="W15" i="123" s="1"/>
  <c r="U15" i="123" l="1"/>
  <c r="X15" i="123" s="1"/>
  <c r="J16" i="120" l="1"/>
  <c r="V16" i="120" l="1"/>
  <c r="W16" i="120" s="1"/>
  <c r="U16" i="120" l="1"/>
  <c r="X16" i="120" s="1"/>
  <c r="J14" i="123" l="1"/>
  <c r="U14" i="123" l="1"/>
  <c r="J19" i="123"/>
  <c r="J13" i="133"/>
  <c r="G13" i="133"/>
  <c r="V14" i="123" l="1"/>
  <c r="W14" i="123" s="1"/>
  <c r="X14" i="123" s="1"/>
  <c r="V19" i="123" l="1"/>
  <c r="W19" i="123" s="1"/>
  <c r="V13" i="133"/>
  <c r="W13" i="133" s="1"/>
  <c r="J15" i="120"/>
  <c r="G15" i="120"/>
  <c r="J13" i="121"/>
  <c r="U19" i="123" l="1"/>
  <c r="X19" i="123" s="1"/>
  <c r="U13" i="133"/>
  <c r="X13" i="133" s="1"/>
  <c r="J9" i="120"/>
  <c r="J14" i="121"/>
  <c r="U15" i="120" l="1"/>
  <c r="U13" i="121"/>
  <c r="V13" i="121"/>
  <c r="W13" i="121" s="1"/>
  <c r="V15" i="120" l="1"/>
  <c r="W15" i="120" s="1"/>
  <c r="X15" i="120" s="1"/>
  <c r="X13" i="121"/>
  <c r="V9" i="120"/>
  <c r="W9" i="120" s="1"/>
  <c r="V14" i="121" l="1"/>
  <c r="W14" i="121" s="1"/>
  <c r="U14" i="121"/>
  <c r="U9" i="120"/>
  <c r="X9" i="120" s="1"/>
  <c r="X14" i="121" l="1"/>
  <c r="J12" i="121"/>
  <c r="U12" i="121" l="1"/>
  <c r="V12" i="121" l="1"/>
  <c r="W12" i="121" s="1"/>
  <c r="X12" i="121" s="1"/>
  <c r="H17" i="135" l="1"/>
  <c r="T17" i="135" l="1"/>
  <c r="U17" i="135" s="1"/>
  <c r="S17" i="135" l="1"/>
  <c r="V17" i="135" s="1"/>
  <c r="F26" i="135" l="1"/>
  <c r="G26" i="135"/>
  <c r="H16" i="135" l="1"/>
  <c r="J13" i="120"/>
  <c r="J12" i="133" l="1"/>
  <c r="J12" i="120" l="1"/>
  <c r="J11" i="123" l="1"/>
  <c r="I12" i="123" l="1"/>
  <c r="O26" i="135" l="1"/>
  <c r="K26" i="135"/>
  <c r="I26" i="135"/>
  <c r="H13" i="135"/>
  <c r="H10" i="135"/>
  <c r="H9" i="135"/>
  <c r="H14" i="135" l="1"/>
  <c r="H15" i="135"/>
  <c r="H11" i="135"/>
  <c r="J10" i="123"/>
  <c r="G11" i="123"/>
  <c r="I10" i="123"/>
  <c r="H10" i="123"/>
  <c r="H26" i="135" l="1"/>
  <c r="J26" i="135"/>
  <c r="J17" i="123"/>
  <c r="L26" i="135" l="1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N12" i="131"/>
  <c r="P12" i="131"/>
  <c r="L12" i="131"/>
  <c r="M12" i="131" s="1"/>
  <c r="O12" i="131" s="1"/>
  <c r="Q12" i="131" s="1"/>
  <c r="R12" i="131"/>
  <c r="L18" i="131"/>
  <c r="M18" i="131" s="1"/>
  <c r="P18" i="131"/>
  <c r="R18" i="131"/>
  <c r="N18" i="131"/>
  <c r="N16" i="131"/>
  <c r="P16" i="131"/>
  <c r="L16" i="131"/>
  <c r="M16" i="131" s="1"/>
  <c r="R16" i="131"/>
  <c r="R10" i="131"/>
  <c r="L10" i="131"/>
  <c r="M10" i="131" s="1"/>
  <c r="P10" i="131"/>
  <c r="N10" i="131"/>
  <c r="L15" i="131"/>
  <c r="M15" i="131" s="1"/>
  <c r="N15" i="131"/>
  <c r="P15" i="131"/>
  <c r="R15" i="131"/>
  <c r="I20" i="120"/>
  <c r="S12" i="131" l="1"/>
  <c r="O10" i="131"/>
  <c r="Q10" i="131" s="1"/>
  <c r="O18" i="131"/>
  <c r="O11" i="131"/>
  <c r="O15" i="131"/>
  <c r="Q15" i="131" s="1"/>
  <c r="S15" i="131" s="1"/>
  <c r="O16" i="131"/>
  <c r="Q16" i="131" s="1"/>
  <c r="S16" i="131" s="1"/>
  <c r="S10" i="131"/>
  <c r="Q18" i="131"/>
  <c r="S18" i="131" s="1"/>
  <c r="Q11" i="131"/>
  <c r="S11" i="131" s="1"/>
  <c r="O17" i="131"/>
  <c r="Q17" i="131" s="1"/>
  <c r="S17" i="131" s="1"/>
  <c r="I9" i="121" l="1"/>
  <c r="W18" i="119"/>
  <c r="I18" i="119"/>
  <c r="H18" i="119"/>
  <c r="I16" i="123" l="1"/>
  <c r="J11" i="120"/>
  <c r="J10" i="134" l="1"/>
  <c r="J10" i="121" l="1"/>
  <c r="W9" i="134" l="1"/>
  <c r="J9" i="134"/>
  <c r="I9" i="134"/>
  <c r="H9" i="134"/>
  <c r="J11" i="134"/>
  <c r="G12" i="134"/>
  <c r="W11" i="134"/>
  <c r="I11" i="134"/>
  <c r="H11" i="134"/>
  <c r="G10" i="134"/>
  <c r="Q14" i="134"/>
  <c r="M14" i="134"/>
  <c r="K14" i="134"/>
  <c r="H14" i="134" l="1"/>
  <c r="I14" i="134"/>
  <c r="J14" i="134"/>
  <c r="W14" i="134"/>
  <c r="U11" i="134"/>
  <c r="L14" i="134"/>
  <c r="V11" i="134" l="1"/>
  <c r="O14" i="134"/>
  <c r="N14" i="134"/>
  <c r="X11" i="134" l="1"/>
  <c r="Y11" i="134"/>
  <c r="I27" i="121"/>
  <c r="I35" i="121" s="1"/>
  <c r="P14" i="134" l="1"/>
  <c r="R14" i="134"/>
  <c r="G11" i="121" l="1"/>
  <c r="J29" i="121"/>
  <c r="J19" i="120"/>
  <c r="G19" i="120"/>
  <c r="J11" i="121" l="1"/>
  <c r="J17" i="119" l="1"/>
  <c r="J13" i="119" l="1"/>
  <c r="J20" i="119" l="1"/>
  <c r="H27" i="121"/>
  <c r="H16" i="123"/>
  <c r="H12" i="123"/>
  <c r="H9" i="121" l="1"/>
  <c r="H35" i="121" s="1"/>
  <c r="J28" i="121" l="1"/>
  <c r="J27" i="121" s="1"/>
  <c r="G14" i="120" l="1"/>
  <c r="J14" i="120" l="1"/>
  <c r="W16" i="119" l="1"/>
  <c r="I16" i="119"/>
  <c r="H16" i="119"/>
  <c r="J21" i="123" l="1"/>
  <c r="J13" i="123" l="1"/>
  <c r="J12" i="123" l="1"/>
  <c r="J18" i="123" l="1"/>
  <c r="J16" i="123" s="1"/>
  <c r="J18" i="121" l="1"/>
  <c r="G23" i="123" l="1"/>
  <c r="I22" i="123"/>
  <c r="H22" i="123"/>
  <c r="G12" i="133" l="1"/>
  <c r="Q14" i="133"/>
  <c r="M14" i="133"/>
  <c r="K14" i="133"/>
  <c r="I14" i="133"/>
  <c r="U22" i="123" l="1"/>
  <c r="J22" i="123"/>
  <c r="H14" i="133"/>
  <c r="N14" i="133" l="1"/>
  <c r="V22" i="123"/>
  <c r="J14" i="133"/>
  <c r="L14" i="133" l="1"/>
  <c r="W22" i="123"/>
  <c r="X22" i="123"/>
  <c r="J11" i="118" l="1"/>
  <c r="I14" i="118" l="1"/>
  <c r="W8" i="119" l="1"/>
  <c r="I8" i="119"/>
  <c r="H8" i="119"/>
  <c r="J20" i="123" l="1"/>
  <c r="J25" i="123" s="1"/>
  <c r="I20" i="123"/>
  <c r="I25" i="123" s="1"/>
  <c r="H20" i="123"/>
  <c r="H25" i="123" s="1"/>
  <c r="G18" i="123"/>
  <c r="G18" i="121" l="1"/>
  <c r="J9" i="121"/>
  <c r="J35" i="121" s="1"/>
  <c r="G16" i="121"/>
  <c r="G13" i="121"/>
  <c r="G10" i="121"/>
  <c r="W14" i="119" l="1"/>
  <c r="I14" i="119"/>
  <c r="H14" i="119"/>
  <c r="W12" i="119"/>
  <c r="W24" i="119" s="1"/>
  <c r="I12" i="119"/>
  <c r="H12" i="119"/>
  <c r="J11" i="119"/>
  <c r="H24" i="119" l="1"/>
  <c r="I24" i="119"/>
  <c r="Q16" i="132"/>
  <c r="M16" i="132"/>
  <c r="K16" i="132"/>
  <c r="I16" i="132"/>
  <c r="H16" i="132" l="1"/>
  <c r="J16" i="132" l="1"/>
  <c r="S16" i="132"/>
  <c r="N16" i="132"/>
  <c r="L16" i="132"/>
  <c r="J16" i="119" l="1"/>
  <c r="J12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21" i="123"/>
  <c r="G17" i="123"/>
  <c r="G13" i="123"/>
  <c r="G28" i="121"/>
  <c r="G10" i="120"/>
  <c r="G10" i="127"/>
  <c r="J20" i="131" l="1"/>
  <c r="H20" i="131"/>
  <c r="K20" i="131" l="1"/>
  <c r="I20" i="131"/>
  <c r="L20" i="131" l="1"/>
  <c r="P20" i="131"/>
  <c r="M20" i="131" l="1"/>
  <c r="J12" i="118" l="1"/>
  <c r="W12" i="127" l="1"/>
  <c r="K12" i="127"/>
  <c r="I12" i="127"/>
  <c r="H12" i="127"/>
  <c r="J10" i="127"/>
  <c r="J12" i="127" s="1"/>
  <c r="J10" i="118"/>
  <c r="J14" i="118" s="1"/>
  <c r="K14" i="118"/>
  <c r="K25" i="123"/>
  <c r="K35" i="121"/>
  <c r="K20" i="120"/>
  <c r="J10" i="120"/>
  <c r="L12" i="127" l="1"/>
  <c r="H14" i="118"/>
  <c r="L25" i="123"/>
  <c r="L35" i="121"/>
  <c r="L14" i="118" l="1"/>
  <c r="K24" i="119" l="1"/>
  <c r="J19" i="119"/>
  <c r="J18" i="119" s="1"/>
  <c r="J15" i="119"/>
  <c r="J14" i="119" l="1"/>
  <c r="J8" i="119"/>
  <c r="J24" i="119" s="1"/>
  <c r="L24" i="119" l="1"/>
  <c r="Q12" i="127" l="1"/>
  <c r="O12" i="127"/>
  <c r="S12" i="127"/>
  <c r="S11" i="135" l="1"/>
  <c r="U17" i="123"/>
  <c r="S13" i="135"/>
  <c r="U18" i="131"/>
  <c r="V18" i="131" s="1"/>
  <c r="Q26" i="135"/>
  <c r="U18" i="123"/>
  <c r="V18" i="123"/>
  <c r="W18" i="123" s="1"/>
  <c r="V28" i="121"/>
  <c r="U28" i="121"/>
  <c r="U19" i="120"/>
  <c r="V19" i="120"/>
  <c r="W19" i="120" s="1"/>
  <c r="S14" i="134"/>
  <c r="V15" i="119"/>
  <c r="X15" i="119" s="1"/>
  <c r="U15" i="119"/>
  <c r="U12" i="131"/>
  <c r="V12" i="131" s="1"/>
  <c r="V21" i="123"/>
  <c r="W21" i="123" s="1"/>
  <c r="U21" i="123"/>
  <c r="V13" i="119"/>
  <c r="X13" i="119" s="1"/>
  <c r="U13" i="119"/>
  <c r="V29" i="121"/>
  <c r="W29" i="121" s="1"/>
  <c r="U29" i="121"/>
  <c r="V11" i="120"/>
  <c r="W11" i="120" s="1"/>
  <c r="U11" i="120"/>
  <c r="V12" i="133"/>
  <c r="W12" i="133" s="1"/>
  <c r="U12" i="133"/>
  <c r="V13" i="120"/>
  <c r="W13" i="120" s="1"/>
  <c r="U13" i="120"/>
  <c r="T15" i="131"/>
  <c r="U13" i="123"/>
  <c r="V13" i="123"/>
  <c r="W13" i="123" s="1"/>
  <c r="V12" i="120"/>
  <c r="W12" i="120" s="1"/>
  <c r="U12" i="120"/>
  <c r="T16" i="135"/>
  <c r="U16" i="135" s="1"/>
  <c r="S16" i="135"/>
  <c r="S14" i="135"/>
  <c r="T14" i="135"/>
  <c r="U14" i="135" s="1"/>
  <c r="V17" i="119"/>
  <c r="X17" i="119" s="1"/>
  <c r="U17" i="119"/>
  <c r="U11" i="131"/>
  <c r="V11" i="131" s="1"/>
  <c r="T11" i="131"/>
  <c r="S15" i="135"/>
  <c r="T15" i="135"/>
  <c r="U15" i="135" s="1"/>
  <c r="M26" i="135"/>
  <c r="V14" i="120"/>
  <c r="W14" i="120" s="1"/>
  <c r="U14" i="120"/>
  <c r="U10" i="131"/>
  <c r="V10" i="131" s="1"/>
  <c r="T10" i="131"/>
  <c r="U16" i="131"/>
  <c r="V16" i="131" s="1"/>
  <c r="T16" i="131"/>
  <c r="T17" i="131"/>
  <c r="U17" i="131"/>
  <c r="V17" i="131" s="1"/>
  <c r="T10" i="135"/>
  <c r="U10" i="135" s="1"/>
  <c r="S10" i="135"/>
  <c r="V11" i="123"/>
  <c r="U11" i="123"/>
  <c r="V20" i="119"/>
  <c r="X20" i="119" s="1"/>
  <c r="U20" i="119"/>
  <c r="U10" i="121"/>
  <c r="V10" i="121"/>
  <c r="W10" i="121" s="1"/>
  <c r="O35" i="121"/>
  <c r="V18" i="121"/>
  <c r="W18" i="121" s="1"/>
  <c r="U18" i="121"/>
  <c r="V11" i="121"/>
  <c r="W11" i="121" s="1"/>
  <c r="U11" i="121"/>
  <c r="S14" i="133"/>
  <c r="U11" i="118"/>
  <c r="O14" i="133"/>
  <c r="O16" i="132"/>
  <c r="X11" i="119"/>
  <c r="U11" i="119"/>
  <c r="R20" i="131"/>
  <c r="N20" i="131"/>
  <c r="U12" i="118"/>
  <c r="Q20" i="120"/>
  <c r="O25" i="123"/>
  <c r="S24" i="119"/>
  <c r="S25" i="123"/>
  <c r="Q35" i="121"/>
  <c r="M20" i="120"/>
  <c r="M25" i="123"/>
  <c r="S14" i="118"/>
  <c r="O24" i="119"/>
  <c r="Q14" i="118"/>
  <c r="V10" i="120"/>
  <c r="W10" i="120" s="1"/>
  <c r="M12" i="127"/>
  <c r="Q25" i="123"/>
  <c r="S35" i="121"/>
  <c r="M24" i="119"/>
  <c r="Q24" i="119"/>
  <c r="O14" i="118"/>
  <c r="M14" i="118"/>
  <c r="M35" i="121"/>
  <c r="V17" i="123" l="1"/>
  <c r="W17" i="123" s="1"/>
  <c r="W16" i="123" s="1"/>
  <c r="U15" i="131"/>
  <c r="V15" i="131" s="1"/>
  <c r="W15" i="131" s="1"/>
  <c r="T18" i="131"/>
  <c r="W18" i="131" s="1"/>
  <c r="T13" i="135"/>
  <c r="U13" i="135" s="1"/>
  <c r="V13" i="135" s="1"/>
  <c r="T11" i="135"/>
  <c r="U11" i="135" s="1"/>
  <c r="V11" i="135" s="1"/>
  <c r="X13" i="123"/>
  <c r="T12" i="131"/>
  <c r="W12" i="131" s="1"/>
  <c r="X19" i="120"/>
  <c r="X18" i="123"/>
  <c r="X11" i="121"/>
  <c r="X18" i="121"/>
  <c r="X10" i="121"/>
  <c r="W16" i="131"/>
  <c r="W10" i="131"/>
  <c r="X14" i="120"/>
  <c r="W11" i="131"/>
  <c r="X12" i="133"/>
  <c r="X29" i="121"/>
  <c r="X21" i="123"/>
  <c r="Y15" i="119"/>
  <c r="U27" i="121"/>
  <c r="V10" i="134"/>
  <c r="U10" i="134"/>
  <c r="T14" i="134"/>
  <c r="W28" i="121"/>
  <c r="W27" i="121" s="1"/>
  <c r="V27" i="121"/>
  <c r="V10" i="135"/>
  <c r="Y17" i="119"/>
  <c r="X12" i="120"/>
  <c r="X13" i="120"/>
  <c r="X11" i="120"/>
  <c r="Y13" i="119"/>
  <c r="W17" i="131"/>
  <c r="V15" i="135"/>
  <c r="U10" i="123"/>
  <c r="U16" i="123"/>
  <c r="V16" i="135"/>
  <c r="W11" i="123"/>
  <c r="W10" i="123" s="1"/>
  <c r="V10" i="123"/>
  <c r="N26" i="135"/>
  <c r="V14" i="135"/>
  <c r="Y20" i="119"/>
  <c r="U12" i="123"/>
  <c r="W12" i="123"/>
  <c r="V12" i="123"/>
  <c r="V9" i="121"/>
  <c r="V35" i="121" s="1"/>
  <c r="U9" i="121"/>
  <c r="U35" i="121" s="1"/>
  <c r="V11" i="118"/>
  <c r="W11" i="118" s="1"/>
  <c r="X11" i="118" s="1"/>
  <c r="P14" i="133"/>
  <c r="Y11" i="119"/>
  <c r="W20" i="123"/>
  <c r="V20" i="123"/>
  <c r="O20" i="131"/>
  <c r="R16" i="132"/>
  <c r="V16" i="119"/>
  <c r="U16" i="119"/>
  <c r="P16" i="132"/>
  <c r="U20" i="123"/>
  <c r="V12" i="118"/>
  <c r="W12" i="118" s="1"/>
  <c r="X12" i="118" s="1"/>
  <c r="N25" i="123"/>
  <c r="U10" i="120"/>
  <c r="N24" i="119"/>
  <c r="U14" i="119"/>
  <c r="N35" i="121"/>
  <c r="N12" i="127"/>
  <c r="U19" i="119"/>
  <c r="U18" i="119" s="1"/>
  <c r="V19" i="119"/>
  <c r="V18" i="119" s="1"/>
  <c r="N14" i="118"/>
  <c r="U25" i="123" l="1"/>
  <c r="W25" i="123"/>
  <c r="V16" i="123"/>
  <c r="V25" i="123" s="1"/>
  <c r="X28" i="121"/>
  <c r="X27" i="121" s="1"/>
  <c r="X10" i="134"/>
  <c r="X9" i="134" s="1"/>
  <c r="X14" i="134" s="1"/>
  <c r="V9" i="134"/>
  <c r="V14" i="134" s="1"/>
  <c r="U9" i="134"/>
  <c r="U14" i="134" s="1"/>
  <c r="X17" i="123"/>
  <c r="X16" i="123" s="1"/>
  <c r="X11" i="123"/>
  <c r="X10" i="123" s="1"/>
  <c r="P26" i="135"/>
  <c r="X12" i="123"/>
  <c r="W9" i="121"/>
  <c r="W35" i="121" s="1"/>
  <c r="X9" i="121"/>
  <c r="R14" i="133"/>
  <c r="X20" i="123"/>
  <c r="U12" i="119"/>
  <c r="X16" i="119"/>
  <c r="T16" i="132"/>
  <c r="Q20" i="131"/>
  <c r="X12" i="119"/>
  <c r="V12" i="119"/>
  <c r="X14" i="119"/>
  <c r="V14" i="119"/>
  <c r="X19" i="119"/>
  <c r="X18" i="119" s="1"/>
  <c r="X10" i="120"/>
  <c r="P14" i="118"/>
  <c r="P12" i="127"/>
  <c r="P35" i="121"/>
  <c r="P25" i="123"/>
  <c r="P24" i="119"/>
  <c r="X35" i="121" l="1"/>
  <c r="X25" i="123"/>
  <c r="Y10" i="134"/>
  <c r="Y9" i="134" s="1"/>
  <c r="Y14" i="134" s="1"/>
  <c r="T9" i="135"/>
  <c r="S9" i="135"/>
  <c r="R26" i="135"/>
  <c r="T14" i="133"/>
  <c r="Y16" i="119"/>
  <c r="V16" i="132"/>
  <c r="W16" i="132"/>
  <c r="U16" i="132"/>
  <c r="S20" i="131"/>
  <c r="Y12" i="119"/>
  <c r="Y14" i="119"/>
  <c r="Y19" i="119"/>
  <c r="Y18" i="119" s="1"/>
  <c r="R35" i="121"/>
  <c r="R25" i="123"/>
  <c r="R12" i="127"/>
  <c r="R14" i="118"/>
  <c r="R24" i="119"/>
  <c r="S26" i="135" l="1"/>
  <c r="T26" i="135"/>
  <c r="U9" i="135"/>
  <c r="U26" i="135" s="1"/>
  <c r="W14" i="133"/>
  <c r="V14" i="133"/>
  <c r="U14" i="133"/>
  <c r="X16" i="132"/>
  <c r="V20" i="131"/>
  <c r="U20" i="131"/>
  <c r="T20" i="131"/>
  <c r="U10" i="127"/>
  <c r="V10" i="127"/>
  <c r="T12" i="127"/>
  <c r="V8" i="119"/>
  <c r="V24" i="119" s="1"/>
  <c r="T24" i="119"/>
  <c r="U8" i="119"/>
  <c r="U24" i="119" s="1"/>
  <c r="U10" i="118"/>
  <c r="U14" i="118" s="1"/>
  <c r="V10" i="118"/>
  <c r="V14" i="118" s="1"/>
  <c r="T14" i="118"/>
  <c r="T25" i="123"/>
  <c r="T35" i="121"/>
  <c r="V9" i="135" l="1"/>
  <c r="V26" i="135" s="1"/>
  <c r="X14" i="133"/>
  <c r="W20" i="131"/>
  <c r="U12" i="127"/>
  <c r="V12" i="127"/>
  <c r="X10" i="127"/>
  <c r="X12" i="127" s="1"/>
  <c r="X8" i="119"/>
  <c r="X24" i="119" s="1"/>
  <c r="W10" i="118"/>
  <c r="W14" i="118" s="1"/>
  <c r="Y10" i="127" l="1"/>
  <c r="Y12" i="127" s="1"/>
  <c r="Y8" i="119"/>
  <c r="Y24" i="119" s="1"/>
  <c r="X10" i="118"/>
  <c r="X14" i="118" s="1"/>
  <c r="H20" i="120"/>
  <c r="G9" i="120"/>
  <c r="S20" i="120" l="1"/>
  <c r="O20" i="120"/>
  <c r="L20" i="120"/>
  <c r="N20" i="120"/>
  <c r="J20" i="120"/>
  <c r="P20" i="120" l="1"/>
  <c r="R20" i="120" l="1"/>
  <c r="T20" i="120" l="1"/>
  <c r="U20" i="120" l="1"/>
  <c r="W20" i="120"/>
  <c r="V20" i="120" l="1"/>
  <c r="X20" i="120"/>
</calcChain>
</file>

<file path=xl/sharedStrings.xml><?xml version="1.0" encoding="utf-8"?>
<sst xmlns="http://schemas.openxmlformats.org/spreadsheetml/2006/main" count="1153" uniqueCount="329">
  <si>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</si>
  <si>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</si>
  <si>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</si>
  <si>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</si>
  <si>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</si>
  <si>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</si>
  <si>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</si>
  <si>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</si>
  <si>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</si>
  <si>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</si>
  <si>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</si>
  <si>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</si>
  <si>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</si>
  <si>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</si>
  <si>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</si>
  <si>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</si>
  <si>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</si>
  <si>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</si>
  <si>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</si>
  <si>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</si>
  <si>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</si>
  <si>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</si>
  <si>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</si>
  <si>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</si>
  <si>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</si>
  <si>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</si>
  <si>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</si>
  <si>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</si>
  <si>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</si>
  <si>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</si>
  <si>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</si>
  <si>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</si>
  <si>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</si>
  <si>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</si>
  <si>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</si>
  <si>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</si>
  <si>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</si>
  <si>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</si>
  <si>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</si>
  <si>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</si>
  <si>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</si>
  <si>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</si>
  <si>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</si>
  <si>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</si>
  <si>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</si>
  <si>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</si>
  <si>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</si>
  <si>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</si>
  <si>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</si>
  <si>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</si>
  <si>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</si>
  <si>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</si>
  <si>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</si>
  <si>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</si>
  <si>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</si>
  <si>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</si>
  <si>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</si>
  <si>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</si>
  <si>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</si>
  <si>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</si>
  <si>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</si>
  <si>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</si>
  <si>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</si>
  <si>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</si>
  <si>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</si>
  <si>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</si>
  <si>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</si>
  <si>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</si>
  <si>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MARIA GUADALUPE PEREZ LLAMAS</t>
  </si>
  <si>
    <t>ENC. DEL REGISTRO CIVIL</t>
  </si>
  <si>
    <t>DIRECTOR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</si>
  <si>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</si>
  <si>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</si>
  <si>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</si>
  <si>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</si>
  <si>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</si>
  <si>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</si>
  <si>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</si>
  <si>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</si>
  <si>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</si>
  <si>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</si>
  <si>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</si>
  <si>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</si>
  <si>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</si>
  <si>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</si>
  <si>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</si>
  <si>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</si>
  <si>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</si>
  <si>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</si>
  <si>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</si>
  <si>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</si>
  <si>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</si>
  <si>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</si>
  <si>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</si>
  <si>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</si>
  <si>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</si>
  <si>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</si>
  <si>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</si>
  <si>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</si>
  <si>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</si>
  <si>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</si>
  <si>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</si>
  <si>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</si>
  <si>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</si>
  <si>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</si>
  <si>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</si>
  <si>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</si>
  <si>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</si>
  <si>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</si>
  <si>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</si>
  <si>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</si>
  <si>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</si>
  <si>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</si>
  <si>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</si>
  <si>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</si>
  <si>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</si>
  <si>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</si>
  <si>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</si>
  <si>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028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</si>
  <si>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</si>
  <si>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</si>
  <si>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</si>
  <si>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</si>
  <si>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</si>
  <si>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</si>
  <si>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</si>
  <si>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</si>
  <si>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</si>
  <si>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</si>
  <si>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</si>
  <si>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</si>
  <si>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</si>
  <si>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</si>
  <si>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</si>
  <si>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</si>
  <si>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</si>
  <si>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</si>
  <si>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</si>
  <si>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</si>
  <si>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</si>
  <si>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</si>
  <si>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</si>
  <si>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</si>
  <si>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</si>
  <si>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152</t>
  </si>
  <si>
    <t>153</t>
  </si>
  <si>
    <t>154</t>
  </si>
  <si>
    <t>MARIA GUADALUPE SOLIS CASILLAS</t>
  </si>
  <si>
    <t>FRED DE JESUS VILLALOBOS CASTILLO</t>
  </si>
  <si>
    <t>J CRUZ DIAZ OROZCO</t>
  </si>
  <si>
    <t>OPERADOR MOTOCONFORMADORA</t>
  </si>
  <si>
    <t>AUX. MODULO DE MAQUINARIA</t>
  </si>
  <si>
    <t xml:space="preserve">ENCARGADA DE COMEDOR </t>
  </si>
  <si>
    <t>AUXILIAR DISTRIBUCIÓN DE AGUA POTABLE</t>
  </si>
  <si>
    <t>JOSE MAGDALENO CASTRO AVELAR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</si>
  <si>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</si>
  <si>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</si>
  <si>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</si>
  <si>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</si>
  <si>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</si>
  <si>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</si>
  <si>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</si>
  <si>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</si>
  <si>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</si>
  <si>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</si>
  <si>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ALDO JOSUE RUIZ GONZALEZ</t>
  </si>
  <si>
    <t>02</t>
  </si>
  <si>
    <t xml:space="preserve">                   L.C.P. CESAR JÉSUS LANDEROS MORA</t>
  </si>
  <si>
    <t xml:space="preserve">                               L.C.P. CESAR JÉSUS LANDEROS MORA</t>
  </si>
  <si>
    <t xml:space="preserve">                              L.C.P. CESAR JÉSUS LANDEROS MORA</t>
  </si>
  <si>
    <t xml:space="preserve">                      L.C.P. CESAR JÉSUS LANDEROS MORA</t>
  </si>
  <si>
    <t xml:space="preserve">                          L.C.P. CESAR JÉSUS LANDEROS MORA</t>
  </si>
  <si>
    <t xml:space="preserve">                        L.C.P. CESAR JÉSUS LANDEROS MORA</t>
  </si>
  <si>
    <t>157</t>
  </si>
  <si>
    <t>158</t>
  </si>
  <si>
    <t>164</t>
  </si>
  <si>
    <t>168</t>
  </si>
  <si>
    <t>172</t>
  </si>
  <si>
    <t>173</t>
  </si>
  <si>
    <t>177</t>
  </si>
  <si>
    <t>183</t>
  </si>
  <si>
    <t>RODRIGO ROBLES FLORES</t>
  </si>
  <si>
    <t>184</t>
  </si>
  <si>
    <t>MARCOS NUÑEZ SILVA</t>
  </si>
  <si>
    <t>OPERADOR RETROEXCAVADORA</t>
  </si>
  <si>
    <t>ENRIQUE GARCIA ROJAS</t>
  </si>
  <si>
    <t>ENCARGADO DE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</si>
  <si>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</si>
  <si>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</si>
  <si>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</si>
  <si>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</si>
  <si>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</si>
  <si>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</si>
  <si>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</si>
  <si>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</si>
  <si>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</si>
  <si>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</si>
  <si>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</si>
  <si>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</si>
  <si>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</si>
  <si>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195</t>
  </si>
  <si>
    <t>198</t>
  </si>
  <si>
    <t>201</t>
  </si>
  <si>
    <t>CONTRALORIA MUNICIPAL</t>
  </si>
  <si>
    <t>210</t>
  </si>
  <si>
    <t>214</t>
  </si>
  <si>
    <t>216</t>
  </si>
  <si>
    <t>JULIAN MADERA CASTRO</t>
  </si>
  <si>
    <t>JORGE SANDOVAL FLORES</t>
  </si>
  <si>
    <t>217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</si>
  <si>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</si>
  <si>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</si>
  <si>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</si>
  <si>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</si>
  <si>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</si>
  <si>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</si>
  <si>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</si>
  <si>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</si>
  <si>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</si>
  <si>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ADRIAN AYALA MARTINEZ</t>
  </si>
  <si>
    <t>TURISMO</t>
  </si>
  <si>
    <t>229</t>
  </si>
  <si>
    <t>MISAEL AVILA URZUA</t>
  </si>
  <si>
    <t>JUAN MANUEL GUTIERREZ RODRIGUEZ</t>
  </si>
  <si>
    <t>J GUADALUPE RAMIREZ GARCIA</t>
  </si>
  <si>
    <t>234</t>
  </si>
  <si>
    <t>232</t>
  </si>
  <si>
    <t>236</t>
  </si>
  <si>
    <t>241</t>
  </si>
  <si>
    <t>JOSE SANDOVAL VITELA</t>
  </si>
  <si>
    <t>231</t>
  </si>
  <si>
    <t>015</t>
  </si>
  <si>
    <t>242</t>
  </si>
  <si>
    <t>245</t>
  </si>
  <si>
    <t>DAVID CASTRO AVILA</t>
  </si>
  <si>
    <t>DIRECTOR OBRAS</t>
  </si>
  <si>
    <t>248</t>
  </si>
  <si>
    <t>GILBERTO CASTRO BALTIERRA</t>
  </si>
  <si>
    <t>EMILIA RAMIREZ CASTRO</t>
  </si>
  <si>
    <t>251</t>
  </si>
  <si>
    <t>SAMUEL LLAMAS AGUAYO</t>
  </si>
  <si>
    <t>256</t>
  </si>
  <si>
    <t>EJERCICIO 2021</t>
  </si>
  <si>
    <t>TABLAS PUBLICADAS EL 11 DE ENERO DE 2021</t>
  </si>
  <si>
    <t xml:space="preserve">SALARIO MINIMO GENERAL </t>
  </si>
  <si>
    <t>UMA</t>
  </si>
  <si>
    <t>254</t>
  </si>
  <si>
    <t>258</t>
  </si>
  <si>
    <t>TITULAR DEL ORGANO INTERNO DE CONTROL</t>
  </si>
  <si>
    <t>DIAS</t>
  </si>
  <si>
    <t>264</t>
  </si>
  <si>
    <t>265</t>
  </si>
  <si>
    <t>266</t>
  </si>
  <si>
    <t>267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</si>
  <si>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</si>
  <si>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</si>
  <si>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</si>
  <si>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</si>
  <si>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</si>
  <si>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</si>
  <si>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JUEZ MUNICIPAL</t>
  </si>
  <si>
    <t>GUILLERMINA GARCIA CASTRO</t>
  </si>
  <si>
    <t xml:space="preserve">                                                PRESIDENTE MUNICIPAL</t>
  </si>
  <si>
    <t xml:space="preserve">                                                PRESIDENTE MUNICIPAL </t>
  </si>
  <si>
    <t xml:space="preserve">                                          C. MARIA LUZ ELENA GUZMAN CARDONA</t>
  </si>
  <si>
    <t xml:space="preserve">                                          C.MARIA  LUZ ELENA GUZMAN CARDONA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</si>
  <si>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</si>
  <si>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</si>
  <si>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</si>
  <si>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268</t>
  </si>
  <si>
    <t>SUELDO  DEL 01 AL 15 DE OCTUBRE DE 2021</t>
  </si>
  <si>
    <t>DIRECTOR DE PROYECTOS PRODUCTIVOS</t>
  </si>
  <si>
    <t>269</t>
  </si>
  <si>
    <t>270</t>
  </si>
  <si>
    <t>271</t>
  </si>
  <si>
    <t>272</t>
  </si>
  <si>
    <t>273</t>
  </si>
  <si>
    <t>274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</si>
  <si>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</si>
  <si>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</si>
  <si>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</si>
  <si>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</si>
  <si>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</si>
  <si>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</si>
  <si>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</si>
  <si>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</si>
  <si>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LUCIA GUZMAN GONZALEZ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</si>
  <si>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</si>
  <si>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</si>
  <si>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</si>
  <si>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</si>
  <si>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</si>
  <si>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</si>
  <si>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</si>
  <si>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</si>
  <si>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</si>
  <si>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</si>
  <si>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</si>
  <si>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</si>
  <si>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</si>
  <si>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</si>
  <si>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</si>
  <si>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</si>
  <si>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</si>
  <si>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                            TESORERO ENC. DE LA HACIENDA MPAL.</t>
  </si>
  <si>
    <t xml:space="preserve">                  TESORERO ENC. DE LA HACIENDA MPAL.</t>
  </si>
  <si>
    <t xml:space="preserve">                    TESORERO ENC. DE LA HACIENDA MPAL.</t>
  </si>
  <si>
    <t xml:space="preserve">  </t>
  </si>
  <si>
    <t>GABRIELA CASTRO SOTO</t>
  </si>
  <si>
    <t>AFANADORA PRESIDENCIA MUNICIPAL</t>
  </si>
  <si>
    <t>DIRECTOR DE CULTURA Y MEDIOS AUDIOVISUALES</t>
  </si>
  <si>
    <t>EDUCACIÓN</t>
  </si>
  <si>
    <t>016</t>
  </si>
  <si>
    <t>OFELIA CASTRO CASTRO</t>
  </si>
  <si>
    <t>AFANADORA JARDIN DE NIÑOS</t>
  </si>
  <si>
    <t>DEPORTE</t>
  </si>
  <si>
    <t>055</t>
  </si>
  <si>
    <t>MARIA DE LOS ANGELES AVILA ORTEGA</t>
  </si>
  <si>
    <t>AFANADORA UNIDAD DEPORTIVA</t>
  </si>
  <si>
    <t>CEMENTERIOS</t>
  </si>
  <si>
    <t>053</t>
  </si>
  <si>
    <t>MIGUEL RAMIREZ RAMIREZ</t>
  </si>
  <si>
    <t>ENC. MANTENIMIENTO PANTEON MUNICIPAL</t>
  </si>
  <si>
    <t>285</t>
  </si>
  <si>
    <t>AFANADORA SANITARIOS PÙBLICOS</t>
  </si>
  <si>
    <t>MA GUADALUPE MARISCAL ARELLANO</t>
  </si>
  <si>
    <t xml:space="preserve">                       TESORERO ENC. DE LA HACIENDA MPAL.</t>
  </si>
  <si>
    <t xml:space="preserve">              TESORERO ENC. DE LA HACIENDA MPAL.</t>
  </si>
  <si>
    <t xml:space="preserve">                   TESORERO ENC. DE LA HACIENDA MPAL.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</si>
</sst>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299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0" xfId="0" applyFont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0" fontId="25" fillId="0" borderId="0" xfId="0" applyFont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5" fillId="0" borderId="0" xfId="0" applyFont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27" fillId="0" borderId="4" xfId="0" applyFont="1" applyBorder="1" applyAlignment="1" applyProtection="1">
      <alignment horizontal="left"/>
      <protection locked="0"/>
    </xf>
    <xf numFmtId="0" fontId="27" fillId="0" borderId="4" xfId="0" applyFont="1" applyBorder="1" applyAlignment="1" applyProtection="1">
      <alignment horizontal="center"/>
      <protection locked="0"/>
    </xf>
    <xf numFmtId="165" fontId="27" fillId="0" borderId="4" xfId="2" applyNumberFormat="1" applyFont="1" applyFill="1" applyBorder="1" applyAlignment="1" applyProtection="1">
      <alignment horizontal="right"/>
    </xf>
    <xf numFmtId="165" fontId="27" fillId="0" borderId="4" xfId="2" applyNumberFormat="1" applyFont="1" applyBorder="1" applyAlignment="1" applyProtection="1">
      <alignment horizontal="right"/>
      <protection locked="0"/>
    </xf>
    <xf numFmtId="165" fontId="27" fillId="0" borderId="4" xfId="2" applyNumberFormat="1" applyFont="1" applyBorder="1" applyAlignment="1" applyProtection="1">
      <alignment horizontal="right"/>
    </xf>
    <xf numFmtId="165" fontId="27" fillId="2" borderId="4" xfId="2" applyNumberFormat="1" applyFont="1" applyFill="1" applyBorder="1" applyAlignment="1" applyProtection="1">
      <alignment horizontal="right"/>
    </xf>
    <xf numFmtId="10" fontId="27" fillId="2" borderId="4" xfId="3" applyNumberFormat="1" applyFont="1" applyFill="1" applyBorder="1" applyAlignment="1" applyProtection="1">
      <alignment horizontal="right"/>
    </xf>
    <xf numFmtId="165" fontId="27" fillId="7" borderId="4" xfId="2" applyNumberFormat="1" applyFont="1" applyFill="1" applyBorder="1" applyAlignment="1" applyProtection="1">
      <alignment horizontal="right"/>
    </xf>
    <xf numFmtId="166" fontId="27" fillId="0" borderId="4" xfId="2" applyNumberFormat="1" applyFont="1" applyBorder="1" applyAlignment="1" applyProtection="1">
      <alignment horizontal="right"/>
      <protection locked="0"/>
    </xf>
    <xf numFmtId="0" fontId="27" fillId="0" borderId="4" xfId="0" applyFont="1" applyBorder="1"/>
    <xf numFmtId="165" fontId="28" fillId="0" borderId="8" xfId="2" applyNumberFormat="1" applyFont="1" applyBorder="1" applyAlignment="1" applyProtection="1">
      <alignment horizontal="right"/>
    </xf>
    <xf numFmtId="165" fontId="28" fillId="2" borderId="8" xfId="2" applyNumberFormat="1" applyFont="1" applyFill="1" applyBorder="1" applyAlignment="1" applyProtection="1">
      <alignment horizontal="right"/>
    </xf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0" fontId="27" fillId="0" borderId="16" xfId="0" applyFont="1" applyBorder="1" applyAlignment="1" applyProtection="1">
      <alignment horizontal="center"/>
      <protection locked="0"/>
    </xf>
    <xf numFmtId="0" fontId="27" fillId="0" borderId="4" xfId="0" applyFont="1" applyBorder="1" applyAlignment="1" applyProtection="1">
      <alignment horizontal="left" wrapText="1"/>
      <protection locked="0"/>
    </xf>
    <xf numFmtId="2" fontId="27" fillId="0" borderId="4" xfId="0" applyNumberFormat="1" applyFont="1" applyBorder="1" applyAlignment="1" applyProtection="1">
      <alignment horizontal="right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165" fontId="27" fillId="3" borderId="4" xfId="2" applyNumberFormat="1" applyFont="1" applyFill="1" applyBorder="1" applyAlignment="1" applyProtection="1">
      <alignment horizontal="right"/>
    </xf>
    <xf numFmtId="0" fontId="27" fillId="5" borderId="4" xfId="0" applyFont="1" applyFill="1" applyBorder="1" applyAlignment="1" applyProtection="1">
      <alignment horizontal="left"/>
      <protection locked="0"/>
    </xf>
    <xf numFmtId="165" fontId="27" fillId="0" borderId="7" xfId="2" applyNumberFormat="1" applyFont="1" applyBorder="1" applyAlignment="1" applyProtection="1">
      <alignment horizontal="right"/>
    </xf>
    <xf numFmtId="49" fontId="27" fillId="5" borderId="4" xfId="0" applyNumberFormat="1" applyFont="1" applyFill="1" applyBorder="1" applyAlignment="1">
      <alignment horizontal="center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1" fontId="28" fillId="0" borderId="0" xfId="2" applyNumberFormat="1" applyFont="1" applyBorder="1" applyAlignment="1" applyProtection="1">
      <alignment horizontal="right"/>
    </xf>
    <xf numFmtId="1" fontId="28" fillId="0" borderId="0" xfId="2" applyNumberFormat="1" applyFont="1" applyFill="1" applyBorder="1" applyAlignment="1" applyProtection="1">
      <alignment horizontal="right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43" fontId="28" fillId="0" borderId="3" xfId="2" applyFont="1" applyBorder="1" applyAlignment="1" applyProtection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165" fontId="28" fillId="4" borderId="1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43" fontId="27" fillId="0" borderId="4" xfId="2" applyFont="1" applyBorder="1" applyAlignment="1" applyProtection="1">
      <alignment horizontal="right"/>
    </xf>
    <xf numFmtId="0" fontId="28" fillId="7" borderId="1" xfId="0" applyFont="1" applyFill="1" applyBorder="1" applyAlignment="1">
      <alignment horizontal="center"/>
    </xf>
    <xf numFmtId="49" fontId="27" fillId="5" borderId="4" xfId="5" applyNumberFormat="1" applyFont="1" applyFill="1" applyBorder="1" applyAlignment="1" applyProtection="1">
      <alignment vertical="center" wrapText="1"/>
      <protection locked="0"/>
    </xf>
    <xf numFmtId="49" fontId="27" fillId="0" borderId="1" xfId="0" applyNumberFormat="1" applyFont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0" fontId="27" fillId="5" borderId="4" xfId="0" applyFont="1" applyFill="1" applyBorder="1" applyAlignment="1" applyProtection="1">
      <alignment horizontal="center"/>
      <protection locked="0"/>
    </xf>
    <xf numFmtId="165" fontId="27" fillId="5" borderId="4" xfId="2" applyNumberFormat="1" applyFont="1" applyFill="1" applyBorder="1" applyAlignment="1" applyProtection="1">
      <alignment horizontal="right"/>
    </xf>
    <xf numFmtId="165" fontId="27" fillId="5" borderId="4" xfId="2" applyNumberFormat="1" applyFont="1" applyFill="1" applyBorder="1" applyAlignment="1" applyProtection="1">
      <alignment horizontal="right"/>
      <protection locked="0"/>
    </xf>
    <xf numFmtId="166" fontId="27" fillId="5" borderId="4" xfId="2" applyNumberFormat="1" applyFont="1" applyFill="1" applyBorder="1" applyAlignment="1" applyProtection="1">
      <alignment horizontal="right"/>
      <protection locked="0"/>
    </xf>
    <xf numFmtId="49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 applyProtection="1">
      <alignment horizontal="left"/>
      <protection locked="0"/>
    </xf>
    <xf numFmtId="2" fontId="27" fillId="0" borderId="17" xfId="0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Fill="1" applyBorder="1" applyAlignment="1" applyProtection="1">
      <alignment horizontal="right"/>
    </xf>
    <xf numFmtId="165" fontId="27" fillId="0" borderId="3" xfId="2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Border="1" applyAlignment="1" applyProtection="1">
      <alignment horizontal="right"/>
    </xf>
    <xf numFmtId="165" fontId="27" fillId="2" borderId="3" xfId="2" applyNumberFormat="1" applyFont="1" applyFill="1" applyBorder="1" applyAlignment="1" applyProtection="1">
      <alignment horizontal="right"/>
    </xf>
    <xf numFmtId="10" fontId="27" fillId="2" borderId="3" xfId="3" applyNumberFormat="1" applyFont="1" applyFill="1" applyBorder="1" applyAlignment="1" applyProtection="1">
      <alignment horizontal="right"/>
    </xf>
    <xf numFmtId="166" fontId="27" fillId="0" borderId="3" xfId="2" applyNumberFormat="1" applyFont="1" applyBorder="1" applyAlignment="1" applyProtection="1">
      <alignment horizontal="right"/>
      <protection locked="0"/>
    </xf>
    <xf numFmtId="0" fontId="27" fillId="4" borderId="2" xfId="0" applyFont="1" applyFill="1" applyBorder="1"/>
    <xf numFmtId="0" fontId="27" fillId="0" borderId="7" xfId="0" applyFont="1" applyBorder="1" applyAlignment="1">
      <alignment horizontal="center"/>
    </xf>
    <xf numFmtId="0" fontId="27" fillId="5" borderId="4" xfId="0" applyFont="1" applyFill="1" applyBorder="1" applyAlignment="1">
      <alignment horizontal="center"/>
    </xf>
    <xf numFmtId="0" fontId="27" fillId="0" borderId="7" xfId="0" applyFont="1" applyBorder="1" applyAlignment="1" applyProtection="1">
      <alignment horizontal="center"/>
      <protection locked="0"/>
    </xf>
    <xf numFmtId="2" fontId="27" fillId="0" borderId="7" xfId="0" applyNumberFormat="1" applyFont="1" applyBorder="1" applyAlignment="1" applyProtection="1">
      <alignment horizontal="right"/>
      <protection locked="0"/>
    </xf>
    <xf numFmtId="165" fontId="27" fillId="0" borderId="7" xfId="2" applyNumberFormat="1" applyFont="1" applyFill="1" applyBorder="1" applyAlignment="1" applyProtection="1">
      <alignment horizontal="right"/>
    </xf>
    <xf numFmtId="165" fontId="27" fillId="0" borderId="7" xfId="2" applyNumberFormat="1" applyFont="1" applyBorder="1" applyAlignment="1" applyProtection="1">
      <alignment horizontal="right"/>
      <protection locked="0"/>
    </xf>
    <xf numFmtId="43" fontId="27" fillId="0" borderId="7" xfId="2" applyFont="1" applyBorder="1" applyAlignment="1" applyProtection="1">
      <alignment horizontal="right"/>
    </xf>
    <xf numFmtId="166" fontId="27" fillId="0" borderId="7" xfId="2" applyNumberFormat="1" applyFont="1" applyBorder="1" applyAlignment="1" applyProtection="1">
      <alignment horizontal="right"/>
      <protection locked="0"/>
    </xf>
    <xf numFmtId="0" fontId="27" fillId="0" borderId="6" xfId="0" applyFont="1" applyBorder="1" applyAlignment="1">
      <alignment horizontal="center"/>
    </xf>
    <xf numFmtId="1" fontId="28" fillId="0" borderId="6" xfId="2" applyNumberFormat="1" applyFont="1" applyBorder="1" applyAlignment="1" applyProtection="1">
      <alignment horizontal="right"/>
    </xf>
    <xf numFmtId="1" fontId="28" fillId="0" borderId="6" xfId="2" applyNumberFormat="1" applyFont="1" applyFill="1" applyBorder="1" applyAlignment="1" applyProtection="1">
      <alignment horizontal="right"/>
    </xf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16" xfId="0" applyNumberFormat="1" applyFont="1" applyFill="1" applyBorder="1" applyAlignment="1">
      <alignment horizontal="center"/>
    </xf>
    <xf numFmtId="165" fontId="27" fillId="7" borderId="3" xfId="2" applyNumberFormat="1" applyFont="1" applyFill="1" applyBorder="1" applyAlignment="1" applyProtection="1">
      <alignment horizontal="right"/>
    </xf>
    <xf numFmtId="49" fontId="27" fillId="0" borderId="4" xfId="5" applyNumberFormat="1" applyFont="1" applyBorder="1" applyAlignment="1" applyProtection="1">
      <alignment wrapText="1"/>
      <protection locked="0"/>
    </xf>
    <xf numFmtId="49" fontId="27" fillId="0" borderId="18" xfId="0" applyNumberFormat="1" applyFont="1" applyBorder="1" applyAlignment="1">
      <alignment horizontal="center"/>
    </xf>
    <xf numFmtId="0" fontId="27" fillId="5" borderId="2" xfId="0" applyFont="1" applyFill="1" applyBorder="1" applyAlignment="1">
      <alignment horizontal="center"/>
    </xf>
    <xf numFmtId="0" fontId="27" fillId="0" borderId="2" xfId="0" applyFont="1" applyBorder="1"/>
    <xf numFmtId="4" fontId="27" fillId="0" borderId="4" xfId="0" applyNumberFormat="1" applyFont="1" applyBorder="1" applyAlignment="1" applyProtection="1">
      <alignment horizontal="right"/>
      <protection locked="0"/>
    </xf>
    <xf numFmtId="4" fontId="27" fillId="5" borderId="4" xfId="0" applyNumberFormat="1" applyFont="1" applyFill="1" applyBorder="1" applyAlignment="1" applyProtection="1">
      <alignment horizontal="right"/>
      <protection locked="0"/>
    </xf>
    <xf numFmtId="0" fontId="28" fillId="4" borderId="3" xfId="0" applyFont="1" applyFill="1" applyBorder="1" applyAlignment="1">
      <alignment horizontal="center" wrapText="1"/>
    </xf>
    <xf numFmtId="49" fontId="27" fillId="5" borderId="2" xfId="0" applyNumberFormat="1" applyFont="1" applyFill="1" applyBorder="1" applyAlignment="1">
      <alignment horizontal="center"/>
    </xf>
    <xf numFmtId="49" fontId="27" fillId="5" borderId="2" xfId="5" applyNumberFormat="1" applyFont="1" applyFill="1" applyBorder="1" applyAlignment="1" applyProtection="1">
      <alignment vertical="center" wrapText="1"/>
      <protection locked="0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27" fillId="5" borderId="4" xfId="0" applyFont="1" applyFill="1" applyBorder="1" applyAlignment="1" applyProtection="1">
      <alignment horizontal="left" wrapText="1"/>
      <protection locked="0"/>
    </xf>
    <xf numFmtId="0" fontId="4" fillId="5" borderId="4" xfId="0" applyFont="1" applyFill="1" applyBorder="1"/>
    <xf numFmtId="0" fontId="4" fillId="5" borderId="4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left" wrapText="1"/>
    </xf>
    <xf numFmtId="165" fontId="4" fillId="0" borderId="4" xfId="2" applyNumberFormat="1" applyFont="1" applyFill="1" applyBorder="1" applyAlignment="1" applyProtection="1">
      <alignment horizontal="right"/>
    </xf>
    <xf numFmtId="165" fontId="4" fillId="0" borderId="4" xfId="2" applyNumberFormat="1" applyFont="1" applyBorder="1" applyAlignment="1" applyProtection="1">
      <alignment horizontal="right"/>
      <protection locked="0"/>
    </xf>
    <xf numFmtId="165" fontId="4" fillId="0" borderId="4" xfId="2" applyNumberFormat="1" applyFont="1" applyBorder="1" applyAlignment="1" applyProtection="1">
      <alignment horizontal="right"/>
    </xf>
    <xf numFmtId="165" fontId="4" fillId="2" borderId="4" xfId="2" applyNumberFormat="1" applyFont="1" applyFill="1" applyBorder="1" applyAlignment="1" applyProtection="1">
      <alignment horizontal="right"/>
    </xf>
    <xf numFmtId="10" fontId="4" fillId="2" borderId="4" xfId="3" applyNumberFormat="1" applyFont="1" applyFill="1" applyBorder="1" applyAlignment="1" applyProtection="1">
      <alignment horizontal="right"/>
    </xf>
    <xf numFmtId="165" fontId="4" fillId="7" borderId="4" xfId="2" applyNumberFormat="1" applyFont="1" applyFill="1" applyBorder="1" applyAlignment="1" applyProtection="1">
      <alignment horizontal="right"/>
    </xf>
    <xf numFmtId="165" fontId="4" fillId="3" borderId="4" xfId="2" applyNumberFormat="1" applyFont="1" applyFill="1" applyBorder="1" applyAlignment="1" applyProtection="1">
      <alignment horizontal="right"/>
    </xf>
    <xf numFmtId="49" fontId="4" fillId="5" borderId="4" xfId="5" applyNumberFormat="1" applyFont="1" applyFill="1" applyBorder="1" applyAlignment="1" applyProtection="1">
      <alignment vertical="center" wrapText="1"/>
      <protection locked="0"/>
    </xf>
    <xf numFmtId="49" fontId="4" fillId="0" borderId="4" xfId="5" applyNumberFormat="1" applyFont="1" applyBorder="1" applyAlignment="1" applyProtection="1">
      <alignment wrapText="1"/>
      <protection locked="0"/>
    </xf>
    <xf numFmtId="49" fontId="4" fillId="5" borderId="4" xfId="0" applyNumberFormat="1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left"/>
    </xf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0" fontId="18" fillId="4" borderId="4" xfId="0" applyFont="1" applyFill="1" applyBorder="1"/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161925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61549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61549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34018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34018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163369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20211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145662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172557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5</xdr:row>
      <xdr:rowOff>9525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143" t="s">
        <v>244</v>
      </c>
    </row>
    <row r="3" spans="1:9" x14ac:dyDescent="0.2">
      <c r="B3" s="8" t="s">
        <v>49</v>
      </c>
      <c r="C3" s="7"/>
      <c r="D3" s="7"/>
      <c r="E3" s="7"/>
      <c r="F3" s="7"/>
      <c r="G3" s="7"/>
      <c r="I3" s="142">
        <v>141.69999999999999</v>
      </c>
    </row>
    <row r="4" spans="1:9" x14ac:dyDescent="0.2">
      <c r="B4" s="19" t="s">
        <v>242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53" t="s">
        <v>11</v>
      </c>
      <c r="C7" s="253"/>
      <c r="D7" s="253"/>
      <c r="E7" s="7"/>
      <c r="F7" s="246" t="s">
        <v>50</v>
      </c>
      <c r="G7" s="247"/>
      <c r="I7" s="143" t="s">
        <v>245</v>
      </c>
    </row>
    <row r="8" spans="1:9" ht="14.25" customHeight="1" x14ac:dyDescent="0.2">
      <c r="B8" s="250" t="s">
        <v>10</v>
      </c>
      <c r="C8" s="250"/>
      <c r="D8" s="250"/>
      <c r="E8" s="7"/>
      <c r="F8" s="251" t="s">
        <v>51</v>
      </c>
      <c r="G8" s="252"/>
      <c r="I8" s="142">
        <v>89.62</v>
      </c>
    </row>
    <row r="9" spans="1:9" ht="8.25" customHeight="1" x14ac:dyDescent="0.2">
      <c r="B9" s="254"/>
      <c r="C9" s="254"/>
      <c r="D9" s="254"/>
      <c r="E9" s="7"/>
      <c r="F9" s="248"/>
      <c r="G9" s="249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243</v>
      </c>
      <c r="C28" s="7"/>
      <c r="D28" s="7"/>
    </row>
    <row r="29" spans="1:7" x14ac:dyDescent="0.2">
      <c r="B29" s="32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46" t="s">
        <v>55</v>
      </c>
      <c r="G32" s="247"/>
    </row>
    <row r="33" spans="2:7" x14ac:dyDescent="0.2">
      <c r="E33" s="7"/>
      <c r="F33" s="251" t="s">
        <v>56</v>
      </c>
      <c r="G33" s="252"/>
    </row>
    <row r="34" spans="2:7" ht="5.25" customHeight="1" x14ac:dyDescent="0.2">
      <c r="E34" s="7"/>
      <c r="F34" s="248"/>
      <c r="G34" s="249"/>
    </row>
    <row r="35" spans="2:7" x14ac:dyDescent="0.2">
      <c r="B35" s="253" t="s">
        <v>11</v>
      </c>
      <c r="C35" s="253"/>
      <c r="D35" s="253"/>
      <c r="E35" s="7"/>
      <c r="F35" s="9" t="s">
        <v>17</v>
      </c>
      <c r="G35" s="9" t="s">
        <v>18</v>
      </c>
    </row>
    <row r="36" spans="2:7" x14ac:dyDescent="0.2">
      <c r="B36" s="250" t="s">
        <v>10</v>
      </c>
      <c r="C36" s="250"/>
      <c r="D36" s="250"/>
      <c r="E36" s="7"/>
      <c r="F36" s="9"/>
      <c r="G36" s="9" t="s">
        <v>19</v>
      </c>
    </row>
    <row r="37" spans="2:7" x14ac:dyDescent="0.2">
      <c r="B37" s="254"/>
      <c r="C37" s="254"/>
      <c r="D37" s="254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B37:D37"/>
    <mergeCell ref="F34:G34"/>
    <mergeCell ref="B35:D35"/>
    <mergeCell ref="F32:G32"/>
    <mergeCell ref="B36:D36"/>
    <mergeCell ref="F33:G33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26"/>
  <sheetViews>
    <sheetView topLeftCell="D1" workbookViewId="0">
      <selection activeCell="V4" sqref="V1:V1048576"/>
    </sheetView>
  </sheetViews>
  <sheetFormatPr baseColWidth="10" defaultRowHeight="12.75" x14ac:dyDescent="0.2"/>
  <cols>
    <col min="1" max="1" width="10" customWidth="1"/>
    <col min="2" max="2" width="9.7109375" customWidth="1"/>
    <col min="3" max="3" width="38.140625" customWidth="1"/>
    <col min="4" max="4" width="13.42578125" customWidth="1"/>
    <col min="5" max="6" width="0" hidden="1" customWidth="1"/>
    <col min="7" max="7" width="12" bestFit="1" customWidth="1"/>
    <col min="8" max="8" width="10" customWidth="1"/>
    <col min="9" max="9" width="12" bestFit="1" customWidth="1"/>
    <col min="10" max="19" width="0" hidden="1" customWidth="1"/>
    <col min="20" max="20" width="8.85546875" customWidth="1"/>
    <col min="21" max="21" width="11.5703125" bestFit="1" customWidth="1"/>
    <col min="22" max="22" width="13.140625" customWidth="1"/>
    <col min="23" max="23" width="12" bestFit="1" customWidth="1"/>
    <col min="24" max="24" width="45.42578125" customWidth="1"/>
  </cols>
  <sheetData>
    <row r="1" spans="1:25" ht="18" x14ac:dyDescent="0.25">
      <c r="A1" s="266" t="s">
        <v>83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</row>
    <row r="2" spans="1:25" ht="18" x14ac:dyDescent="0.25">
      <c r="A2" s="266" t="s">
        <v>67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25" ht="15" x14ac:dyDescent="0.2">
      <c r="A3" s="289" t="s">
        <v>270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268" t="s">
        <v>1</v>
      </c>
      <c r="H7" s="269"/>
      <c r="I7" s="270"/>
      <c r="J7" s="24" t="s">
        <v>26</v>
      </c>
      <c r="K7" s="25"/>
      <c r="L7" s="271" t="s">
        <v>9</v>
      </c>
      <c r="M7" s="272"/>
      <c r="N7" s="272"/>
      <c r="O7" s="272"/>
      <c r="P7" s="272"/>
      <c r="Q7" s="273"/>
      <c r="R7" s="24" t="s">
        <v>30</v>
      </c>
      <c r="S7" s="24" t="s">
        <v>10</v>
      </c>
      <c r="T7" s="23" t="s">
        <v>54</v>
      </c>
      <c r="U7" s="274" t="s">
        <v>2</v>
      </c>
      <c r="V7" s="276"/>
      <c r="W7" s="23" t="s">
        <v>0</v>
      </c>
      <c r="X7" s="34"/>
    </row>
    <row r="8" spans="1:25" ht="22.5" x14ac:dyDescent="0.2">
      <c r="A8" s="46" t="s">
        <v>106</v>
      </c>
      <c r="B8" s="46" t="s">
        <v>121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60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36" t="s">
        <v>59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61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35"/>
    </row>
    <row r="10" spans="1:25" ht="15" x14ac:dyDescent="0.25">
      <c r="A10" s="39"/>
      <c r="B10" s="39"/>
      <c r="C10" s="95" t="s">
        <v>79</v>
      </c>
      <c r="D10" s="38" t="s">
        <v>63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6"/>
    </row>
    <row r="11" spans="1:25" ht="91.5" customHeight="1" x14ac:dyDescent="0.2">
      <c r="A11" s="147" t="s">
        <v>258</v>
      </c>
      <c r="B11" s="122" t="s">
        <v>120</v>
      </c>
      <c r="C11" s="123" t="s">
        <v>259</v>
      </c>
      <c r="D11" s="123" t="s">
        <v>64</v>
      </c>
      <c r="E11" s="124">
        <v>15</v>
      </c>
      <c r="F11" s="141">
        <f>G11/E11</f>
        <v>933.73333333333335</v>
      </c>
      <c r="G11" s="125">
        <v>14006</v>
      </c>
      <c r="H11" s="126">
        <v>0</v>
      </c>
      <c r="I11" s="127">
        <f>SUM(G11:H11)</f>
        <v>14006</v>
      </c>
      <c r="J11" s="128">
        <f>H11/2</f>
        <v>0</v>
      </c>
      <c r="K11" s="128">
        <f>G11+J11</f>
        <v>14006</v>
      </c>
      <c r="L11" s="128">
        <f t="shared" ref="L11" si="0">VLOOKUP(K11,Tarifa1,1)</f>
        <v>13316.71</v>
      </c>
      <c r="M11" s="128">
        <f>K11-L11</f>
        <v>689.29000000000087</v>
      </c>
      <c r="N11" s="129">
        <f t="shared" ref="N11" si="1">VLOOKUP(K11,Tarifa1,3)</f>
        <v>0.23519999999999999</v>
      </c>
      <c r="O11" s="128">
        <f>M11*N11</f>
        <v>162.12100800000019</v>
      </c>
      <c r="P11" s="130">
        <f t="shared" ref="P11" si="2">VLOOKUP(K11,Tarifa1,2)</f>
        <v>2133.3000000000002</v>
      </c>
      <c r="Q11" s="128">
        <f>O11+P11</f>
        <v>2295.4210080000003</v>
      </c>
      <c r="R11" s="128">
        <f t="shared" ref="R11" si="3">VLOOKUP(K11,Credito1,2)</f>
        <v>0</v>
      </c>
      <c r="S11" s="128">
        <f>Q11-R11</f>
        <v>2295.4210080000003</v>
      </c>
      <c r="T11" s="127">
        <f>-IF(S11&gt;0,0,S11)</f>
        <v>0</v>
      </c>
      <c r="U11" s="127">
        <f>IF(S11&lt;0,0,S11)</f>
        <v>2295.4210080000003</v>
      </c>
      <c r="V11" s="127">
        <f>SUM(U11:U11)</f>
        <v>2295.4210080000003</v>
      </c>
      <c r="W11" s="127">
        <f>I11+T11-V11</f>
        <v>11710.578991999999</v>
      </c>
      <c r="X11" s="97"/>
    </row>
    <row r="12" spans="1:25" ht="15.75" x14ac:dyDescent="0.25">
      <c r="A12" s="152"/>
      <c r="B12" s="152"/>
      <c r="C12" s="152"/>
      <c r="D12" s="152"/>
      <c r="E12" s="199"/>
      <c r="F12" s="152"/>
      <c r="G12" s="200"/>
      <c r="H12" s="200"/>
      <c r="I12" s="200"/>
      <c r="J12" s="201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</row>
    <row r="13" spans="1:25" ht="41.25" customHeight="1" thickBot="1" x14ac:dyDescent="0.3">
      <c r="A13" s="256"/>
      <c r="B13" s="256"/>
      <c r="C13" s="256"/>
      <c r="D13" s="256"/>
      <c r="E13" s="256"/>
      <c r="F13" s="257"/>
      <c r="G13" s="133">
        <f t="shared" ref="G13:W13" si="4">SUM(G11:G12)</f>
        <v>14006</v>
      </c>
      <c r="H13" s="133">
        <f t="shared" si="4"/>
        <v>0</v>
      </c>
      <c r="I13" s="133">
        <f t="shared" si="4"/>
        <v>14006</v>
      </c>
      <c r="J13" s="134">
        <f t="shared" si="4"/>
        <v>0</v>
      </c>
      <c r="K13" s="134">
        <f t="shared" si="4"/>
        <v>14006</v>
      </c>
      <c r="L13" s="134">
        <f t="shared" si="4"/>
        <v>13316.71</v>
      </c>
      <c r="M13" s="134">
        <f t="shared" si="4"/>
        <v>689.29000000000087</v>
      </c>
      <c r="N13" s="134">
        <f t="shared" si="4"/>
        <v>0.23519999999999999</v>
      </c>
      <c r="O13" s="134">
        <f t="shared" si="4"/>
        <v>162.12100800000019</v>
      </c>
      <c r="P13" s="134">
        <f t="shared" si="4"/>
        <v>2133.3000000000002</v>
      </c>
      <c r="Q13" s="134">
        <f t="shared" si="4"/>
        <v>2295.4210080000003</v>
      </c>
      <c r="R13" s="134">
        <f t="shared" si="4"/>
        <v>0</v>
      </c>
      <c r="S13" s="134">
        <f t="shared" si="4"/>
        <v>2295.4210080000003</v>
      </c>
      <c r="T13" s="133">
        <f t="shared" si="4"/>
        <v>0</v>
      </c>
      <c r="U13" s="133">
        <f t="shared" si="4"/>
        <v>2295.4210080000003</v>
      </c>
      <c r="V13" s="133">
        <f t="shared" si="4"/>
        <v>2295.4210080000003</v>
      </c>
      <c r="W13" s="133">
        <f t="shared" si="4"/>
        <v>11710.578991999999</v>
      </c>
    </row>
    <row r="14" spans="1:25" ht="13.5" thickTop="1" x14ac:dyDescent="0.2"/>
    <row r="24" spans="3:24" ht="14.25" x14ac:dyDescent="0.2"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</row>
    <row r="25" spans="3:24" ht="15" x14ac:dyDescent="0.25">
      <c r="C25" s="62" t="s">
        <v>264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102" t="s">
        <v>170</v>
      </c>
      <c r="V25" s="98"/>
      <c r="W25" s="98"/>
      <c r="X25" s="98"/>
    </row>
    <row r="26" spans="3:24" ht="15" x14ac:dyDescent="0.25">
      <c r="C26" s="62" t="s">
        <v>263</v>
      </c>
      <c r="D26" s="102"/>
      <c r="E26" s="102"/>
      <c r="F26" s="102"/>
      <c r="G26" s="102"/>
      <c r="H26" s="102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102" t="s">
        <v>306</v>
      </c>
      <c r="V26" s="102"/>
      <c r="W26" s="102"/>
      <c r="X26" s="102"/>
    </row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70866141732283472" right="0.70866141732283472" top="0.74803149606299213" bottom="0.74803149606299213" header="0.31496062992125984" footer="0.31496062992125984"/>
  <pageSetup scale="54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7"/>
  <sheetViews>
    <sheetView topLeftCell="D10" workbookViewId="0">
      <selection activeCell="W10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customWidth="1"/>
    <col min="7" max="7" width="9" hidden="1" customWidth="1"/>
    <col min="8" max="8" width="13" customWidth="1"/>
    <col min="9" max="9" width="10.140625" customWidth="1"/>
    <col min="10" max="10" width="12.140625" customWidth="1"/>
    <col min="11" max="20" width="11.42578125" hidden="1" customWidth="1"/>
    <col min="21" max="21" width="9" customWidth="1"/>
    <col min="22" max="22" width="10.28515625" customWidth="1"/>
    <col min="24" max="24" width="12.5703125" customWidth="1"/>
    <col min="25" max="25" width="63.140625" customWidth="1"/>
  </cols>
  <sheetData>
    <row r="1" spans="1:25" ht="18" x14ac:dyDescent="0.25">
      <c r="A1" s="266" t="s">
        <v>83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</row>
    <row r="2" spans="1:25" ht="18" x14ac:dyDescent="0.25">
      <c r="A2" s="266" t="s">
        <v>67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25" ht="15" x14ac:dyDescent="0.2">
      <c r="A3" s="289" t="s">
        <v>270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8" t="s">
        <v>1</v>
      </c>
      <c r="I6" s="269"/>
      <c r="J6" s="270"/>
      <c r="K6" s="24" t="s">
        <v>26</v>
      </c>
      <c r="L6" s="25"/>
      <c r="M6" s="271" t="s">
        <v>9</v>
      </c>
      <c r="N6" s="272"/>
      <c r="O6" s="272"/>
      <c r="P6" s="272"/>
      <c r="Q6" s="272"/>
      <c r="R6" s="273"/>
      <c r="S6" s="24" t="s">
        <v>30</v>
      </c>
      <c r="T6" s="24" t="s">
        <v>10</v>
      </c>
      <c r="U6" s="23" t="s">
        <v>54</v>
      </c>
      <c r="V6" s="274" t="s">
        <v>2</v>
      </c>
      <c r="W6" s="276"/>
      <c r="X6" s="23" t="s">
        <v>0</v>
      </c>
      <c r="Y6" s="34"/>
    </row>
    <row r="7" spans="1:25" ht="22.5" x14ac:dyDescent="0.2">
      <c r="A7" s="26" t="s">
        <v>21</v>
      </c>
      <c r="B7" s="46" t="s">
        <v>106</v>
      </c>
      <c r="C7" s="46" t="s">
        <v>121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60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59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61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ht="31.5" customHeight="1" x14ac:dyDescent="0.25">
      <c r="A9" s="169"/>
      <c r="B9" s="169"/>
      <c r="C9" s="169"/>
      <c r="D9" s="212" t="s">
        <v>122</v>
      </c>
      <c r="E9" s="169" t="s">
        <v>63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71"/>
      <c r="U9" s="169"/>
      <c r="V9" s="169"/>
      <c r="W9" s="169"/>
      <c r="X9" s="169"/>
      <c r="Y9" s="41"/>
    </row>
    <row r="10" spans="1:25" s="98" customFormat="1" ht="69.95" customHeight="1" x14ac:dyDescent="0.2">
      <c r="A10" s="121" t="s">
        <v>90</v>
      </c>
      <c r="B10" s="213" t="s">
        <v>182</v>
      </c>
      <c r="C10" s="122" t="s">
        <v>120</v>
      </c>
      <c r="D10" s="214" t="s">
        <v>164</v>
      </c>
      <c r="E10" s="123" t="s">
        <v>123</v>
      </c>
      <c r="F10" s="124">
        <v>5</v>
      </c>
      <c r="G10" s="141">
        <v>208.2</v>
      </c>
      <c r="H10" s="125">
        <v>1010.63</v>
      </c>
      <c r="I10" s="126">
        <v>0</v>
      </c>
      <c r="J10" s="127">
        <f>SUM(H10:I10)</f>
        <v>1010.63</v>
      </c>
      <c r="K10" s="128">
        <f>IF(H10/15&lt;=SMG,0,I10/2)</f>
        <v>0</v>
      </c>
      <c r="L10" s="128">
        <f t="shared" ref="L10:L12" si="0">H10+K10</f>
        <v>1010.63</v>
      </c>
      <c r="M10" s="128">
        <f>VLOOKUP(L10,Tarifa1,1)</f>
        <v>318.01</v>
      </c>
      <c r="N10" s="128">
        <f t="shared" ref="N10:N12" si="1">L10-M10</f>
        <v>692.62</v>
      </c>
      <c r="O10" s="129">
        <f>VLOOKUP(L10,Tarifa1,3)</f>
        <v>6.4000000000000001E-2</v>
      </c>
      <c r="P10" s="128">
        <f t="shared" ref="P10:P12" si="2">N10*O10</f>
        <v>44.327680000000001</v>
      </c>
      <c r="Q10" s="130">
        <f>VLOOKUP(L10,Tarifa1,2)</f>
        <v>6.15</v>
      </c>
      <c r="R10" s="128">
        <f t="shared" ref="R10:R12" si="3">P10+Q10</f>
        <v>50.477679999999999</v>
      </c>
      <c r="S10" s="128">
        <f>VLOOKUP(L10,Credito1,2)</f>
        <v>200.7</v>
      </c>
      <c r="T10" s="128">
        <f t="shared" ref="T10:T12" si="4">ROUND(R10-S10,2)</f>
        <v>-150.22</v>
      </c>
      <c r="U10" s="127">
        <f>-IF(T10&gt;0,0,T10)</f>
        <v>150.22</v>
      </c>
      <c r="V10" s="127">
        <f>IF(T10&lt;0,0,T10)</f>
        <v>0</v>
      </c>
      <c r="W10" s="127">
        <f>SUM(V10:V10)</f>
        <v>0</v>
      </c>
      <c r="X10" s="127">
        <f>J10+U10-W10</f>
        <v>1160.8499999999999</v>
      </c>
      <c r="Y10" s="97"/>
    </row>
    <row r="11" spans="1:25" s="98" customFormat="1" ht="69.95" customHeight="1" x14ac:dyDescent="0.2">
      <c r="A11" s="175"/>
      <c r="B11" s="208">
        <v>188</v>
      </c>
      <c r="C11" s="122" t="s">
        <v>120</v>
      </c>
      <c r="D11" s="209" t="s">
        <v>183</v>
      </c>
      <c r="E11" s="123" t="s">
        <v>123</v>
      </c>
      <c r="F11" s="124">
        <v>15</v>
      </c>
      <c r="G11" s="141"/>
      <c r="H11" s="125">
        <v>3756</v>
      </c>
      <c r="I11" s="126">
        <v>0</v>
      </c>
      <c r="J11" s="127">
        <f>SUM(H11:I11)</f>
        <v>3756</v>
      </c>
      <c r="K11" s="128">
        <f>IF(H11/15&lt;=SMG,0,I11/2)</f>
        <v>0</v>
      </c>
      <c r="L11" s="128">
        <f t="shared" si="0"/>
        <v>3756</v>
      </c>
      <c r="M11" s="128">
        <f>VLOOKUP(L11,Tarifa1,1)</f>
        <v>2699.41</v>
      </c>
      <c r="N11" s="128">
        <f t="shared" si="1"/>
        <v>1056.5900000000001</v>
      </c>
      <c r="O11" s="129">
        <f>VLOOKUP(L11,Tarifa1,3)</f>
        <v>0.10879999999999999</v>
      </c>
      <c r="P11" s="128">
        <f t="shared" si="2"/>
        <v>114.95699200000001</v>
      </c>
      <c r="Q11" s="130">
        <f>VLOOKUP(L11,Tarifa1,2)</f>
        <v>158.55000000000001</v>
      </c>
      <c r="R11" s="128">
        <f t="shared" si="3"/>
        <v>273.50699200000003</v>
      </c>
      <c r="S11" s="144">
        <f>VLOOKUP(L11,Credito1,2)</f>
        <v>0</v>
      </c>
      <c r="T11" s="128">
        <f t="shared" si="4"/>
        <v>273.51</v>
      </c>
      <c r="U11" s="127">
        <f>-IF(T11&gt;0,0,T11)</f>
        <v>0</v>
      </c>
      <c r="V11" s="172">
        <f>IF(T11&lt;0,0,T11)</f>
        <v>273.51</v>
      </c>
      <c r="W11" s="127">
        <f>SUM(V11:V11)</f>
        <v>273.51</v>
      </c>
      <c r="X11" s="127">
        <f>J11+U11-W11</f>
        <v>3482.49</v>
      </c>
      <c r="Y11" s="97"/>
    </row>
    <row r="12" spans="1:25" s="98" customFormat="1" ht="69.95" customHeight="1" x14ac:dyDescent="0.2">
      <c r="A12" s="138"/>
      <c r="B12" s="47" t="s">
        <v>296</v>
      </c>
      <c r="C12" s="47" t="s">
        <v>120</v>
      </c>
      <c r="D12" s="238" t="s">
        <v>297</v>
      </c>
      <c r="E12" s="123" t="s">
        <v>123</v>
      </c>
      <c r="F12" s="124">
        <v>14</v>
      </c>
      <c r="G12" s="141"/>
      <c r="H12" s="125">
        <v>3355.18</v>
      </c>
      <c r="I12" s="126">
        <v>0</v>
      </c>
      <c r="J12" s="127">
        <f>SUM(H12:I12)</f>
        <v>3355.18</v>
      </c>
      <c r="K12" s="128">
        <f>IF(H12/15&lt;=SMG,0,I12/2)</f>
        <v>0</v>
      </c>
      <c r="L12" s="128">
        <f t="shared" si="0"/>
        <v>3355.18</v>
      </c>
      <c r="M12" s="128">
        <f>VLOOKUP(L12,Tarifa1,1)</f>
        <v>2699.41</v>
      </c>
      <c r="N12" s="128">
        <f t="shared" si="1"/>
        <v>655.77</v>
      </c>
      <c r="O12" s="129">
        <f>VLOOKUP(L12,Tarifa1,3)</f>
        <v>0.10879999999999999</v>
      </c>
      <c r="P12" s="128">
        <f t="shared" si="2"/>
        <v>71.347775999999996</v>
      </c>
      <c r="Q12" s="130">
        <f>VLOOKUP(L12,Tarifa1,2)</f>
        <v>158.55000000000001</v>
      </c>
      <c r="R12" s="128">
        <f t="shared" si="3"/>
        <v>229.89777600000002</v>
      </c>
      <c r="S12" s="144">
        <f>VLOOKUP(L12,Credito1,2)</f>
        <v>125.1</v>
      </c>
      <c r="T12" s="128">
        <f t="shared" si="4"/>
        <v>104.8</v>
      </c>
      <c r="U12" s="127">
        <f>-IF(T12&gt;0,0,T12)</f>
        <v>0</v>
      </c>
      <c r="V12" s="172">
        <f>IF(T12&lt;0,0,T12)</f>
        <v>104.8</v>
      </c>
      <c r="W12" s="127">
        <f>SUM(V12:V12)</f>
        <v>104.8</v>
      </c>
      <c r="X12" s="127">
        <f>J12+U12-W12</f>
        <v>3250.3799999999997</v>
      </c>
      <c r="Y12" s="97"/>
    </row>
    <row r="13" spans="1:25" s="98" customFormat="1" ht="69.95" customHeight="1" x14ac:dyDescent="0.2">
      <c r="A13" s="138"/>
      <c r="B13" s="147" t="s">
        <v>241</v>
      </c>
      <c r="C13" s="147" t="s">
        <v>120</v>
      </c>
      <c r="D13" s="145" t="s">
        <v>240</v>
      </c>
      <c r="E13" s="123" t="s">
        <v>123</v>
      </c>
      <c r="F13" s="124">
        <v>12</v>
      </c>
      <c r="G13" s="141"/>
      <c r="H13" s="125">
        <v>2811.43</v>
      </c>
      <c r="I13" s="126">
        <v>0</v>
      </c>
      <c r="J13" s="127">
        <f>SUM(H13:I13)</f>
        <v>2811.43</v>
      </c>
      <c r="K13" s="128">
        <f>IF(H13/15&lt;=SMG,0,I13/2)</f>
        <v>0</v>
      </c>
      <c r="L13" s="128">
        <f t="shared" ref="L13" si="5">H13+K13</f>
        <v>2811.43</v>
      </c>
      <c r="M13" s="128">
        <f>VLOOKUP(L13,Tarifa1,1)</f>
        <v>2699.41</v>
      </c>
      <c r="N13" s="128">
        <f t="shared" ref="N13" si="6">L13-M13</f>
        <v>112.01999999999998</v>
      </c>
      <c r="O13" s="129">
        <f>VLOOKUP(L13,Tarifa1,3)</f>
        <v>0.10879999999999999</v>
      </c>
      <c r="P13" s="128">
        <f t="shared" ref="P13" si="7">N13*O13</f>
        <v>12.187775999999998</v>
      </c>
      <c r="Q13" s="130">
        <f>VLOOKUP(L13,Tarifa1,2)</f>
        <v>158.55000000000001</v>
      </c>
      <c r="R13" s="128">
        <f t="shared" ref="R13" si="8">P13+Q13</f>
        <v>170.737776</v>
      </c>
      <c r="S13" s="144">
        <f>VLOOKUP(L13,Credito1,2)</f>
        <v>145.35</v>
      </c>
      <c r="T13" s="128">
        <f t="shared" ref="T13" si="9">ROUND(R13-S13,2)</f>
        <v>25.39</v>
      </c>
      <c r="U13" s="127">
        <f>-IF(T13&gt;0,0,T13)</f>
        <v>0</v>
      </c>
      <c r="V13" s="172">
        <f>IF(T13&lt;0,0,T13)</f>
        <v>25.39</v>
      </c>
      <c r="W13" s="127">
        <f>SUM(V13:V13)</f>
        <v>25.39</v>
      </c>
      <c r="X13" s="127">
        <f>J13+U13-W13</f>
        <v>2786.04</v>
      </c>
      <c r="Y13" s="97"/>
    </row>
    <row r="14" spans="1:25" s="98" customFormat="1" ht="69.95" customHeight="1" x14ac:dyDescent="0.2">
      <c r="A14" s="152"/>
      <c r="B14" s="208">
        <v>284</v>
      </c>
      <c r="C14" s="122" t="s">
        <v>120</v>
      </c>
      <c r="D14" s="214" t="s">
        <v>293</v>
      </c>
      <c r="E14" s="123" t="s">
        <v>123</v>
      </c>
      <c r="F14" s="124">
        <v>12</v>
      </c>
      <c r="G14" s="141"/>
      <c r="H14" s="125">
        <v>2811.43</v>
      </c>
      <c r="I14" s="126">
        <v>0</v>
      </c>
      <c r="J14" s="127">
        <f>SUM(H14:I14)</f>
        <v>2811.43</v>
      </c>
      <c r="K14" s="128">
        <f>IF(H14/15&lt;=SMG,0,I14/2)</f>
        <v>0</v>
      </c>
      <c r="L14" s="128">
        <f t="shared" ref="L14" si="10">H14+K14</f>
        <v>2811.43</v>
      </c>
      <c r="M14" s="128">
        <f>VLOOKUP(L14,Tarifa1,1)</f>
        <v>2699.41</v>
      </c>
      <c r="N14" s="128">
        <f t="shared" ref="N14" si="11">L14-M14</f>
        <v>112.01999999999998</v>
      </c>
      <c r="O14" s="129">
        <f>VLOOKUP(L14,Tarifa1,3)</f>
        <v>0.10879999999999999</v>
      </c>
      <c r="P14" s="128">
        <f t="shared" ref="P14" si="12">N14*O14</f>
        <v>12.187775999999998</v>
      </c>
      <c r="Q14" s="130">
        <f>VLOOKUP(L14,Tarifa1,2)</f>
        <v>158.55000000000001</v>
      </c>
      <c r="R14" s="128">
        <f t="shared" ref="R14" si="13">P14+Q14</f>
        <v>170.737776</v>
      </c>
      <c r="S14" s="144">
        <f>VLOOKUP(L14,Credito1,2)</f>
        <v>145.35</v>
      </c>
      <c r="T14" s="128">
        <f t="shared" ref="T14" si="14">ROUND(R14-S14,2)</f>
        <v>25.39</v>
      </c>
      <c r="U14" s="127">
        <f>-IF(T14&gt;0,0,T14)</f>
        <v>0</v>
      </c>
      <c r="V14" s="172">
        <f>IF(T14&lt;0,0,T14)</f>
        <v>25.39</v>
      </c>
      <c r="W14" s="127">
        <f>SUM(V14:V14)</f>
        <v>25.39</v>
      </c>
      <c r="X14" s="127">
        <f>J14+U14-W14</f>
        <v>2786.04</v>
      </c>
      <c r="Y14" s="97"/>
    </row>
    <row r="15" spans="1:25" ht="15.75" x14ac:dyDescent="0.25">
      <c r="A15" s="152"/>
      <c r="B15" s="152"/>
      <c r="C15" s="152"/>
      <c r="D15" s="152"/>
      <c r="E15" s="152"/>
      <c r="F15" s="199"/>
      <c r="G15" s="152"/>
      <c r="H15" s="200"/>
      <c r="I15" s="200"/>
      <c r="J15" s="200"/>
      <c r="K15" s="201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</row>
    <row r="16" spans="1:25" ht="45" customHeight="1" thickBot="1" x14ac:dyDescent="0.3">
      <c r="A16" s="255" t="s">
        <v>45</v>
      </c>
      <c r="B16" s="256"/>
      <c r="C16" s="256"/>
      <c r="D16" s="256"/>
      <c r="E16" s="256"/>
      <c r="F16" s="256"/>
      <c r="G16" s="257"/>
      <c r="H16" s="133">
        <f t="shared" ref="H16:X16" si="15">SUM(H10:H15)</f>
        <v>13744.67</v>
      </c>
      <c r="I16" s="133">
        <f t="shared" si="15"/>
        <v>0</v>
      </c>
      <c r="J16" s="133">
        <f t="shared" si="15"/>
        <v>13744.67</v>
      </c>
      <c r="K16" s="134">
        <f t="shared" si="15"/>
        <v>0</v>
      </c>
      <c r="L16" s="134">
        <f t="shared" si="15"/>
        <v>13744.67</v>
      </c>
      <c r="M16" s="134">
        <f t="shared" si="15"/>
        <v>11115.65</v>
      </c>
      <c r="N16" s="134">
        <f t="shared" si="15"/>
        <v>2629.02</v>
      </c>
      <c r="O16" s="134">
        <f t="shared" si="15"/>
        <v>0.49920000000000003</v>
      </c>
      <c r="P16" s="134">
        <f t="shared" si="15"/>
        <v>255.00799999999998</v>
      </c>
      <c r="Q16" s="134">
        <f t="shared" si="15"/>
        <v>640.35</v>
      </c>
      <c r="R16" s="134">
        <f t="shared" si="15"/>
        <v>895.35799999999995</v>
      </c>
      <c r="S16" s="134">
        <f t="shared" si="15"/>
        <v>616.5</v>
      </c>
      <c r="T16" s="134">
        <f t="shared" si="15"/>
        <v>278.86999999999995</v>
      </c>
      <c r="U16" s="133">
        <f t="shared" si="15"/>
        <v>150.22</v>
      </c>
      <c r="V16" s="133">
        <f t="shared" si="15"/>
        <v>429.09</v>
      </c>
      <c r="W16" s="133">
        <f t="shared" si="15"/>
        <v>429.09</v>
      </c>
      <c r="X16" s="133">
        <f t="shared" si="15"/>
        <v>13465.8</v>
      </c>
    </row>
    <row r="17" spans="4:25" ht="13.5" thickTop="1" x14ac:dyDescent="0.2"/>
    <row r="25" spans="4:25" x14ac:dyDescent="0.2">
      <c r="D25" s="4"/>
      <c r="V25" s="4"/>
    </row>
    <row r="26" spans="4:25" ht="15" x14ac:dyDescent="0.25">
      <c r="D26" s="102" t="s">
        <v>264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02" t="s">
        <v>171</v>
      </c>
      <c r="W26" s="98"/>
      <c r="X26" s="98"/>
    </row>
    <row r="27" spans="4:25" ht="15" x14ac:dyDescent="0.25">
      <c r="D27" s="102" t="s">
        <v>263</v>
      </c>
      <c r="E27" s="102"/>
      <c r="F27" s="102"/>
      <c r="G27" s="102"/>
      <c r="H27" s="102"/>
      <c r="I27" s="102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102" t="s">
        <v>327</v>
      </c>
      <c r="W27" s="102"/>
      <c r="X27" s="102"/>
      <c r="Y27" s="43"/>
    </row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 D14 D12" xr:uid="{00000000-0002-0000-0A00-000000000000}"/>
  </dataValidations>
  <pageMargins left="0.47244094488188981" right="0.19685039370078741" top="0.74803149606299213" bottom="0.74803149606299213" header="0.31496062992125984" footer="0.31496062992125984"/>
  <pageSetup scale="5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33"/>
  <sheetViews>
    <sheetView topLeftCell="B19" zoomScale="80" zoomScaleNormal="80" workbookViewId="0">
      <selection activeCell="U19" sqref="U1:U1048576"/>
    </sheetView>
  </sheetViews>
  <sheetFormatPr baseColWidth="10" defaultColWidth="11.42578125" defaultRowHeight="12.75" x14ac:dyDescent="0.2"/>
  <cols>
    <col min="1" max="1" width="5.5703125" style="70" hidden="1" customWidth="1"/>
    <col min="2" max="2" width="9.42578125" style="70" customWidth="1"/>
    <col min="3" max="3" width="7.7109375" style="70" customWidth="1"/>
    <col min="4" max="4" width="22.42578125" style="70" customWidth="1"/>
    <col min="5" max="5" width="6.5703125" style="70" hidden="1" customWidth="1"/>
    <col min="6" max="6" width="14.140625" style="70" customWidth="1"/>
    <col min="7" max="7" width="10.7109375" style="70" customWidth="1"/>
    <col min="8" max="8" width="14" style="70" customWidth="1"/>
    <col min="9" max="9" width="12.7109375" style="70" hidden="1" customWidth="1"/>
    <col min="10" max="10" width="13.140625" style="70" hidden="1" customWidth="1"/>
    <col min="11" max="13" width="11" style="70" hidden="1" customWidth="1"/>
    <col min="14" max="15" width="13.140625" style="70" hidden="1" customWidth="1"/>
    <col min="16" max="16" width="10.5703125" style="70" hidden="1" customWidth="1"/>
    <col min="17" max="17" width="10.42578125" style="70" hidden="1" customWidth="1"/>
    <col min="18" max="18" width="13.140625" style="70" hidden="1" customWidth="1"/>
    <col min="19" max="19" width="11.5703125" style="70" customWidth="1"/>
    <col min="20" max="21" width="13.28515625" style="70" customWidth="1"/>
    <col min="22" max="22" width="13.140625" style="70" customWidth="1"/>
    <col min="23" max="23" width="76.140625" style="70" customWidth="1"/>
    <col min="24" max="24" width="73.42578125" style="70" customWidth="1"/>
    <col min="25" max="16384" width="11.42578125" style="70"/>
  </cols>
  <sheetData>
    <row r="1" spans="1:25" ht="18" x14ac:dyDescent="0.25">
      <c r="A1" s="266" t="s">
        <v>82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4"/>
    </row>
    <row r="2" spans="1:25" ht="18" x14ac:dyDescent="0.25">
      <c r="A2" s="266" t="s">
        <v>67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4"/>
    </row>
    <row r="3" spans="1:25" ht="15" x14ac:dyDescent="0.2">
      <c r="A3" s="42" t="s">
        <v>218</v>
      </c>
      <c r="B3" s="289" t="s">
        <v>270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92"/>
      <c r="Y3" s="9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"/>
    </row>
    <row r="5" spans="1:25" x14ac:dyDescent="0.2">
      <c r="A5" s="22"/>
      <c r="B5" s="22"/>
      <c r="C5" s="22"/>
      <c r="D5" s="22"/>
      <c r="E5" s="23" t="s">
        <v>23</v>
      </c>
      <c r="F5" s="268" t="s">
        <v>1</v>
      </c>
      <c r="G5" s="269"/>
      <c r="H5" s="270"/>
      <c r="I5" s="24" t="s">
        <v>26</v>
      </c>
      <c r="J5" s="25"/>
      <c r="K5" s="271" t="s">
        <v>9</v>
      </c>
      <c r="L5" s="272"/>
      <c r="M5" s="272"/>
      <c r="N5" s="272"/>
      <c r="O5" s="272"/>
      <c r="P5" s="273"/>
      <c r="Q5" s="24" t="s">
        <v>30</v>
      </c>
      <c r="R5" s="24" t="s">
        <v>10</v>
      </c>
      <c r="S5" s="23" t="s">
        <v>54</v>
      </c>
      <c r="T5" s="274" t="s">
        <v>2</v>
      </c>
      <c r="U5" s="276"/>
      <c r="V5" s="23" t="s">
        <v>0</v>
      </c>
      <c r="W5" s="116"/>
      <c r="X5" s="4"/>
    </row>
    <row r="6" spans="1:25" ht="22.5" x14ac:dyDescent="0.2">
      <c r="A6" s="26" t="s">
        <v>21</v>
      </c>
      <c r="B6" s="46" t="s">
        <v>106</v>
      </c>
      <c r="C6" s="46" t="s">
        <v>121</v>
      </c>
      <c r="D6" s="26"/>
      <c r="E6" s="27" t="s">
        <v>24</v>
      </c>
      <c r="F6" s="23" t="s">
        <v>6</v>
      </c>
      <c r="G6" s="23" t="s">
        <v>60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36" t="s">
        <v>59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61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135</v>
      </c>
      <c r="S7" s="26" t="s">
        <v>53</v>
      </c>
      <c r="T7" s="26"/>
      <c r="U7" s="26" t="s">
        <v>44</v>
      </c>
      <c r="V7" s="26" t="s">
        <v>5</v>
      </c>
      <c r="W7" s="117"/>
      <c r="X7" s="4"/>
    </row>
    <row r="8" spans="1:25" ht="28.5" customHeight="1" x14ac:dyDescent="0.25">
      <c r="A8" s="39"/>
      <c r="B8" s="115"/>
      <c r="C8" s="115"/>
      <c r="D8" s="37" t="s">
        <v>63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04"/>
      <c r="X8" s="4"/>
    </row>
    <row r="9" spans="1:25" ht="57.95" customHeight="1" x14ac:dyDescent="0.2">
      <c r="A9" s="121" t="s">
        <v>88</v>
      </c>
      <c r="B9" s="122" t="s">
        <v>143</v>
      </c>
      <c r="C9" s="122" t="s">
        <v>120</v>
      </c>
      <c r="D9" s="123" t="s">
        <v>70</v>
      </c>
      <c r="E9" s="124">
        <v>15</v>
      </c>
      <c r="F9" s="125">
        <v>9702</v>
      </c>
      <c r="G9" s="126">
        <v>0</v>
      </c>
      <c r="H9" s="127">
        <f t="shared" ref="H9:H15" si="0">SUM(F9:G9)</f>
        <v>9702</v>
      </c>
      <c r="I9" s="128">
        <f t="shared" ref="I9:I17" si="1">IF(F9/15&lt;=SMG,0,G9/2)</f>
        <v>0</v>
      </c>
      <c r="J9" s="128">
        <f t="shared" ref="J9" si="2">F9+I9</f>
        <v>9702</v>
      </c>
      <c r="K9" s="128">
        <f t="shared" ref="K9:K17" si="3">VLOOKUP(J9,Tarifa1,1)</f>
        <v>6602.71</v>
      </c>
      <c r="L9" s="128">
        <f t="shared" ref="L9" si="4">J9-K9</f>
        <v>3099.29</v>
      </c>
      <c r="M9" s="129">
        <f t="shared" ref="M9:M17" si="5">VLOOKUP(J9,Tarifa1,3)</f>
        <v>0.21360000000000001</v>
      </c>
      <c r="N9" s="128">
        <f t="shared" ref="N9" si="6">L9*M9</f>
        <v>662.00834400000008</v>
      </c>
      <c r="O9" s="130">
        <f t="shared" ref="O9:O17" si="7">VLOOKUP(J9,Tarifa1,2)</f>
        <v>699.3</v>
      </c>
      <c r="P9" s="128">
        <f t="shared" ref="P9" si="8">N9+O9</f>
        <v>1361.308344</v>
      </c>
      <c r="Q9" s="128">
        <f t="shared" ref="Q9:Q17" si="9">VLOOKUP(J9,Credito1,2)</f>
        <v>0</v>
      </c>
      <c r="R9" s="128">
        <f t="shared" ref="R9" si="10">ROUND(P9-Q9,2)</f>
        <v>1361.31</v>
      </c>
      <c r="S9" s="127">
        <f t="shared" ref="S9:S11" si="11">-IF(R9&gt;0,0,R9)</f>
        <v>0</v>
      </c>
      <c r="T9" s="127">
        <f t="shared" ref="T9:T11" si="12">IF(R9&lt;0,0,R9)</f>
        <v>1361.31</v>
      </c>
      <c r="U9" s="127">
        <f>SUM(T9:T9)</f>
        <v>1361.31</v>
      </c>
      <c r="V9" s="127">
        <f>H9+S9-U9</f>
        <v>8340.69</v>
      </c>
      <c r="W9" s="93"/>
      <c r="X9" s="4"/>
    </row>
    <row r="10" spans="1:25" s="98" customFormat="1" ht="57.95" customHeight="1" x14ac:dyDescent="0.2">
      <c r="A10" s="121"/>
      <c r="B10" s="122" t="s">
        <v>205</v>
      </c>
      <c r="C10" s="122" t="s">
        <v>120</v>
      </c>
      <c r="D10" s="123" t="s">
        <v>84</v>
      </c>
      <c r="E10" s="124">
        <v>15</v>
      </c>
      <c r="F10" s="125">
        <v>7926</v>
      </c>
      <c r="G10" s="126">
        <v>0</v>
      </c>
      <c r="H10" s="127">
        <f t="shared" si="0"/>
        <v>7926</v>
      </c>
      <c r="I10" s="128">
        <f t="shared" si="1"/>
        <v>0</v>
      </c>
      <c r="J10" s="128">
        <f t="shared" ref="J10:J17" si="13">F10+I10</f>
        <v>7926</v>
      </c>
      <c r="K10" s="128">
        <f t="shared" si="3"/>
        <v>6602.71</v>
      </c>
      <c r="L10" s="128">
        <f t="shared" ref="L10:L17" si="14">J10-K10</f>
        <v>1323.29</v>
      </c>
      <c r="M10" s="129">
        <f t="shared" si="5"/>
        <v>0.21360000000000001</v>
      </c>
      <c r="N10" s="128">
        <f t="shared" ref="N10:N17" si="15">L10*M10</f>
        <v>282.65474399999999</v>
      </c>
      <c r="O10" s="130">
        <f t="shared" si="7"/>
        <v>699.3</v>
      </c>
      <c r="P10" s="128">
        <f t="shared" ref="P10:P17" si="16">N10+O10</f>
        <v>981.95474399999989</v>
      </c>
      <c r="Q10" s="128">
        <f t="shared" si="9"/>
        <v>0</v>
      </c>
      <c r="R10" s="128">
        <f t="shared" ref="R10:R17" si="17">ROUND(P10-Q10,2)</f>
        <v>981.95</v>
      </c>
      <c r="S10" s="127">
        <f t="shared" si="11"/>
        <v>0</v>
      </c>
      <c r="T10" s="127">
        <f t="shared" si="12"/>
        <v>981.95</v>
      </c>
      <c r="U10" s="127">
        <f>SUM(T10:T10)</f>
        <v>981.95</v>
      </c>
      <c r="V10" s="127">
        <f>H10+S10-U10</f>
        <v>6944.05</v>
      </c>
      <c r="W10" s="93"/>
      <c r="X10" s="4"/>
    </row>
    <row r="11" spans="1:25" s="98" customFormat="1" ht="57.95" customHeight="1" x14ac:dyDescent="0.2">
      <c r="A11" s="121"/>
      <c r="B11" s="122" t="s">
        <v>217</v>
      </c>
      <c r="C11" s="122" t="s">
        <v>120</v>
      </c>
      <c r="D11" s="123" t="s">
        <v>84</v>
      </c>
      <c r="E11" s="124">
        <v>15</v>
      </c>
      <c r="F11" s="125">
        <v>7926</v>
      </c>
      <c r="G11" s="126">
        <v>0</v>
      </c>
      <c r="H11" s="127">
        <f t="shared" si="0"/>
        <v>7926</v>
      </c>
      <c r="I11" s="128">
        <f t="shared" si="1"/>
        <v>0</v>
      </c>
      <c r="J11" s="128">
        <f t="shared" si="13"/>
        <v>7926</v>
      </c>
      <c r="K11" s="128">
        <f t="shared" si="3"/>
        <v>6602.71</v>
      </c>
      <c r="L11" s="128">
        <f t="shared" si="14"/>
        <v>1323.29</v>
      </c>
      <c r="M11" s="129">
        <f t="shared" si="5"/>
        <v>0.21360000000000001</v>
      </c>
      <c r="N11" s="128">
        <f t="shared" si="15"/>
        <v>282.65474399999999</v>
      </c>
      <c r="O11" s="130">
        <f t="shared" si="7"/>
        <v>699.3</v>
      </c>
      <c r="P11" s="128">
        <f t="shared" si="16"/>
        <v>981.95474399999989</v>
      </c>
      <c r="Q11" s="128">
        <f t="shared" si="9"/>
        <v>0</v>
      </c>
      <c r="R11" s="128">
        <f t="shared" si="17"/>
        <v>981.95</v>
      </c>
      <c r="S11" s="127">
        <f t="shared" si="11"/>
        <v>0</v>
      </c>
      <c r="T11" s="127">
        <f t="shared" si="12"/>
        <v>981.95</v>
      </c>
      <c r="U11" s="127">
        <f>SUM(T11:T11)</f>
        <v>981.95</v>
      </c>
      <c r="V11" s="127">
        <f>H11+S11-U11</f>
        <v>6944.05</v>
      </c>
      <c r="W11" s="93"/>
      <c r="X11" s="4"/>
    </row>
    <row r="12" spans="1:25" s="98" customFormat="1" ht="57.95" customHeight="1" x14ac:dyDescent="0.2">
      <c r="A12" s="138"/>
      <c r="B12" s="122" t="s">
        <v>204</v>
      </c>
      <c r="C12" s="122" t="s">
        <v>120</v>
      </c>
      <c r="D12" s="123" t="s">
        <v>84</v>
      </c>
      <c r="E12" s="124">
        <v>15</v>
      </c>
      <c r="F12" s="125">
        <v>7926</v>
      </c>
      <c r="G12" s="126">
        <v>0</v>
      </c>
      <c r="H12" s="127">
        <f t="shared" ref="H12" si="18">SUM(F12:G12)</f>
        <v>7926</v>
      </c>
      <c r="I12" s="128">
        <f t="shared" ref="I12" si="19">IF(F12/15&lt;=SMG,0,G12/2)</f>
        <v>0</v>
      </c>
      <c r="J12" s="128">
        <f t="shared" ref="J12" si="20">F12+I12</f>
        <v>7926</v>
      </c>
      <c r="K12" s="128">
        <f t="shared" ref="K12" si="21">VLOOKUP(J12,Tarifa1,1)</f>
        <v>6602.71</v>
      </c>
      <c r="L12" s="128">
        <f t="shared" ref="L12" si="22">J12-K12</f>
        <v>1323.29</v>
      </c>
      <c r="M12" s="129">
        <f t="shared" ref="M12" si="23">VLOOKUP(J12,Tarifa1,3)</f>
        <v>0.21360000000000001</v>
      </c>
      <c r="N12" s="128">
        <f t="shared" ref="N12" si="24">L12*M12</f>
        <v>282.65474399999999</v>
      </c>
      <c r="O12" s="130">
        <f t="shared" ref="O12" si="25">VLOOKUP(J12,Tarifa1,2)</f>
        <v>699.3</v>
      </c>
      <c r="P12" s="128">
        <f t="shared" ref="P12" si="26">N12+O12</f>
        <v>981.95474399999989</v>
      </c>
      <c r="Q12" s="128">
        <f t="shared" ref="Q12" si="27">VLOOKUP(J12,Credito1,2)</f>
        <v>0</v>
      </c>
      <c r="R12" s="128">
        <f t="shared" ref="R12" si="28">ROUND(P12-Q12,2)</f>
        <v>981.95</v>
      </c>
      <c r="S12" s="127">
        <f t="shared" ref="S12" si="29">-IF(R12&gt;0,0,R12)</f>
        <v>0</v>
      </c>
      <c r="T12" s="127">
        <f t="shared" ref="T12" si="30">IF(R12&lt;0,0,R12)</f>
        <v>981.95</v>
      </c>
      <c r="U12" s="127">
        <f>SUM(T12:T12)</f>
        <v>981.95</v>
      </c>
      <c r="V12" s="127">
        <f>H12+S12-U12</f>
        <v>6944.05</v>
      </c>
      <c r="W12" s="93"/>
      <c r="X12" s="4"/>
    </row>
    <row r="13" spans="1:25" s="98" customFormat="1" ht="57.95" customHeight="1" x14ac:dyDescent="0.2">
      <c r="A13" s="138"/>
      <c r="B13" s="122" t="s">
        <v>110</v>
      </c>
      <c r="C13" s="122" t="s">
        <v>120</v>
      </c>
      <c r="D13" s="123" t="s">
        <v>85</v>
      </c>
      <c r="E13" s="124">
        <v>15</v>
      </c>
      <c r="F13" s="125">
        <v>7185.5</v>
      </c>
      <c r="G13" s="126">
        <v>0</v>
      </c>
      <c r="H13" s="127">
        <f t="shared" si="0"/>
        <v>7185.5</v>
      </c>
      <c r="I13" s="128">
        <f t="shared" si="1"/>
        <v>0</v>
      </c>
      <c r="J13" s="128">
        <f t="shared" si="13"/>
        <v>7185.5</v>
      </c>
      <c r="K13" s="128">
        <f t="shared" si="3"/>
        <v>6602.71</v>
      </c>
      <c r="L13" s="128">
        <f t="shared" si="14"/>
        <v>582.79</v>
      </c>
      <c r="M13" s="129">
        <f t="shared" si="5"/>
        <v>0.21360000000000001</v>
      </c>
      <c r="N13" s="128">
        <f t="shared" si="15"/>
        <v>124.48394399999999</v>
      </c>
      <c r="O13" s="130">
        <f t="shared" si="7"/>
        <v>699.3</v>
      </c>
      <c r="P13" s="128">
        <f t="shared" si="16"/>
        <v>823.78394399999991</v>
      </c>
      <c r="Q13" s="128">
        <f t="shared" si="9"/>
        <v>0</v>
      </c>
      <c r="R13" s="128">
        <f t="shared" si="17"/>
        <v>823.78</v>
      </c>
      <c r="S13" s="127">
        <f t="shared" ref="S13:S15" si="31">-IF(R13&gt;0,0,R13)</f>
        <v>0</v>
      </c>
      <c r="T13" s="127">
        <f t="shared" ref="T13:T15" si="32">IF(R13&lt;0,0,R13)</f>
        <v>823.78</v>
      </c>
      <c r="U13" s="127">
        <f>SUM(T13:T13)</f>
        <v>823.78</v>
      </c>
      <c r="V13" s="127">
        <f>H13+S13-U13</f>
        <v>6361.72</v>
      </c>
      <c r="W13" s="94"/>
      <c r="X13" s="4"/>
    </row>
    <row r="14" spans="1:25" s="98" customFormat="1" ht="57.95" customHeight="1" x14ac:dyDescent="0.2">
      <c r="A14" s="138"/>
      <c r="B14" s="122" t="s">
        <v>196</v>
      </c>
      <c r="C14" s="122" t="s">
        <v>120</v>
      </c>
      <c r="D14" s="123" t="s">
        <v>85</v>
      </c>
      <c r="E14" s="124">
        <v>15</v>
      </c>
      <c r="F14" s="125">
        <v>7185.5</v>
      </c>
      <c r="G14" s="126">
        <v>0</v>
      </c>
      <c r="H14" s="127">
        <f t="shared" si="0"/>
        <v>7185.5</v>
      </c>
      <c r="I14" s="128">
        <f t="shared" si="1"/>
        <v>0</v>
      </c>
      <c r="J14" s="128">
        <f t="shared" si="13"/>
        <v>7185.5</v>
      </c>
      <c r="K14" s="128">
        <f t="shared" si="3"/>
        <v>6602.71</v>
      </c>
      <c r="L14" s="128">
        <f t="shared" si="14"/>
        <v>582.79</v>
      </c>
      <c r="M14" s="129">
        <f t="shared" si="5"/>
        <v>0.21360000000000001</v>
      </c>
      <c r="N14" s="128">
        <f t="shared" si="15"/>
        <v>124.48394399999999</v>
      </c>
      <c r="O14" s="130">
        <f t="shared" si="7"/>
        <v>699.3</v>
      </c>
      <c r="P14" s="128">
        <f t="shared" si="16"/>
        <v>823.78394399999991</v>
      </c>
      <c r="Q14" s="128">
        <f t="shared" si="9"/>
        <v>0</v>
      </c>
      <c r="R14" s="128">
        <f t="shared" si="17"/>
        <v>823.78</v>
      </c>
      <c r="S14" s="127">
        <f t="shared" si="31"/>
        <v>0</v>
      </c>
      <c r="T14" s="127">
        <f t="shared" si="32"/>
        <v>823.78</v>
      </c>
      <c r="U14" s="127">
        <f>SUM(T14:T14)</f>
        <v>823.78</v>
      </c>
      <c r="V14" s="127">
        <f>H14+S14-U14</f>
        <v>6361.72</v>
      </c>
      <c r="W14" s="94"/>
      <c r="X14" s="4"/>
    </row>
    <row r="15" spans="1:25" ht="57.95" customHeight="1" x14ac:dyDescent="0.2">
      <c r="A15" s="138"/>
      <c r="B15" s="122" t="s">
        <v>213</v>
      </c>
      <c r="C15" s="122" t="s">
        <v>120</v>
      </c>
      <c r="D15" s="123" t="s">
        <v>85</v>
      </c>
      <c r="E15" s="124">
        <v>15</v>
      </c>
      <c r="F15" s="125">
        <v>7185.5</v>
      </c>
      <c r="G15" s="126">
        <v>0</v>
      </c>
      <c r="H15" s="127">
        <f t="shared" si="0"/>
        <v>7185.5</v>
      </c>
      <c r="I15" s="128">
        <f t="shared" si="1"/>
        <v>0</v>
      </c>
      <c r="J15" s="128">
        <f t="shared" si="13"/>
        <v>7185.5</v>
      </c>
      <c r="K15" s="128">
        <f t="shared" si="3"/>
        <v>6602.71</v>
      </c>
      <c r="L15" s="128">
        <f t="shared" si="14"/>
        <v>582.79</v>
      </c>
      <c r="M15" s="129">
        <f t="shared" si="5"/>
        <v>0.21360000000000001</v>
      </c>
      <c r="N15" s="128">
        <f t="shared" si="15"/>
        <v>124.48394399999999</v>
      </c>
      <c r="O15" s="130">
        <f t="shared" si="7"/>
        <v>699.3</v>
      </c>
      <c r="P15" s="128">
        <f t="shared" si="16"/>
        <v>823.78394399999991</v>
      </c>
      <c r="Q15" s="128">
        <f t="shared" si="9"/>
        <v>0</v>
      </c>
      <c r="R15" s="128">
        <f t="shared" si="17"/>
        <v>823.78</v>
      </c>
      <c r="S15" s="127">
        <f t="shared" si="31"/>
        <v>0</v>
      </c>
      <c r="T15" s="127">
        <f t="shared" si="32"/>
        <v>823.78</v>
      </c>
      <c r="U15" s="127">
        <f>SUM(T15:T15)</f>
        <v>823.78</v>
      </c>
      <c r="V15" s="127">
        <f>H15+S15-U15</f>
        <v>6361.72</v>
      </c>
      <c r="W15" s="94"/>
      <c r="X15" s="4"/>
    </row>
    <row r="16" spans="1:25" ht="57.95" customHeight="1" x14ac:dyDescent="0.2">
      <c r="A16" s="138"/>
      <c r="B16" s="122" t="s">
        <v>227</v>
      </c>
      <c r="C16" s="122" t="s">
        <v>120</v>
      </c>
      <c r="D16" s="123" t="s">
        <v>85</v>
      </c>
      <c r="E16" s="139">
        <v>15</v>
      </c>
      <c r="F16" s="125">
        <v>7185.5</v>
      </c>
      <c r="G16" s="126">
        <v>0</v>
      </c>
      <c r="H16" s="127">
        <f t="shared" ref="H16" si="33">SUM(F16:G16)</f>
        <v>7185.5</v>
      </c>
      <c r="I16" s="128">
        <f t="shared" si="1"/>
        <v>0</v>
      </c>
      <c r="J16" s="128">
        <f t="shared" si="13"/>
        <v>7185.5</v>
      </c>
      <c r="K16" s="128">
        <f t="shared" si="3"/>
        <v>6602.71</v>
      </c>
      <c r="L16" s="128">
        <f t="shared" si="14"/>
        <v>582.79</v>
      </c>
      <c r="M16" s="129">
        <f t="shared" si="5"/>
        <v>0.21360000000000001</v>
      </c>
      <c r="N16" s="128">
        <f t="shared" si="15"/>
        <v>124.48394399999999</v>
      </c>
      <c r="O16" s="130">
        <f t="shared" si="7"/>
        <v>699.3</v>
      </c>
      <c r="P16" s="128">
        <f t="shared" si="16"/>
        <v>823.78394399999991</v>
      </c>
      <c r="Q16" s="128">
        <f t="shared" si="9"/>
        <v>0</v>
      </c>
      <c r="R16" s="128">
        <f t="shared" si="17"/>
        <v>823.78</v>
      </c>
      <c r="S16" s="127">
        <f t="shared" ref="S16" si="34">-IF(R16&gt;0,0,R16)</f>
        <v>0</v>
      </c>
      <c r="T16" s="127">
        <f t="shared" ref="T16" si="35">IF(R16&lt;0,0,R16)</f>
        <v>823.78</v>
      </c>
      <c r="U16" s="127">
        <f>SUM(T16:T16)</f>
        <v>823.78</v>
      </c>
      <c r="V16" s="127">
        <f>H16+S16-U16</f>
        <v>6361.72</v>
      </c>
      <c r="W16" s="94"/>
      <c r="X16" s="4"/>
    </row>
    <row r="17" spans="1:24" ht="57.95" customHeight="1" x14ac:dyDescent="0.2">
      <c r="A17" s="138"/>
      <c r="B17" s="122" t="s">
        <v>232</v>
      </c>
      <c r="C17" s="122" t="s">
        <v>120</v>
      </c>
      <c r="D17" s="123" t="s">
        <v>85</v>
      </c>
      <c r="E17" s="124">
        <v>15</v>
      </c>
      <c r="F17" s="125">
        <v>7185.5</v>
      </c>
      <c r="G17" s="126">
        <v>0</v>
      </c>
      <c r="H17" s="127">
        <f t="shared" ref="H17:H18" si="36">SUM(F17:G17)</f>
        <v>7185.5</v>
      </c>
      <c r="I17" s="128">
        <f t="shared" si="1"/>
        <v>0</v>
      </c>
      <c r="J17" s="128">
        <f t="shared" si="13"/>
        <v>7185.5</v>
      </c>
      <c r="K17" s="128">
        <f t="shared" si="3"/>
        <v>6602.71</v>
      </c>
      <c r="L17" s="128">
        <f t="shared" si="14"/>
        <v>582.79</v>
      </c>
      <c r="M17" s="129">
        <f t="shared" si="5"/>
        <v>0.21360000000000001</v>
      </c>
      <c r="N17" s="128">
        <f t="shared" si="15"/>
        <v>124.48394399999999</v>
      </c>
      <c r="O17" s="130">
        <f t="shared" si="7"/>
        <v>699.3</v>
      </c>
      <c r="P17" s="128">
        <f t="shared" si="16"/>
        <v>823.78394399999991</v>
      </c>
      <c r="Q17" s="128">
        <f t="shared" si="9"/>
        <v>0</v>
      </c>
      <c r="R17" s="128">
        <f t="shared" si="17"/>
        <v>823.78</v>
      </c>
      <c r="S17" s="127">
        <f t="shared" ref="S17" si="37">-IF(R17&gt;0,0,R17)</f>
        <v>0</v>
      </c>
      <c r="T17" s="127">
        <f t="shared" ref="T17" si="38">IF(R17&lt;0,0,R17)</f>
        <v>823.78</v>
      </c>
      <c r="U17" s="127">
        <f>SUM(T17:T17)</f>
        <v>823.78</v>
      </c>
      <c r="V17" s="127">
        <f>H17+S17-U17</f>
        <v>6361.72</v>
      </c>
      <c r="W17" s="94"/>
      <c r="X17" s="4"/>
    </row>
    <row r="18" spans="1:24" ht="57.95" customHeight="1" x14ac:dyDescent="0.2">
      <c r="A18" s="138"/>
      <c r="B18" s="122" t="s">
        <v>246</v>
      </c>
      <c r="C18" s="122" t="s">
        <v>120</v>
      </c>
      <c r="D18" s="123" t="s">
        <v>85</v>
      </c>
      <c r="E18" s="124">
        <v>15</v>
      </c>
      <c r="F18" s="125">
        <v>7185.5</v>
      </c>
      <c r="G18" s="126">
        <v>0</v>
      </c>
      <c r="H18" s="127">
        <f t="shared" si="36"/>
        <v>7185.5</v>
      </c>
      <c r="I18" s="128">
        <f t="shared" ref="I18" si="39">IF(F18/15&lt;=SMG,0,G18/2)</f>
        <v>0</v>
      </c>
      <c r="J18" s="128">
        <f t="shared" ref="J18" si="40">F18+I18</f>
        <v>7185.5</v>
      </c>
      <c r="K18" s="128">
        <f t="shared" ref="K18" si="41">VLOOKUP(J18,Tarifa1,1)</f>
        <v>6602.71</v>
      </c>
      <c r="L18" s="128">
        <f t="shared" ref="L18" si="42">J18-K18</f>
        <v>582.79</v>
      </c>
      <c r="M18" s="129">
        <f t="shared" ref="M18" si="43">VLOOKUP(J18,Tarifa1,3)</f>
        <v>0.21360000000000001</v>
      </c>
      <c r="N18" s="128">
        <f t="shared" ref="N18" si="44">L18*M18</f>
        <v>124.48394399999999</v>
      </c>
      <c r="O18" s="130">
        <f t="shared" ref="O18" si="45">VLOOKUP(J18,Tarifa1,2)</f>
        <v>699.3</v>
      </c>
      <c r="P18" s="128">
        <f t="shared" ref="P18" si="46">N18+O18</f>
        <v>823.78394399999991</v>
      </c>
      <c r="Q18" s="128">
        <f t="shared" ref="Q18" si="47">VLOOKUP(J18,Credito1,2)</f>
        <v>0</v>
      </c>
      <c r="R18" s="128">
        <f t="shared" ref="R18" si="48">ROUND(P18-Q18,2)</f>
        <v>823.78</v>
      </c>
      <c r="S18" s="127">
        <f t="shared" ref="S18" si="49">-IF(R18&gt;0,0,R18)</f>
        <v>0</v>
      </c>
      <c r="T18" s="127">
        <f t="shared" ref="T18" si="50">IF(R18&lt;0,0,R18)</f>
        <v>823.78</v>
      </c>
      <c r="U18" s="127">
        <f>SUM(T18:T18)</f>
        <v>823.78</v>
      </c>
      <c r="V18" s="127">
        <f>H18+S18-U18</f>
        <v>6361.72</v>
      </c>
      <c r="W18" s="94"/>
      <c r="X18" s="4"/>
    </row>
    <row r="19" spans="1:24" ht="57.95" customHeight="1" x14ac:dyDescent="0.2">
      <c r="A19" s="138"/>
      <c r="B19" s="122" t="s">
        <v>247</v>
      </c>
      <c r="C19" s="122" t="s">
        <v>120</v>
      </c>
      <c r="D19" s="123" t="s">
        <v>85</v>
      </c>
      <c r="E19" s="124"/>
      <c r="F19" s="125">
        <v>7185.5</v>
      </c>
      <c r="G19" s="126">
        <v>0</v>
      </c>
      <c r="H19" s="127">
        <f t="shared" ref="H19" si="51">SUM(F19:G19)</f>
        <v>7185.5</v>
      </c>
      <c r="I19" s="128">
        <f t="shared" ref="I19:I24" si="52">IF(F19/15&lt;=SMG,0,G19/2)</f>
        <v>0</v>
      </c>
      <c r="J19" s="128">
        <f t="shared" ref="J19" si="53">F19+I19</f>
        <v>7185.5</v>
      </c>
      <c r="K19" s="128">
        <f t="shared" ref="K19:K24" si="54">VLOOKUP(J19,Tarifa1,1)</f>
        <v>6602.71</v>
      </c>
      <c r="L19" s="128">
        <f t="shared" ref="L19" si="55">J19-K19</f>
        <v>582.79</v>
      </c>
      <c r="M19" s="129">
        <f t="shared" ref="M19:M24" si="56">VLOOKUP(J19,Tarifa1,3)</f>
        <v>0.21360000000000001</v>
      </c>
      <c r="N19" s="128">
        <f t="shared" ref="N19" si="57">L19*M19</f>
        <v>124.48394399999999</v>
      </c>
      <c r="O19" s="130">
        <f t="shared" ref="O19:O24" si="58">VLOOKUP(J19,Tarifa1,2)</f>
        <v>699.3</v>
      </c>
      <c r="P19" s="128">
        <f t="shared" ref="P19" si="59">N19+O19</f>
        <v>823.78394399999991</v>
      </c>
      <c r="Q19" s="128">
        <f t="shared" ref="Q19:Q24" si="60">VLOOKUP(J19,Credito1,2)</f>
        <v>0</v>
      </c>
      <c r="R19" s="128">
        <f t="shared" ref="R19" si="61">ROUND(P19-Q19,2)</f>
        <v>823.78</v>
      </c>
      <c r="S19" s="127">
        <f t="shared" ref="S19" si="62">-IF(R19&gt;0,0,R19)</f>
        <v>0</v>
      </c>
      <c r="T19" s="127">
        <f t="shared" ref="T19" si="63">IF(R19&lt;0,0,R19)</f>
        <v>823.78</v>
      </c>
      <c r="U19" s="127">
        <f>SUM(T19:T19)</f>
        <v>823.78</v>
      </c>
      <c r="V19" s="127">
        <f>H19+S19-U19</f>
        <v>6361.72</v>
      </c>
      <c r="W19" s="94"/>
      <c r="X19" s="4"/>
    </row>
    <row r="20" spans="1:24" ht="57.95" customHeight="1" x14ac:dyDescent="0.2">
      <c r="A20" s="138"/>
      <c r="B20" s="122" t="s">
        <v>250</v>
      </c>
      <c r="C20" s="122" t="s">
        <v>120</v>
      </c>
      <c r="D20" s="123" t="s">
        <v>85</v>
      </c>
      <c r="E20" s="124"/>
      <c r="F20" s="125">
        <v>7185.5</v>
      </c>
      <c r="G20" s="126">
        <v>0</v>
      </c>
      <c r="H20" s="127">
        <f t="shared" ref="H20:H25" si="64">SUM(F20:G20)</f>
        <v>7185.5</v>
      </c>
      <c r="I20" s="128">
        <f t="shared" si="52"/>
        <v>0</v>
      </c>
      <c r="J20" s="128">
        <f t="shared" ref="J20:J25" si="65">F20+I20</f>
        <v>7185.5</v>
      </c>
      <c r="K20" s="128">
        <f t="shared" si="54"/>
        <v>6602.71</v>
      </c>
      <c r="L20" s="128">
        <f t="shared" ref="L20:L25" si="66">J20-K20</f>
        <v>582.79</v>
      </c>
      <c r="M20" s="129">
        <f t="shared" si="56"/>
        <v>0.21360000000000001</v>
      </c>
      <c r="N20" s="128">
        <f t="shared" ref="N20:N25" si="67">L20*M20</f>
        <v>124.48394399999999</v>
      </c>
      <c r="O20" s="130">
        <f t="shared" si="58"/>
        <v>699.3</v>
      </c>
      <c r="P20" s="128">
        <f t="shared" ref="P20:P25" si="68">N20+O20</f>
        <v>823.78394399999991</v>
      </c>
      <c r="Q20" s="128">
        <f t="shared" si="60"/>
        <v>0</v>
      </c>
      <c r="R20" s="128">
        <f t="shared" ref="R20:R25" si="69">ROUND(P20-Q20,2)</f>
        <v>823.78</v>
      </c>
      <c r="S20" s="127">
        <f t="shared" ref="S20:S25" si="70">-IF(R20&gt;0,0,R20)</f>
        <v>0</v>
      </c>
      <c r="T20" s="127">
        <f t="shared" ref="T20:T25" si="71">IF(R20&lt;0,0,R20)</f>
        <v>823.78</v>
      </c>
      <c r="U20" s="127">
        <f>SUM(T20:T20)</f>
        <v>823.78</v>
      </c>
      <c r="V20" s="127">
        <f>H20+S20-U20</f>
        <v>6361.72</v>
      </c>
      <c r="W20" s="94"/>
      <c r="X20" s="4"/>
    </row>
    <row r="21" spans="1:24" ht="57.95" customHeight="1" x14ac:dyDescent="0.2">
      <c r="A21" s="138"/>
      <c r="B21" s="122" t="s">
        <v>251</v>
      </c>
      <c r="C21" s="122" t="s">
        <v>120</v>
      </c>
      <c r="D21" s="123" t="s">
        <v>85</v>
      </c>
      <c r="E21" s="124"/>
      <c r="F21" s="125">
        <v>7185.5</v>
      </c>
      <c r="G21" s="126">
        <v>0</v>
      </c>
      <c r="H21" s="127">
        <f t="shared" si="64"/>
        <v>7185.5</v>
      </c>
      <c r="I21" s="128">
        <f t="shared" si="52"/>
        <v>0</v>
      </c>
      <c r="J21" s="128">
        <f t="shared" si="65"/>
        <v>7185.5</v>
      </c>
      <c r="K21" s="128">
        <f t="shared" si="54"/>
        <v>6602.71</v>
      </c>
      <c r="L21" s="128">
        <f t="shared" si="66"/>
        <v>582.79</v>
      </c>
      <c r="M21" s="129">
        <f t="shared" si="56"/>
        <v>0.21360000000000001</v>
      </c>
      <c r="N21" s="128">
        <f t="shared" si="67"/>
        <v>124.48394399999999</v>
      </c>
      <c r="O21" s="130">
        <f t="shared" si="58"/>
        <v>699.3</v>
      </c>
      <c r="P21" s="128">
        <f t="shared" si="68"/>
        <v>823.78394399999991</v>
      </c>
      <c r="Q21" s="128">
        <f t="shared" si="60"/>
        <v>0</v>
      </c>
      <c r="R21" s="128">
        <f t="shared" si="69"/>
        <v>823.78</v>
      </c>
      <c r="S21" s="127">
        <f t="shared" si="70"/>
        <v>0</v>
      </c>
      <c r="T21" s="127">
        <f t="shared" si="71"/>
        <v>823.78</v>
      </c>
      <c r="U21" s="127">
        <f>SUM(T21:T21)</f>
        <v>823.78</v>
      </c>
      <c r="V21" s="127">
        <f>H21+S21-U21</f>
        <v>6361.72</v>
      </c>
      <c r="W21" s="94"/>
      <c r="X21" s="4"/>
    </row>
    <row r="22" spans="1:24" ht="57.95" customHeight="1" x14ac:dyDescent="0.2">
      <c r="A22" s="138"/>
      <c r="B22" s="122" t="s">
        <v>252</v>
      </c>
      <c r="C22" s="122" t="s">
        <v>120</v>
      </c>
      <c r="D22" s="123" t="s">
        <v>85</v>
      </c>
      <c r="E22" s="124"/>
      <c r="F22" s="125">
        <v>7185.5</v>
      </c>
      <c r="G22" s="126">
        <v>0</v>
      </c>
      <c r="H22" s="127">
        <f t="shared" si="64"/>
        <v>7185.5</v>
      </c>
      <c r="I22" s="128">
        <f t="shared" si="52"/>
        <v>0</v>
      </c>
      <c r="J22" s="128">
        <f t="shared" si="65"/>
        <v>7185.5</v>
      </c>
      <c r="K22" s="128">
        <f t="shared" si="54"/>
        <v>6602.71</v>
      </c>
      <c r="L22" s="128">
        <f t="shared" si="66"/>
        <v>582.79</v>
      </c>
      <c r="M22" s="129">
        <f t="shared" si="56"/>
        <v>0.21360000000000001</v>
      </c>
      <c r="N22" s="128">
        <f t="shared" si="67"/>
        <v>124.48394399999999</v>
      </c>
      <c r="O22" s="130">
        <f t="shared" si="58"/>
        <v>699.3</v>
      </c>
      <c r="P22" s="128">
        <f t="shared" si="68"/>
        <v>823.78394399999991</v>
      </c>
      <c r="Q22" s="128">
        <f t="shared" si="60"/>
        <v>0</v>
      </c>
      <c r="R22" s="128">
        <f t="shared" si="69"/>
        <v>823.78</v>
      </c>
      <c r="S22" s="127">
        <f t="shared" si="70"/>
        <v>0</v>
      </c>
      <c r="T22" s="127">
        <f t="shared" si="71"/>
        <v>823.78</v>
      </c>
      <c r="U22" s="127">
        <f>SUM(T22:T22)</f>
        <v>823.78</v>
      </c>
      <c r="V22" s="127">
        <f>H22+S22-U22</f>
        <v>6361.72</v>
      </c>
      <c r="W22" s="94"/>
      <c r="X22" s="4"/>
    </row>
    <row r="23" spans="1:24" ht="57.95" customHeight="1" x14ac:dyDescent="0.2">
      <c r="A23" s="138"/>
      <c r="B23" s="122" t="s">
        <v>253</v>
      </c>
      <c r="C23" s="122" t="s">
        <v>120</v>
      </c>
      <c r="D23" s="123" t="s">
        <v>85</v>
      </c>
      <c r="E23" s="124"/>
      <c r="F23" s="125">
        <v>7185.5</v>
      </c>
      <c r="G23" s="126">
        <v>0</v>
      </c>
      <c r="H23" s="127">
        <f t="shared" si="64"/>
        <v>7185.5</v>
      </c>
      <c r="I23" s="128">
        <f t="shared" si="52"/>
        <v>0</v>
      </c>
      <c r="J23" s="128">
        <f t="shared" si="65"/>
        <v>7185.5</v>
      </c>
      <c r="K23" s="128">
        <f t="shared" si="54"/>
        <v>6602.71</v>
      </c>
      <c r="L23" s="128">
        <f t="shared" si="66"/>
        <v>582.79</v>
      </c>
      <c r="M23" s="129">
        <f t="shared" si="56"/>
        <v>0.21360000000000001</v>
      </c>
      <c r="N23" s="128">
        <f t="shared" si="67"/>
        <v>124.48394399999999</v>
      </c>
      <c r="O23" s="130">
        <f t="shared" si="58"/>
        <v>699.3</v>
      </c>
      <c r="P23" s="128">
        <f t="shared" si="68"/>
        <v>823.78394399999991</v>
      </c>
      <c r="Q23" s="128">
        <f t="shared" si="60"/>
        <v>0</v>
      </c>
      <c r="R23" s="128">
        <f t="shared" si="69"/>
        <v>823.78</v>
      </c>
      <c r="S23" s="127">
        <f t="shared" si="70"/>
        <v>0</v>
      </c>
      <c r="T23" s="127">
        <f t="shared" si="71"/>
        <v>823.78</v>
      </c>
      <c r="U23" s="127">
        <f>SUM(T23:T23)</f>
        <v>823.78</v>
      </c>
      <c r="V23" s="127">
        <f>H23+S23-U23</f>
        <v>6361.72</v>
      </c>
      <c r="W23" s="94"/>
      <c r="X23" s="4"/>
    </row>
    <row r="24" spans="1:24" ht="57.95" customHeight="1" x14ac:dyDescent="0.2">
      <c r="A24" s="138"/>
      <c r="B24" s="122" t="s">
        <v>269</v>
      </c>
      <c r="C24" s="122" t="s">
        <v>120</v>
      </c>
      <c r="D24" s="123" t="s">
        <v>85</v>
      </c>
      <c r="E24" s="124"/>
      <c r="F24" s="125">
        <v>7185.5</v>
      </c>
      <c r="G24" s="126">
        <v>0</v>
      </c>
      <c r="H24" s="127">
        <f t="shared" ref="H24" si="72">SUM(F24:G24)</f>
        <v>7185.5</v>
      </c>
      <c r="I24" s="128">
        <f t="shared" si="52"/>
        <v>0</v>
      </c>
      <c r="J24" s="128">
        <f t="shared" ref="J24" si="73">F24+I24</f>
        <v>7185.5</v>
      </c>
      <c r="K24" s="128">
        <f t="shared" si="54"/>
        <v>6602.71</v>
      </c>
      <c r="L24" s="128">
        <f t="shared" ref="L24" si="74">J24-K24</f>
        <v>582.79</v>
      </c>
      <c r="M24" s="129">
        <f t="shared" si="56"/>
        <v>0.21360000000000001</v>
      </c>
      <c r="N24" s="128">
        <f t="shared" ref="N24" si="75">L24*M24</f>
        <v>124.48394399999999</v>
      </c>
      <c r="O24" s="130">
        <f t="shared" si="58"/>
        <v>699.3</v>
      </c>
      <c r="P24" s="128">
        <f t="shared" ref="P24" si="76">N24+O24</f>
        <v>823.78394399999991</v>
      </c>
      <c r="Q24" s="128">
        <f t="shared" si="60"/>
        <v>0</v>
      </c>
      <c r="R24" s="128">
        <f t="shared" ref="R24" si="77">ROUND(P24-Q24,2)</f>
        <v>823.78</v>
      </c>
      <c r="S24" s="127">
        <f t="shared" ref="S24" si="78">-IF(R24&gt;0,0,R24)</f>
        <v>0</v>
      </c>
      <c r="T24" s="127">
        <f t="shared" ref="T24" si="79">IF(R24&lt;0,0,R24)</f>
        <v>823.78</v>
      </c>
      <c r="U24" s="127">
        <f>SUM(T24:T24)</f>
        <v>823.78</v>
      </c>
      <c r="V24" s="127">
        <f>H24+S24-U24</f>
        <v>6361.72</v>
      </c>
      <c r="W24" s="94"/>
      <c r="X24" s="4"/>
    </row>
    <row r="25" spans="1:24" ht="57.95" customHeight="1" x14ac:dyDescent="0.2">
      <c r="A25" s="138"/>
      <c r="B25" s="122" t="s">
        <v>272</v>
      </c>
      <c r="C25" s="122" t="s">
        <v>120</v>
      </c>
      <c r="D25" s="123" t="s">
        <v>85</v>
      </c>
      <c r="E25" s="124"/>
      <c r="F25" s="125">
        <v>7185.5</v>
      </c>
      <c r="G25" s="126">
        <v>0</v>
      </c>
      <c r="H25" s="127">
        <f t="shared" si="64"/>
        <v>7185.5</v>
      </c>
      <c r="I25" s="128">
        <f t="shared" ref="I25" si="80">IF(F25/15&lt;=SMG,0,G25/2)</f>
        <v>0</v>
      </c>
      <c r="J25" s="128">
        <f t="shared" si="65"/>
        <v>7185.5</v>
      </c>
      <c r="K25" s="128">
        <f t="shared" ref="K25" si="81">VLOOKUP(J25,Tarifa1,1)</f>
        <v>6602.71</v>
      </c>
      <c r="L25" s="128">
        <f t="shared" si="66"/>
        <v>582.79</v>
      </c>
      <c r="M25" s="129">
        <f t="shared" ref="M25" si="82">VLOOKUP(J25,Tarifa1,3)</f>
        <v>0.21360000000000001</v>
      </c>
      <c r="N25" s="128">
        <f t="shared" si="67"/>
        <v>124.48394399999999</v>
      </c>
      <c r="O25" s="130">
        <f t="shared" ref="O25" si="83">VLOOKUP(J25,Tarifa1,2)</f>
        <v>699.3</v>
      </c>
      <c r="P25" s="128">
        <f t="shared" si="68"/>
        <v>823.78394399999991</v>
      </c>
      <c r="Q25" s="128">
        <f t="shared" ref="Q25" si="84">VLOOKUP(J25,Credito1,2)</f>
        <v>0</v>
      </c>
      <c r="R25" s="128">
        <f t="shared" si="69"/>
        <v>823.78</v>
      </c>
      <c r="S25" s="127">
        <f t="shared" si="70"/>
        <v>0</v>
      </c>
      <c r="T25" s="127">
        <f t="shared" si="71"/>
        <v>823.78</v>
      </c>
      <c r="U25" s="127">
        <f>SUM(T25:T25)</f>
        <v>823.78</v>
      </c>
      <c r="V25" s="127">
        <f>H25+S25-U25</f>
        <v>6361.72</v>
      </c>
      <c r="W25" s="94"/>
      <c r="X25" s="4"/>
    </row>
    <row r="26" spans="1:24" ht="29.25" customHeight="1" thickBot="1" x14ac:dyDescent="0.3">
      <c r="A26" s="255" t="s">
        <v>45</v>
      </c>
      <c r="B26" s="256"/>
      <c r="C26" s="256"/>
      <c r="D26" s="256"/>
      <c r="E26" s="256"/>
      <c r="F26" s="133">
        <f>SUM(F9:F25)</f>
        <v>126891.5</v>
      </c>
      <c r="G26" s="133">
        <f>SUM(G9:G25)</f>
        <v>0</v>
      </c>
      <c r="H26" s="133">
        <f>SUM(H9:H25)</f>
        <v>126891.5</v>
      </c>
      <c r="I26" s="134">
        <f t="shared" ref="I26:R26" si="85">SUM(I9:I15)</f>
        <v>0</v>
      </c>
      <c r="J26" s="134">
        <f t="shared" si="85"/>
        <v>55036.5</v>
      </c>
      <c r="K26" s="134">
        <f t="shared" si="85"/>
        <v>46218.97</v>
      </c>
      <c r="L26" s="134">
        <f t="shared" si="85"/>
        <v>8817.5299999999988</v>
      </c>
      <c r="M26" s="134">
        <f t="shared" si="85"/>
        <v>1.4952000000000001</v>
      </c>
      <c r="N26" s="134">
        <f t="shared" si="85"/>
        <v>1883.4244080000001</v>
      </c>
      <c r="O26" s="134">
        <f t="shared" si="85"/>
        <v>4895.1000000000004</v>
      </c>
      <c r="P26" s="134">
        <f t="shared" si="85"/>
        <v>6778.5244079999984</v>
      </c>
      <c r="Q26" s="134">
        <f t="shared" si="85"/>
        <v>0</v>
      </c>
      <c r="R26" s="134">
        <f t="shared" si="85"/>
        <v>6778.4999999999991</v>
      </c>
      <c r="S26" s="133">
        <f>SUM(S9:S25)</f>
        <v>0</v>
      </c>
      <c r="T26" s="133">
        <f>SUM(T9:T25)</f>
        <v>15016.300000000005</v>
      </c>
      <c r="U26" s="133">
        <f>SUM(U9:U25)</f>
        <v>15016.300000000005</v>
      </c>
      <c r="V26" s="133">
        <f>SUM(V9:V25)</f>
        <v>111875.20000000001</v>
      </c>
      <c r="W26" s="4"/>
      <c r="X26" s="4"/>
    </row>
    <row r="27" spans="1:24" ht="13.5" thickTop="1" x14ac:dyDescent="0.2"/>
    <row r="32" spans="1:24" ht="14.25" x14ac:dyDescent="0.2"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</row>
    <row r="33" spans="4:36" ht="15" x14ac:dyDescent="0.25">
      <c r="D33" s="102"/>
      <c r="E33" s="102"/>
      <c r="F33" s="102"/>
      <c r="G33" s="102"/>
      <c r="H33" s="102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102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I33" s="88"/>
      <c r="AJ33" s="88"/>
    </row>
  </sheetData>
  <mergeCells count="7">
    <mergeCell ref="A26:E26"/>
    <mergeCell ref="A1:W1"/>
    <mergeCell ref="A2:W2"/>
    <mergeCell ref="F5:H5"/>
    <mergeCell ref="K5:P5"/>
    <mergeCell ref="T5:U5"/>
    <mergeCell ref="B3:W3"/>
  </mergeCells>
  <pageMargins left="0.47244094488188981" right="0.19685039370078741" top="0.55118110236220474" bottom="0.15748031496062992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27"/>
  <sheetViews>
    <sheetView tabSelected="1" topLeftCell="B1" zoomScale="73" zoomScaleNormal="73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70" hidden="1" customWidth="1"/>
    <col min="2" max="2" width="9.42578125" style="70" customWidth="1"/>
    <col min="3" max="3" width="7.7109375" style="70" customWidth="1"/>
    <col min="4" max="4" width="39.140625" style="70" customWidth="1"/>
    <col min="5" max="5" width="19.5703125" style="70" customWidth="1"/>
    <col min="6" max="6" width="6.5703125" style="70" hidden="1" customWidth="1"/>
    <col min="7" max="7" width="10" style="70" hidden="1" customWidth="1"/>
    <col min="8" max="8" width="12.7109375" style="70" customWidth="1"/>
    <col min="9" max="9" width="11.85546875" style="70" customWidth="1"/>
    <col min="10" max="10" width="12.7109375" style="70" customWidth="1"/>
    <col min="11" max="11" width="13.140625" style="70" hidden="1" customWidth="1"/>
    <col min="12" max="14" width="11" style="70" hidden="1" customWidth="1"/>
    <col min="15" max="16" width="13.140625" style="70" hidden="1" customWidth="1"/>
    <col min="17" max="17" width="10.5703125" style="70" hidden="1" customWidth="1"/>
    <col min="18" max="19" width="13.140625" style="70" hidden="1" customWidth="1"/>
    <col min="20" max="20" width="11.5703125" style="70" hidden="1" customWidth="1"/>
    <col min="21" max="21" width="9.7109375" style="70" customWidth="1"/>
    <col min="22" max="22" width="11.85546875" style="70" customWidth="1"/>
    <col min="23" max="23" width="11.28515625" style="70" customWidth="1"/>
    <col min="24" max="24" width="12.7109375" style="70" customWidth="1"/>
    <col min="25" max="25" width="73.42578125" style="70" customWidth="1"/>
    <col min="26" max="16384" width="11.42578125" style="70"/>
  </cols>
  <sheetData>
    <row r="1" spans="1:25" ht="18" x14ac:dyDescent="0.25">
      <c r="A1" s="266" t="s">
        <v>82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</row>
    <row r="2" spans="1:25" ht="18" x14ac:dyDescent="0.25">
      <c r="A2" s="266" t="s">
        <v>67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25" ht="18" x14ac:dyDescent="0.25">
      <c r="A3" s="267" t="s">
        <v>270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15" x14ac:dyDescent="0.2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x14ac:dyDescent="0.2">
      <c r="A6" s="71"/>
      <c r="B6" s="71"/>
      <c r="C6" s="71"/>
      <c r="D6" s="71"/>
      <c r="E6" s="71"/>
      <c r="F6" s="72" t="s">
        <v>23</v>
      </c>
      <c r="G6" s="72" t="s">
        <v>6</v>
      </c>
      <c r="H6" s="291" t="s">
        <v>1</v>
      </c>
      <c r="I6" s="292"/>
      <c r="J6" s="293"/>
      <c r="K6" s="73" t="s">
        <v>26</v>
      </c>
      <c r="L6" s="74"/>
      <c r="M6" s="294" t="s">
        <v>9</v>
      </c>
      <c r="N6" s="295"/>
      <c r="O6" s="295"/>
      <c r="P6" s="295"/>
      <c r="Q6" s="295"/>
      <c r="R6" s="296"/>
      <c r="S6" s="73" t="s">
        <v>30</v>
      </c>
      <c r="T6" s="73" t="s">
        <v>10</v>
      </c>
      <c r="U6" s="72" t="s">
        <v>54</v>
      </c>
      <c r="V6" s="297" t="s">
        <v>2</v>
      </c>
      <c r="W6" s="298"/>
      <c r="X6" s="72" t="s">
        <v>0</v>
      </c>
      <c r="Y6" s="75"/>
    </row>
    <row r="7" spans="1:25" ht="22.5" x14ac:dyDescent="0.2">
      <c r="A7" s="76" t="s">
        <v>21</v>
      </c>
      <c r="B7" s="77" t="s">
        <v>106</v>
      </c>
      <c r="C7" s="77" t="s">
        <v>121</v>
      </c>
      <c r="D7" s="76" t="s">
        <v>22</v>
      </c>
      <c r="E7" s="76"/>
      <c r="F7" s="78" t="s">
        <v>24</v>
      </c>
      <c r="G7" s="76" t="s">
        <v>25</v>
      </c>
      <c r="H7" s="72" t="s">
        <v>6</v>
      </c>
      <c r="I7" s="72" t="s">
        <v>60</v>
      </c>
      <c r="J7" s="72" t="s">
        <v>28</v>
      </c>
      <c r="K7" s="79" t="s">
        <v>27</v>
      </c>
      <c r="L7" s="74" t="s">
        <v>32</v>
      </c>
      <c r="M7" s="74" t="s">
        <v>12</v>
      </c>
      <c r="N7" s="74" t="s">
        <v>34</v>
      </c>
      <c r="O7" s="74" t="s">
        <v>36</v>
      </c>
      <c r="P7" s="74" t="s">
        <v>37</v>
      </c>
      <c r="Q7" s="74" t="s">
        <v>14</v>
      </c>
      <c r="R7" s="74" t="s">
        <v>10</v>
      </c>
      <c r="S7" s="79" t="s">
        <v>40</v>
      </c>
      <c r="T7" s="79" t="s">
        <v>41</v>
      </c>
      <c r="U7" s="76" t="s">
        <v>31</v>
      </c>
      <c r="V7" s="72" t="s">
        <v>3</v>
      </c>
      <c r="W7" s="72" t="s">
        <v>7</v>
      </c>
      <c r="X7" s="76" t="s">
        <v>4</v>
      </c>
      <c r="Y7" s="80" t="s">
        <v>59</v>
      </c>
    </row>
    <row r="8" spans="1:25" x14ac:dyDescent="0.2">
      <c r="A8" s="81"/>
      <c r="B8" s="76"/>
      <c r="C8" s="76"/>
      <c r="D8" s="76"/>
      <c r="E8" s="76"/>
      <c r="F8" s="76"/>
      <c r="G8" s="76"/>
      <c r="H8" s="76" t="s">
        <v>47</v>
      </c>
      <c r="I8" s="76" t="s">
        <v>61</v>
      </c>
      <c r="J8" s="76" t="s">
        <v>29</v>
      </c>
      <c r="K8" s="79" t="s">
        <v>43</v>
      </c>
      <c r="L8" s="73" t="s">
        <v>33</v>
      </c>
      <c r="M8" s="73" t="s">
        <v>13</v>
      </c>
      <c r="N8" s="73" t="s">
        <v>35</v>
      </c>
      <c r="O8" s="73" t="s">
        <v>35</v>
      </c>
      <c r="P8" s="73" t="s">
        <v>38</v>
      </c>
      <c r="Q8" s="73" t="s">
        <v>15</v>
      </c>
      <c r="R8" s="73" t="s">
        <v>39</v>
      </c>
      <c r="S8" s="79" t="s">
        <v>19</v>
      </c>
      <c r="T8" s="82" t="s">
        <v>135</v>
      </c>
      <c r="U8" s="76" t="s">
        <v>53</v>
      </c>
      <c r="V8" s="76"/>
      <c r="W8" s="76" t="s">
        <v>44</v>
      </c>
      <c r="X8" s="76" t="s">
        <v>5</v>
      </c>
      <c r="Y8" s="83"/>
    </row>
    <row r="9" spans="1:25" ht="15" x14ac:dyDescent="0.25">
      <c r="A9" s="84"/>
      <c r="B9" s="85"/>
      <c r="C9" s="85"/>
      <c r="D9" s="37" t="s">
        <v>142</v>
      </c>
      <c r="E9" s="86" t="s">
        <v>63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7"/>
    </row>
    <row r="10" spans="1:25" s="98" customFormat="1" ht="75" customHeight="1" x14ac:dyDescent="0.2">
      <c r="A10" s="121"/>
      <c r="B10" s="122" t="s">
        <v>144</v>
      </c>
      <c r="C10" s="122" t="s">
        <v>120</v>
      </c>
      <c r="D10" s="132" t="s">
        <v>181</v>
      </c>
      <c r="E10" s="123" t="s">
        <v>140</v>
      </c>
      <c r="F10" s="124">
        <v>15</v>
      </c>
      <c r="G10" s="141">
        <f>H10/F10</f>
        <v>390.16666666666669</v>
      </c>
      <c r="H10" s="125">
        <v>5852.5</v>
      </c>
      <c r="I10" s="126">
        <v>0</v>
      </c>
      <c r="J10" s="127">
        <f t="shared" ref="J10" si="0">SUM(H10:I10)</f>
        <v>5852.5</v>
      </c>
      <c r="K10" s="128">
        <f t="shared" ref="K10" si="1">IF(H10/15&lt;=SMG,0,I10/2)</f>
        <v>0</v>
      </c>
      <c r="L10" s="128">
        <f t="shared" ref="L10" si="2">H10+K10</f>
        <v>5852.5</v>
      </c>
      <c r="M10" s="128">
        <f t="shared" ref="M10" si="3">VLOOKUP(L10,Tarifa1,1)</f>
        <v>5514.76</v>
      </c>
      <c r="N10" s="128">
        <f t="shared" ref="N10" si="4">L10-M10</f>
        <v>337.73999999999978</v>
      </c>
      <c r="O10" s="129">
        <f t="shared" ref="O10" si="5">VLOOKUP(L10,Tarifa1,3)</f>
        <v>0.1792</v>
      </c>
      <c r="P10" s="128">
        <f t="shared" ref="P10" si="6">N10*O10</f>
        <v>60.523007999999962</v>
      </c>
      <c r="Q10" s="130">
        <f t="shared" ref="Q10" si="7">VLOOKUP(L10,Tarifa1,2)</f>
        <v>504.3</v>
      </c>
      <c r="R10" s="128">
        <f t="shared" ref="R10" si="8">P10+Q10</f>
        <v>564.82300799999996</v>
      </c>
      <c r="S10" s="128">
        <f t="shared" ref="S10" si="9">VLOOKUP(L10,Credito1,2)</f>
        <v>0</v>
      </c>
      <c r="T10" s="128">
        <f t="shared" ref="T10" si="10">ROUND(R10-S10,2)</f>
        <v>564.82000000000005</v>
      </c>
      <c r="U10" s="127">
        <f t="shared" ref="U10" si="11">-IF(T10&gt;0,0,T10)</f>
        <v>0</v>
      </c>
      <c r="V10" s="127">
        <f t="shared" ref="V10" si="12">IF(T10&lt;0,0,T10)</f>
        <v>564.82000000000005</v>
      </c>
      <c r="W10" s="127">
        <f>SUM(V10:V10)</f>
        <v>564.82000000000005</v>
      </c>
      <c r="X10" s="127">
        <f>J10+U10-W10</f>
        <v>5287.68</v>
      </c>
      <c r="Y10" s="97"/>
    </row>
    <row r="11" spans="1:25" s="98" customFormat="1" ht="75" customHeight="1" x14ac:dyDescent="0.2">
      <c r="A11" s="121"/>
      <c r="B11" s="122" t="s">
        <v>239</v>
      </c>
      <c r="C11" s="122" t="s">
        <v>120</v>
      </c>
      <c r="D11" s="132" t="s">
        <v>238</v>
      </c>
      <c r="E11" s="123" t="s">
        <v>140</v>
      </c>
      <c r="F11" s="124"/>
      <c r="G11" s="141"/>
      <c r="H11" s="125">
        <v>3542.92</v>
      </c>
      <c r="I11" s="126">
        <v>0</v>
      </c>
      <c r="J11" s="127">
        <f t="shared" ref="J11" si="13">SUM(H11:I11)</f>
        <v>3542.92</v>
      </c>
      <c r="K11" s="128">
        <f t="shared" ref="K11" si="14">IF(H11/15&lt;=SMG,0,I11/2)</f>
        <v>0</v>
      </c>
      <c r="L11" s="128">
        <f t="shared" ref="L11" si="15">H11+K11</f>
        <v>3542.92</v>
      </c>
      <c r="M11" s="128">
        <f t="shared" ref="M11" si="16">VLOOKUP(L11,Tarifa1,1)</f>
        <v>2699.41</v>
      </c>
      <c r="N11" s="128">
        <f t="shared" ref="N11" si="17">L11-M11</f>
        <v>843.51000000000022</v>
      </c>
      <c r="O11" s="129">
        <f t="shared" ref="O11" si="18">VLOOKUP(L11,Tarifa1,3)</f>
        <v>0.10879999999999999</v>
      </c>
      <c r="P11" s="128">
        <f t="shared" ref="P11" si="19">N11*O11</f>
        <v>91.773888000000014</v>
      </c>
      <c r="Q11" s="130">
        <f t="shared" ref="Q11" si="20">VLOOKUP(L11,Tarifa1,2)</f>
        <v>158.55000000000001</v>
      </c>
      <c r="R11" s="128">
        <f t="shared" ref="R11" si="21">P11+Q11</f>
        <v>250.32388800000001</v>
      </c>
      <c r="S11" s="128">
        <f t="shared" ref="S11" si="22">VLOOKUP(L11,Credito1,2)</f>
        <v>107.4</v>
      </c>
      <c r="T11" s="128">
        <f t="shared" ref="T11" si="23">ROUND(R11-S11,2)</f>
        <v>142.91999999999999</v>
      </c>
      <c r="U11" s="127">
        <f t="shared" ref="U11" si="24">-IF(T11&gt;0,0,T11)</f>
        <v>0</v>
      </c>
      <c r="V11" s="127">
        <f t="shared" ref="V11:V12" si="25">IF(T11&lt;0,0,T11)</f>
        <v>142.91999999999999</v>
      </c>
      <c r="W11" s="127">
        <f>SUM(V11:V11)</f>
        <v>142.91999999999999</v>
      </c>
      <c r="X11" s="127">
        <f>J11+U11-W11</f>
        <v>3400</v>
      </c>
      <c r="Y11" s="97"/>
    </row>
    <row r="12" spans="1:25" s="98" customFormat="1" ht="75" customHeight="1" x14ac:dyDescent="0.2">
      <c r="A12" s="121" t="s">
        <v>96</v>
      </c>
      <c r="B12" s="122" t="s">
        <v>145</v>
      </c>
      <c r="C12" s="122" t="s">
        <v>166</v>
      </c>
      <c r="D12" s="132" t="s">
        <v>139</v>
      </c>
      <c r="E12" s="140" t="s">
        <v>141</v>
      </c>
      <c r="F12" s="124">
        <v>15</v>
      </c>
      <c r="G12" s="141">
        <f>H12/F12</f>
        <v>290.56666666666666</v>
      </c>
      <c r="H12" s="125">
        <v>4358.5</v>
      </c>
      <c r="I12" s="126">
        <v>0</v>
      </c>
      <c r="J12" s="127">
        <f>SUM(H12:I12)</f>
        <v>4358.5</v>
      </c>
      <c r="K12" s="128">
        <f t="shared" ref="K12:K13" si="26">IF(H12/15&lt;=SMG,0,I12/2)</f>
        <v>0</v>
      </c>
      <c r="L12" s="128">
        <f t="shared" ref="L12:L13" si="27">H12+K12</f>
        <v>4358.5</v>
      </c>
      <c r="M12" s="128">
        <f t="shared" ref="M12:M13" si="28">VLOOKUP(L12,Tarifa1,1)</f>
        <v>2699.41</v>
      </c>
      <c r="N12" s="128">
        <f t="shared" ref="N12:N13" si="29">L12-M12</f>
        <v>1659.0900000000001</v>
      </c>
      <c r="O12" s="129">
        <f t="shared" ref="O12:O13" si="30">VLOOKUP(L12,Tarifa1,3)</f>
        <v>0.10879999999999999</v>
      </c>
      <c r="P12" s="128">
        <f t="shared" ref="P12:P13" si="31">N12*O12</f>
        <v>180.50899200000001</v>
      </c>
      <c r="Q12" s="130">
        <f t="shared" ref="Q12:Q13" si="32">VLOOKUP(L12,Tarifa1,2)</f>
        <v>158.55000000000001</v>
      </c>
      <c r="R12" s="128">
        <f t="shared" ref="R12:R13" si="33">P12+Q12</f>
        <v>339.05899199999999</v>
      </c>
      <c r="S12" s="128">
        <f t="shared" ref="S12:S13" si="34">VLOOKUP(L12,Credito1,2)</f>
        <v>0</v>
      </c>
      <c r="T12" s="128">
        <f t="shared" ref="T12:T13" si="35">ROUND(R12-S12,2)</f>
        <v>339.06</v>
      </c>
      <c r="U12" s="127">
        <f>-IF(T12&gt;0,0,T12)</f>
        <v>0</v>
      </c>
      <c r="V12" s="127">
        <f t="shared" si="25"/>
        <v>339.06</v>
      </c>
      <c r="W12" s="127">
        <f>SUM(V12:V12)</f>
        <v>339.06</v>
      </c>
      <c r="X12" s="127">
        <f>J12+U12-W12</f>
        <v>4019.44</v>
      </c>
      <c r="Y12" s="97"/>
    </row>
    <row r="13" spans="1:25" s="98" customFormat="1" ht="75" customHeight="1" x14ac:dyDescent="0.2">
      <c r="A13" s="138"/>
      <c r="B13" s="122" t="s">
        <v>146</v>
      </c>
      <c r="C13" s="122" t="s">
        <v>120</v>
      </c>
      <c r="D13" s="132" t="s">
        <v>138</v>
      </c>
      <c r="E13" s="140" t="s">
        <v>141</v>
      </c>
      <c r="F13" s="124">
        <v>15</v>
      </c>
      <c r="G13" s="141">
        <f>H13/F13</f>
        <v>290.56666666666666</v>
      </c>
      <c r="H13" s="125">
        <v>4358.5</v>
      </c>
      <c r="I13" s="126">
        <v>0</v>
      </c>
      <c r="J13" s="127">
        <f>SUM(H13:I13)</f>
        <v>4358.5</v>
      </c>
      <c r="K13" s="128">
        <f t="shared" si="26"/>
        <v>0</v>
      </c>
      <c r="L13" s="128">
        <f t="shared" si="27"/>
        <v>4358.5</v>
      </c>
      <c r="M13" s="128">
        <f t="shared" si="28"/>
        <v>2699.41</v>
      </c>
      <c r="N13" s="128">
        <f t="shared" si="29"/>
        <v>1659.0900000000001</v>
      </c>
      <c r="O13" s="129">
        <f t="shared" si="30"/>
        <v>0.10879999999999999</v>
      </c>
      <c r="P13" s="128">
        <f t="shared" si="31"/>
        <v>180.50899200000001</v>
      </c>
      <c r="Q13" s="130">
        <f t="shared" si="32"/>
        <v>158.55000000000001</v>
      </c>
      <c r="R13" s="128">
        <f t="shared" si="33"/>
        <v>339.05899199999999</v>
      </c>
      <c r="S13" s="128">
        <f t="shared" si="34"/>
        <v>0</v>
      </c>
      <c r="T13" s="128">
        <f t="shared" si="35"/>
        <v>339.06</v>
      </c>
      <c r="U13" s="127">
        <f>-IF(T13&gt;0,0,T13)</f>
        <v>0</v>
      </c>
      <c r="V13" s="127">
        <f t="shared" ref="V13" si="36">IF(T13&lt;0,0,T13)</f>
        <v>339.06</v>
      </c>
      <c r="W13" s="127">
        <f>SUM(V13:V13)</f>
        <v>339.06</v>
      </c>
      <c r="X13" s="127">
        <f>J13+U13-W13</f>
        <v>4019.44</v>
      </c>
      <c r="Y13" s="97"/>
    </row>
    <row r="14" spans="1:25" ht="40.5" customHeight="1" thickBot="1" x14ac:dyDescent="0.3">
      <c r="A14" s="255" t="s">
        <v>45</v>
      </c>
      <c r="B14" s="256"/>
      <c r="C14" s="256"/>
      <c r="D14" s="256"/>
      <c r="E14" s="256"/>
      <c r="F14" s="256"/>
      <c r="G14" s="257"/>
      <c r="H14" s="133">
        <f t="shared" ref="H14:X14" si="37">SUM(H10:H13)</f>
        <v>18112.419999999998</v>
      </c>
      <c r="I14" s="133">
        <f t="shared" si="37"/>
        <v>0</v>
      </c>
      <c r="J14" s="133">
        <f t="shared" si="37"/>
        <v>18112.419999999998</v>
      </c>
      <c r="K14" s="134">
        <f t="shared" si="37"/>
        <v>0</v>
      </c>
      <c r="L14" s="134">
        <f t="shared" si="37"/>
        <v>18112.419999999998</v>
      </c>
      <c r="M14" s="134">
        <f t="shared" si="37"/>
        <v>13612.99</v>
      </c>
      <c r="N14" s="134">
        <f t="shared" si="37"/>
        <v>4499.43</v>
      </c>
      <c r="O14" s="134">
        <f t="shared" si="37"/>
        <v>0.50559999999999994</v>
      </c>
      <c r="P14" s="134">
        <f t="shared" si="37"/>
        <v>513.31488000000002</v>
      </c>
      <c r="Q14" s="134">
        <f t="shared" si="37"/>
        <v>979.95</v>
      </c>
      <c r="R14" s="134">
        <f t="shared" si="37"/>
        <v>1493.2648799999999</v>
      </c>
      <c r="S14" s="134">
        <f t="shared" si="37"/>
        <v>107.4</v>
      </c>
      <c r="T14" s="134">
        <f t="shared" si="37"/>
        <v>1385.86</v>
      </c>
      <c r="U14" s="133">
        <f t="shared" si="37"/>
        <v>0</v>
      </c>
      <c r="V14" s="133">
        <f t="shared" si="37"/>
        <v>1385.86</v>
      </c>
      <c r="W14" s="133">
        <f t="shared" si="37"/>
        <v>1385.86</v>
      </c>
      <c r="X14" s="133">
        <f t="shared" si="37"/>
        <v>16726.560000000001</v>
      </c>
    </row>
    <row r="15" spans="1:25" ht="13.5" thickTop="1" x14ac:dyDescent="0.2"/>
    <row r="25" spans="4:37" ht="15" x14ac:dyDescent="0.25">
      <c r="D25" s="102" t="s">
        <v>264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102" t="s">
        <v>172</v>
      </c>
      <c r="W25" s="98"/>
      <c r="X25" s="98"/>
    </row>
    <row r="26" spans="4:37" ht="15" x14ac:dyDescent="0.25">
      <c r="D26" s="102" t="s">
        <v>263</v>
      </c>
      <c r="E26" s="102"/>
      <c r="F26" s="102"/>
      <c r="G26" s="102"/>
      <c r="H26" s="102"/>
      <c r="I26" s="102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02" t="s">
        <v>326</v>
      </c>
      <c r="W26" s="102"/>
      <c r="X26" s="102"/>
      <c r="Y26" s="88"/>
      <c r="Z26" s="88"/>
      <c r="AA26" s="88"/>
      <c r="AB26" s="88"/>
      <c r="AC26" s="88"/>
      <c r="AD26" s="88"/>
      <c r="AE26" s="88"/>
      <c r="AF26" s="88"/>
      <c r="AG26" s="88"/>
      <c r="AJ26" s="88"/>
      <c r="AK26" s="88"/>
    </row>
    <row r="27" spans="4:37" ht="14.25" x14ac:dyDescent="0.2"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Y44"/>
  <sheetViews>
    <sheetView topLeftCell="B1" zoomScale="80" zoomScaleNormal="80" workbookViewId="0">
      <pane ySplit="1" topLeftCell="A2" activePane="bottomLeft" state="frozen"/>
      <selection activeCell="B1" sqref="B1"/>
      <selection pane="bottomLeft" activeCell="E4" sqref="E1:E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10.7109375" customWidth="1"/>
    <col min="4" max="4" width="45.5703125" customWidth="1"/>
    <col min="5" max="5" width="33.7109375" customWidth="1"/>
    <col min="6" max="6" width="5" hidden="1" customWidth="1"/>
    <col min="7" max="7" width="10" hidden="1" customWidth="1"/>
    <col min="8" max="8" width="13.42578125" customWidth="1"/>
    <col min="9" max="9" width="10.28515625" customWidth="1"/>
    <col min="10" max="10" width="13.42578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85546875" customWidth="1"/>
    <col min="23" max="23" width="11.85546875" customWidth="1"/>
    <col min="24" max="24" width="12" customWidth="1"/>
    <col min="25" max="25" width="12.140625" customWidth="1"/>
    <col min="26" max="26" width="53.85546875" customWidth="1"/>
    <col min="27" max="27" width="1" customWidth="1"/>
  </cols>
  <sheetData>
    <row r="1" spans="1:32" ht="19.5" x14ac:dyDescent="0.25">
      <c r="A1" s="258" t="s">
        <v>82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</row>
    <row r="2" spans="1:32" ht="19.5" x14ac:dyDescent="0.25">
      <c r="A2" s="258" t="s">
        <v>67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</row>
    <row r="3" spans="1:32" ht="19.5" x14ac:dyDescent="0.25">
      <c r="A3" s="259" t="s">
        <v>270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</row>
    <row r="4" spans="1:32" ht="15" x14ac:dyDescent="0.2">
      <c r="A4" s="4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32" s="53" customFormat="1" ht="15.75" x14ac:dyDescent="0.25">
      <c r="A5" s="49"/>
      <c r="B5" s="155"/>
      <c r="C5" s="155"/>
      <c r="D5" s="155"/>
      <c r="E5" s="155"/>
      <c r="F5" s="156" t="s">
        <v>23</v>
      </c>
      <c r="G5" s="156" t="s">
        <v>6</v>
      </c>
      <c r="H5" s="260" t="s">
        <v>1</v>
      </c>
      <c r="I5" s="261"/>
      <c r="J5" s="262"/>
      <c r="K5" s="157" t="s">
        <v>26</v>
      </c>
      <c r="L5" s="158"/>
      <c r="M5" s="263" t="s">
        <v>9</v>
      </c>
      <c r="N5" s="264"/>
      <c r="O5" s="264"/>
      <c r="P5" s="264"/>
      <c r="Q5" s="264"/>
      <c r="R5" s="265"/>
      <c r="S5" s="157" t="s">
        <v>54</v>
      </c>
      <c r="T5" s="157" t="s">
        <v>10</v>
      </c>
      <c r="U5" s="156" t="s">
        <v>54</v>
      </c>
      <c r="V5" s="255" t="s">
        <v>2</v>
      </c>
      <c r="W5" s="256"/>
      <c r="X5" s="257"/>
      <c r="Y5" s="156" t="s">
        <v>0</v>
      </c>
      <c r="Z5" s="49"/>
    </row>
    <row r="6" spans="1:32" s="53" customFormat="1" ht="29.25" customHeight="1" x14ac:dyDescent="0.25">
      <c r="A6" s="54" t="s">
        <v>21</v>
      </c>
      <c r="B6" s="159" t="s">
        <v>106</v>
      </c>
      <c r="C6" s="159" t="s">
        <v>129</v>
      </c>
      <c r="D6" s="160" t="s">
        <v>22</v>
      </c>
      <c r="E6" s="160"/>
      <c r="F6" s="161" t="s">
        <v>24</v>
      </c>
      <c r="G6" s="160" t="s">
        <v>25</v>
      </c>
      <c r="H6" s="156" t="s">
        <v>6</v>
      </c>
      <c r="I6" s="156" t="s">
        <v>60</v>
      </c>
      <c r="J6" s="156" t="s">
        <v>28</v>
      </c>
      <c r="K6" s="162" t="s">
        <v>27</v>
      </c>
      <c r="L6" s="158" t="s">
        <v>32</v>
      </c>
      <c r="M6" s="158" t="s">
        <v>12</v>
      </c>
      <c r="N6" s="158" t="s">
        <v>34</v>
      </c>
      <c r="O6" s="158" t="s">
        <v>36</v>
      </c>
      <c r="P6" s="158" t="s">
        <v>37</v>
      </c>
      <c r="Q6" s="158" t="s">
        <v>14</v>
      </c>
      <c r="R6" s="158" t="s">
        <v>10</v>
      </c>
      <c r="S6" s="162" t="s">
        <v>40</v>
      </c>
      <c r="T6" s="162" t="s">
        <v>41</v>
      </c>
      <c r="U6" s="160" t="s">
        <v>31</v>
      </c>
      <c r="V6" s="156" t="s">
        <v>3</v>
      </c>
      <c r="W6" s="156" t="s">
        <v>58</v>
      </c>
      <c r="X6" s="156" t="s">
        <v>7</v>
      </c>
      <c r="Y6" s="160" t="s">
        <v>4</v>
      </c>
      <c r="Z6" s="54" t="s">
        <v>59</v>
      </c>
    </row>
    <row r="7" spans="1:32" s="53" customFormat="1" ht="15.75" x14ac:dyDescent="0.25">
      <c r="A7" s="63"/>
      <c r="B7" s="163"/>
      <c r="C7" s="163"/>
      <c r="D7" s="164"/>
      <c r="E7" s="164"/>
      <c r="F7" s="164"/>
      <c r="G7" s="164"/>
      <c r="H7" s="164" t="s">
        <v>47</v>
      </c>
      <c r="I7" s="164" t="s">
        <v>61</v>
      </c>
      <c r="J7" s="164" t="s">
        <v>29</v>
      </c>
      <c r="K7" s="165" t="s">
        <v>43</v>
      </c>
      <c r="L7" s="157" t="s">
        <v>33</v>
      </c>
      <c r="M7" s="157" t="s">
        <v>13</v>
      </c>
      <c r="N7" s="157" t="s">
        <v>35</v>
      </c>
      <c r="O7" s="157" t="s">
        <v>35</v>
      </c>
      <c r="P7" s="157" t="s">
        <v>38</v>
      </c>
      <c r="Q7" s="157" t="s">
        <v>15</v>
      </c>
      <c r="R7" s="157" t="s">
        <v>39</v>
      </c>
      <c r="S7" s="162" t="s">
        <v>53</v>
      </c>
      <c r="T7" s="166" t="s">
        <v>266</v>
      </c>
      <c r="U7" s="164" t="s">
        <v>53</v>
      </c>
      <c r="V7" s="164"/>
      <c r="W7" s="164"/>
      <c r="X7" s="164" t="s">
        <v>44</v>
      </c>
      <c r="Y7" s="164" t="s">
        <v>5</v>
      </c>
      <c r="Z7" s="59"/>
    </row>
    <row r="8" spans="1:32" s="53" customFormat="1" ht="43.5" customHeight="1" x14ac:dyDescent="0.25">
      <c r="A8" s="65"/>
      <c r="B8" s="167" t="s">
        <v>106</v>
      </c>
      <c r="C8" s="167" t="s">
        <v>129</v>
      </c>
      <c r="D8" s="168" t="s">
        <v>65</v>
      </c>
      <c r="E8" s="169" t="s">
        <v>63</v>
      </c>
      <c r="F8" s="169"/>
      <c r="G8" s="169"/>
      <c r="H8" s="170">
        <f>SUM(H9:H11)</f>
        <v>44662.5</v>
      </c>
      <c r="I8" s="170">
        <f>SUM(I9:I11)</f>
        <v>0</v>
      </c>
      <c r="J8" s="170">
        <f>SUM(J9:J11)</f>
        <v>44662.5</v>
      </c>
      <c r="K8" s="169"/>
      <c r="L8" s="169"/>
      <c r="M8" s="169"/>
      <c r="N8" s="169"/>
      <c r="O8" s="169"/>
      <c r="P8" s="169"/>
      <c r="Q8" s="169"/>
      <c r="R8" s="169"/>
      <c r="S8" s="169"/>
      <c r="T8" s="171"/>
      <c r="U8" s="170">
        <f>SUM(U9:U11)</f>
        <v>0</v>
      </c>
      <c r="V8" s="170">
        <f>SUM(V9:V11)</f>
        <v>8063.57</v>
      </c>
      <c r="W8" s="170">
        <f>SUM(W9:W11)</f>
        <v>0</v>
      </c>
      <c r="X8" s="170">
        <f>SUM(X9:X11)</f>
        <v>8063.57</v>
      </c>
      <c r="Y8" s="170">
        <f>SUM(Y9:Y11)</f>
        <v>36598.93</v>
      </c>
      <c r="Z8" s="66"/>
    </row>
    <row r="9" spans="1:32" s="53" customFormat="1" ht="63" customHeight="1" x14ac:dyDescent="0.2">
      <c r="A9" s="89" t="s">
        <v>88</v>
      </c>
      <c r="B9" s="147" t="s">
        <v>254</v>
      </c>
      <c r="C9" s="122" t="s">
        <v>120</v>
      </c>
      <c r="D9" s="123" t="s">
        <v>255</v>
      </c>
      <c r="E9" s="123" t="s">
        <v>256</v>
      </c>
      <c r="F9" s="124">
        <v>10</v>
      </c>
      <c r="G9" s="141">
        <v>1677.25</v>
      </c>
      <c r="H9" s="125">
        <v>26114.5</v>
      </c>
      <c r="I9" s="126">
        <v>0</v>
      </c>
      <c r="J9" s="127">
        <f>SUM(H9:I9)</f>
        <v>26114.5</v>
      </c>
      <c r="K9" s="128">
        <f>IF(H9/15&lt;=SMG,0,I9/2)</f>
        <v>0</v>
      </c>
      <c r="L9" s="128">
        <f>H9+K9</f>
        <v>26114.5</v>
      </c>
      <c r="M9" s="128">
        <f>VLOOKUP(L9,Tarifa1,1)</f>
        <v>20988.91</v>
      </c>
      <c r="N9" s="128">
        <f>L9-M9</f>
        <v>5125.59</v>
      </c>
      <c r="O9" s="129">
        <f>VLOOKUP(L9,Tarifa1,3)</f>
        <v>0.3</v>
      </c>
      <c r="P9" s="128">
        <f>N9*O9</f>
        <v>1537.6769999999999</v>
      </c>
      <c r="Q9" s="130">
        <f>VLOOKUP(L9,Tarifa1,2)</f>
        <v>3937.8</v>
      </c>
      <c r="R9" s="128">
        <f>P9+Q9</f>
        <v>5475.4769999999999</v>
      </c>
      <c r="S9" s="128">
        <f>VLOOKUP(L9,Credito1,2)</f>
        <v>0</v>
      </c>
      <c r="T9" s="128">
        <f>ROUND(R9-S9,2)</f>
        <v>5475.48</v>
      </c>
      <c r="U9" s="127">
        <f>-IF(T9&gt;0,0,T9)</f>
        <v>0</v>
      </c>
      <c r="V9" s="172">
        <f>IF(T9&lt;0,0,T9)</f>
        <v>5475.48</v>
      </c>
      <c r="W9" s="131">
        <v>0</v>
      </c>
      <c r="X9" s="127">
        <f>SUM(V9:W9)</f>
        <v>5475.48</v>
      </c>
      <c r="Y9" s="127">
        <f>J9+U9-X9</f>
        <v>20639.02</v>
      </c>
      <c r="Z9" s="60"/>
    </row>
    <row r="10" spans="1:32" s="53" customFormat="1" ht="63" customHeight="1" x14ac:dyDescent="0.2">
      <c r="A10" s="89" t="s">
        <v>89</v>
      </c>
      <c r="B10" s="147" t="s">
        <v>180</v>
      </c>
      <c r="C10" s="122" t="s">
        <v>120</v>
      </c>
      <c r="D10" s="123" t="s">
        <v>162</v>
      </c>
      <c r="E10" s="140" t="s">
        <v>257</v>
      </c>
      <c r="F10" s="124">
        <v>10</v>
      </c>
      <c r="G10" s="141">
        <v>850.15</v>
      </c>
      <c r="H10" s="125">
        <v>13237</v>
      </c>
      <c r="I10" s="126">
        <v>0</v>
      </c>
      <c r="J10" s="127">
        <f>SUM(H10:I10)</f>
        <v>13237</v>
      </c>
      <c r="K10" s="128">
        <f>IF(H10/15&lt;=SMG,0,I10/2)</f>
        <v>0</v>
      </c>
      <c r="L10" s="128">
        <f t="shared" ref="L10" si="0">H10+K10</f>
        <v>13237</v>
      </c>
      <c r="M10" s="128">
        <f>VLOOKUP(L10,Tarifa1,1)</f>
        <v>6602.71</v>
      </c>
      <c r="N10" s="128">
        <f t="shared" ref="N10" si="1">L10-M10</f>
        <v>6634.29</v>
      </c>
      <c r="O10" s="129">
        <f>VLOOKUP(L10,Tarifa1,3)</f>
        <v>0.21360000000000001</v>
      </c>
      <c r="P10" s="128">
        <f t="shared" ref="P10" si="2">N10*O10</f>
        <v>1417.0843440000001</v>
      </c>
      <c r="Q10" s="130">
        <f>VLOOKUP(L10,Tarifa1,2)</f>
        <v>699.3</v>
      </c>
      <c r="R10" s="128">
        <f t="shared" ref="R10" si="3">P10+Q10</f>
        <v>2116.3843440000001</v>
      </c>
      <c r="S10" s="128">
        <f>VLOOKUP(L10,Credito1,2)</f>
        <v>0</v>
      </c>
      <c r="T10" s="128">
        <f t="shared" ref="T10" si="4">ROUND(R10-S10,2)</f>
        <v>2116.38</v>
      </c>
      <c r="U10" s="127">
        <f>-IF(T10&gt;0,0,T10)</f>
        <v>0</v>
      </c>
      <c r="V10" s="127">
        <f>IF(T10&lt;0,0,T10)</f>
        <v>2116.38</v>
      </c>
      <c r="W10" s="131">
        <v>0</v>
      </c>
      <c r="X10" s="127">
        <f>SUM(V10:W10)</f>
        <v>2116.38</v>
      </c>
      <c r="Y10" s="127">
        <f>J10+U10-X10</f>
        <v>11120.619999999999</v>
      </c>
      <c r="Z10" s="60"/>
      <c r="AF10" s="61"/>
    </row>
    <row r="11" spans="1:32" s="53" customFormat="1" ht="63" customHeight="1" x14ac:dyDescent="0.2">
      <c r="A11" s="89"/>
      <c r="B11" s="122" t="s">
        <v>112</v>
      </c>
      <c r="C11" s="147" t="s">
        <v>120</v>
      </c>
      <c r="D11" s="123" t="s">
        <v>68</v>
      </c>
      <c r="E11" s="123" t="s">
        <v>66</v>
      </c>
      <c r="F11" s="124">
        <v>15</v>
      </c>
      <c r="G11" s="141">
        <v>341.11</v>
      </c>
      <c r="H11" s="125">
        <v>5311</v>
      </c>
      <c r="I11" s="126">
        <v>0</v>
      </c>
      <c r="J11" s="127">
        <f>SUM(H11:I11)</f>
        <v>5311</v>
      </c>
      <c r="K11" s="128">
        <f>IF(H11/15&lt;=SMG,0,I11/2)</f>
        <v>0</v>
      </c>
      <c r="L11" s="128">
        <f t="shared" ref="L11" si="5">H11+K11</f>
        <v>5311</v>
      </c>
      <c r="M11" s="128">
        <f>VLOOKUP(L11,Tarifa1,1)</f>
        <v>4744.0600000000004</v>
      </c>
      <c r="N11" s="128">
        <f t="shared" ref="N11" si="6">L11-M11</f>
        <v>566.9399999999996</v>
      </c>
      <c r="O11" s="129">
        <f>VLOOKUP(L11,Tarifa1,3)</f>
        <v>0.16</v>
      </c>
      <c r="P11" s="128">
        <f t="shared" ref="P11" si="7">N11*O11</f>
        <v>90.710399999999936</v>
      </c>
      <c r="Q11" s="130">
        <f>VLOOKUP(L11,Tarifa1,2)</f>
        <v>381</v>
      </c>
      <c r="R11" s="128">
        <f t="shared" ref="R11" si="8">P11+Q11</f>
        <v>471.71039999999994</v>
      </c>
      <c r="S11" s="128">
        <f>VLOOKUP(L11,Credito1,2)</f>
        <v>0</v>
      </c>
      <c r="T11" s="128">
        <f t="shared" ref="T11" si="9">ROUND(R11-S11,2)</f>
        <v>471.71</v>
      </c>
      <c r="U11" s="127">
        <f>-IF(T11&gt;0,0,T11)</f>
        <v>0</v>
      </c>
      <c r="V11" s="127">
        <f>IF(T11&lt;0,0,T11)</f>
        <v>471.71</v>
      </c>
      <c r="W11" s="131">
        <v>0</v>
      </c>
      <c r="X11" s="127">
        <f>SUM(V11:W11)</f>
        <v>471.71</v>
      </c>
      <c r="Y11" s="127">
        <f>J11+U11-X11</f>
        <v>4839.29</v>
      </c>
      <c r="Z11" s="60"/>
      <c r="AF11" s="61"/>
    </row>
    <row r="12" spans="1:32" s="53" customFormat="1" ht="44.25" customHeight="1" x14ac:dyDescent="0.25">
      <c r="A12" s="89"/>
      <c r="B12" s="167" t="s">
        <v>106</v>
      </c>
      <c r="C12" s="167" t="s">
        <v>129</v>
      </c>
      <c r="D12" s="168" t="s">
        <v>124</v>
      </c>
      <c r="E12" s="169" t="s">
        <v>63</v>
      </c>
      <c r="F12" s="169"/>
      <c r="G12" s="169"/>
      <c r="H12" s="170">
        <f>SUM(H13)</f>
        <v>5947</v>
      </c>
      <c r="I12" s="170">
        <f>SUM(I13)</f>
        <v>0</v>
      </c>
      <c r="J12" s="170">
        <f>SUM(J13)</f>
        <v>5947</v>
      </c>
      <c r="K12" s="169"/>
      <c r="L12" s="169"/>
      <c r="M12" s="169"/>
      <c r="N12" s="169"/>
      <c r="O12" s="169"/>
      <c r="P12" s="169"/>
      <c r="Q12" s="173"/>
      <c r="R12" s="169"/>
      <c r="S12" s="169"/>
      <c r="T12" s="171"/>
      <c r="U12" s="170">
        <f>SUM(U13)</f>
        <v>0</v>
      </c>
      <c r="V12" s="170">
        <f>SUM(V13)</f>
        <v>581.76</v>
      </c>
      <c r="W12" s="170">
        <f>SUM(W13)</f>
        <v>0</v>
      </c>
      <c r="X12" s="170">
        <f>SUM(X13)</f>
        <v>581.76</v>
      </c>
      <c r="Y12" s="170">
        <f>SUM(Y13)</f>
        <v>5365.24</v>
      </c>
      <c r="Z12" s="66"/>
      <c r="AF12" s="61"/>
    </row>
    <row r="13" spans="1:32" s="53" customFormat="1" ht="63" customHeight="1" x14ac:dyDescent="0.2">
      <c r="A13" s="89" t="s">
        <v>90</v>
      </c>
      <c r="B13" s="147" t="s">
        <v>173</v>
      </c>
      <c r="C13" s="122" t="s">
        <v>120</v>
      </c>
      <c r="D13" s="174" t="s">
        <v>147</v>
      </c>
      <c r="E13" s="140" t="s">
        <v>102</v>
      </c>
      <c r="F13" s="124">
        <v>15</v>
      </c>
      <c r="G13" s="141">
        <v>381.95</v>
      </c>
      <c r="H13" s="125">
        <v>5947</v>
      </c>
      <c r="I13" s="126">
        <v>0</v>
      </c>
      <c r="J13" s="127">
        <f>H13</f>
        <v>5947</v>
      </c>
      <c r="K13" s="128">
        <f>IF(H13/15&lt;=SMG,0,I13/2)</f>
        <v>0</v>
      </c>
      <c r="L13" s="128">
        <f t="shared" ref="L13" si="10">H13+K13</f>
        <v>5947</v>
      </c>
      <c r="M13" s="128">
        <f>VLOOKUP(L13,Tarifa1,1)</f>
        <v>5514.76</v>
      </c>
      <c r="N13" s="128">
        <f t="shared" ref="N13" si="11">L13-M13</f>
        <v>432.23999999999978</v>
      </c>
      <c r="O13" s="129">
        <f>VLOOKUP(L13,Tarifa1,3)</f>
        <v>0.1792</v>
      </c>
      <c r="P13" s="128">
        <f t="shared" ref="P13" si="12">N13*O13</f>
        <v>77.457407999999958</v>
      </c>
      <c r="Q13" s="130">
        <f>VLOOKUP(L13,Tarifa1,2)</f>
        <v>504.3</v>
      </c>
      <c r="R13" s="128">
        <f t="shared" ref="R13" si="13">P13+Q13</f>
        <v>581.75740799999994</v>
      </c>
      <c r="S13" s="128">
        <f>VLOOKUP(L13,Credito1,2)</f>
        <v>0</v>
      </c>
      <c r="T13" s="128">
        <f t="shared" ref="T13" si="14">ROUND(R13-S13,2)</f>
        <v>581.76</v>
      </c>
      <c r="U13" s="127">
        <f>-IF(T13&gt;0,0,T13)</f>
        <v>0</v>
      </c>
      <c r="V13" s="127">
        <f>IF(T13&lt;0,0,T13)</f>
        <v>581.76</v>
      </c>
      <c r="W13" s="131">
        <v>0</v>
      </c>
      <c r="X13" s="127">
        <f>SUM(V13:W13)</f>
        <v>581.76</v>
      </c>
      <c r="Y13" s="127">
        <f>J13+U13-X13</f>
        <v>5365.24</v>
      </c>
      <c r="Z13" s="60"/>
      <c r="AF13" s="61"/>
    </row>
    <row r="14" spans="1:32" s="53" customFormat="1" ht="44.25" customHeight="1" x14ac:dyDescent="0.25">
      <c r="A14" s="89"/>
      <c r="B14" s="167" t="s">
        <v>106</v>
      </c>
      <c r="C14" s="167" t="s">
        <v>129</v>
      </c>
      <c r="D14" s="168" t="s">
        <v>125</v>
      </c>
      <c r="E14" s="169" t="s">
        <v>63</v>
      </c>
      <c r="F14" s="169"/>
      <c r="G14" s="169"/>
      <c r="H14" s="170">
        <f>SUM(H15)</f>
        <v>4754</v>
      </c>
      <c r="I14" s="170">
        <f>SUM(I15)</f>
        <v>0</v>
      </c>
      <c r="J14" s="170">
        <f>SUM(J15)</f>
        <v>4754</v>
      </c>
      <c r="K14" s="169"/>
      <c r="L14" s="169"/>
      <c r="M14" s="169"/>
      <c r="N14" s="169"/>
      <c r="O14" s="169"/>
      <c r="P14" s="169"/>
      <c r="Q14" s="173"/>
      <c r="R14" s="169"/>
      <c r="S14" s="169"/>
      <c r="T14" s="171"/>
      <c r="U14" s="170">
        <f>SUM(U15)</f>
        <v>0</v>
      </c>
      <c r="V14" s="170">
        <f>SUM(V15)</f>
        <v>382.59</v>
      </c>
      <c r="W14" s="170">
        <f>SUM(W15)</f>
        <v>0</v>
      </c>
      <c r="X14" s="170">
        <f>SUM(X15)</f>
        <v>382.59</v>
      </c>
      <c r="Y14" s="170">
        <f>SUM(Y15)</f>
        <v>4371.41</v>
      </c>
      <c r="Z14" s="66"/>
      <c r="AF14" s="61"/>
    </row>
    <row r="15" spans="1:32" s="53" customFormat="1" ht="63" customHeight="1" x14ac:dyDescent="0.2">
      <c r="A15" s="89" t="s">
        <v>92</v>
      </c>
      <c r="B15" s="122" t="s">
        <v>113</v>
      </c>
      <c r="C15" s="122" t="s">
        <v>120</v>
      </c>
      <c r="D15" s="123" t="s">
        <v>103</v>
      </c>
      <c r="E15" s="123" t="s">
        <v>69</v>
      </c>
      <c r="F15" s="124">
        <v>15</v>
      </c>
      <c r="G15" s="141">
        <v>305.35000000000002</v>
      </c>
      <c r="H15" s="125">
        <v>4754</v>
      </c>
      <c r="I15" s="126">
        <v>0</v>
      </c>
      <c r="J15" s="127">
        <f>SUM(H15:I15)</f>
        <v>4754</v>
      </c>
      <c r="K15" s="128">
        <f>IF(H15/15&lt;=SMG,0,I15/2)</f>
        <v>0</v>
      </c>
      <c r="L15" s="128">
        <f t="shared" ref="L15" si="15">H15+K15</f>
        <v>4754</v>
      </c>
      <c r="M15" s="128">
        <f>VLOOKUP(L15,Tarifa1,1)</f>
        <v>4744.0600000000004</v>
      </c>
      <c r="N15" s="128">
        <f t="shared" ref="N15" si="16">L15-M15</f>
        <v>9.9399999999995998</v>
      </c>
      <c r="O15" s="129">
        <f>VLOOKUP(L15,Tarifa1,3)</f>
        <v>0.16</v>
      </c>
      <c r="P15" s="128">
        <f t="shared" ref="P15" si="17">N15*O15</f>
        <v>1.5903999999999361</v>
      </c>
      <c r="Q15" s="130">
        <f>VLOOKUP(L15,Tarifa1,2)</f>
        <v>381</v>
      </c>
      <c r="R15" s="128">
        <f t="shared" ref="R15" si="18">P15+Q15</f>
        <v>382.59039999999993</v>
      </c>
      <c r="S15" s="128">
        <f>VLOOKUP(L15,Credito1,2)</f>
        <v>0</v>
      </c>
      <c r="T15" s="128">
        <f t="shared" ref="T15" si="19">ROUND(R15-S15,2)</f>
        <v>382.59</v>
      </c>
      <c r="U15" s="127">
        <f>-IF(T15&gt;0,0,T15)</f>
        <v>0</v>
      </c>
      <c r="V15" s="127">
        <f>IF(T15&lt;0,0,T15)</f>
        <v>382.59</v>
      </c>
      <c r="W15" s="131">
        <v>0</v>
      </c>
      <c r="X15" s="127">
        <f>SUM(V15:W15)</f>
        <v>382.59</v>
      </c>
      <c r="Y15" s="127">
        <f>J15+U15-X15</f>
        <v>4371.41</v>
      </c>
      <c r="Z15" s="60"/>
      <c r="AF15" s="67"/>
    </row>
    <row r="16" spans="1:32" s="53" customFormat="1" ht="43.5" customHeight="1" x14ac:dyDescent="0.25">
      <c r="A16" s="89"/>
      <c r="B16" s="167" t="s">
        <v>106</v>
      </c>
      <c r="C16" s="167" t="s">
        <v>129</v>
      </c>
      <c r="D16" s="168" t="s">
        <v>126</v>
      </c>
      <c r="E16" s="169" t="s">
        <v>63</v>
      </c>
      <c r="F16" s="169"/>
      <c r="G16" s="169"/>
      <c r="H16" s="170">
        <f>SUM(H17:H17)</f>
        <v>9744.5</v>
      </c>
      <c r="I16" s="170">
        <f>SUM(I17:I17)</f>
        <v>0</v>
      </c>
      <c r="J16" s="170">
        <f>SUM(J17:J17)</f>
        <v>9744.5</v>
      </c>
      <c r="K16" s="169"/>
      <c r="L16" s="169"/>
      <c r="M16" s="169"/>
      <c r="N16" s="169"/>
      <c r="O16" s="169"/>
      <c r="P16" s="169"/>
      <c r="Q16" s="173"/>
      <c r="R16" s="169"/>
      <c r="S16" s="169"/>
      <c r="T16" s="171"/>
      <c r="U16" s="170">
        <f>SUM(U17:U17)</f>
        <v>0</v>
      </c>
      <c r="V16" s="170">
        <f>SUM(V17:V17)</f>
        <v>1370.39</v>
      </c>
      <c r="W16" s="170">
        <f>SUM(W17:W17)</f>
        <v>0</v>
      </c>
      <c r="X16" s="170">
        <f>SUM(X17:X17)</f>
        <v>1370.39</v>
      </c>
      <c r="Y16" s="170">
        <f>SUM(Y17:Y17)</f>
        <v>8374.11</v>
      </c>
      <c r="Z16" s="66"/>
      <c r="AF16" s="67"/>
    </row>
    <row r="17" spans="1:3223" s="53" customFormat="1" ht="63" customHeight="1" x14ac:dyDescent="0.2">
      <c r="A17" s="89" t="s">
        <v>93</v>
      </c>
      <c r="B17" s="147" t="s">
        <v>174</v>
      </c>
      <c r="C17" s="122" t="s">
        <v>120</v>
      </c>
      <c r="D17" s="123" t="s">
        <v>148</v>
      </c>
      <c r="E17" s="123" t="s">
        <v>87</v>
      </c>
      <c r="F17" s="124">
        <v>15</v>
      </c>
      <c r="G17" s="141">
        <v>625.85200000000009</v>
      </c>
      <c r="H17" s="125">
        <v>9744.5</v>
      </c>
      <c r="I17" s="126">
        <v>0</v>
      </c>
      <c r="J17" s="127">
        <f>H17</f>
        <v>9744.5</v>
      </c>
      <c r="K17" s="128">
        <f>IF(H17/15&lt;=SMG,0,I17/2)</f>
        <v>0</v>
      </c>
      <c r="L17" s="128">
        <f t="shared" ref="L17" si="20">H17+K17</f>
        <v>9744.5</v>
      </c>
      <c r="M17" s="128">
        <f>VLOOKUP(L17,Tarifa1,1)</f>
        <v>6602.71</v>
      </c>
      <c r="N17" s="128">
        <f t="shared" ref="N17" si="21">L17-M17</f>
        <v>3141.79</v>
      </c>
      <c r="O17" s="129">
        <f>VLOOKUP(L17,Tarifa1,3)</f>
        <v>0.21360000000000001</v>
      </c>
      <c r="P17" s="128">
        <f t="shared" ref="P17" si="22">N17*O17</f>
        <v>671.08634400000005</v>
      </c>
      <c r="Q17" s="130">
        <f>VLOOKUP(L17,Tarifa1,2)</f>
        <v>699.3</v>
      </c>
      <c r="R17" s="128">
        <f t="shared" ref="R17" si="23">P17+Q17</f>
        <v>1370.386344</v>
      </c>
      <c r="S17" s="128">
        <f>VLOOKUP(L17,Credito1,2)</f>
        <v>0</v>
      </c>
      <c r="T17" s="128">
        <f t="shared" ref="T17" si="24">ROUND(R17-S17,2)</f>
        <v>1370.39</v>
      </c>
      <c r="U17" s="127">
        <f>-IF(T17&gt;0,0,T17)</f>
        <v>0</v>
      </c>
      <c r="V17" s="127">
        <f>IF(T17&lt;0,0,T17)</f>
        <v>1370.39</v>
      </c>
      <c r="W17" s="131">
        <v>0</v>
      </c>
      <c r="X17" s="127">
        <f>SUM(V17:W17)</f>
        <v>1370.39</v>
      </c>
      <c r="Y17" s="127">
        <f>J17+U17-X17</f>
        <v>8374.11</v>
      </c>
      <c r="Z17" s="60"/>
      <c r="AF17" s="67"/>
    </row>
    <row r="18" spans="1:3223" s="69" customFormat="1" ht="42" customHeight="1" x14ac:dyDescent="0.25">
      <c r="A18" s="176"/>
      <c r="B18" s="167" t="s">
        <v>106</v>
      </c>
      <c r="C18" s="167" t="s">
        <v>129</v>
      </c>
      <c r="D18" s="168" t="s">
        <v>127</v>
      </c>
      <c r="E18" s="169" t="s">
        <v>63</v>
      </c>
      <c r="F18" s="169"/>
      <c r="G18" s="169"/>
      <c r="H18" s="170">
        <f>SUM(H19:H20)</f>
        <v>5568</v>
      </c>
      <c r="I18" s="170">
        <f>SUM(I19:I20)</f>
        <v>0</v>
      </c>
      <c r="J18" s="170">
        <f>SUM(J19:J20)</f>
        <v>5568</v>
      </c>
      <c r="K18" s="169"/>
      <c r="L18" s="169"/>
      <c r="M18" s="169"/>
      <c r="N18" s="169"/>
      <c r="O18" s="169"/>
      <c r="P18" s="169"/>
      <c r="Q18" s="173"/>
      <c r="R18" s="169"/>
      <c r="S18" s="169"/>
      <c r="T18" s="171"/>
      <c r="U18" s="170">
        <f>SUM(U19:U20)</f>
        <v>0</v>
      </c>
      <c r="V18" s="170">
        <f>SUM(V19:V20)</f>
        <v>44.8</v>
      </c>
      <c r="W18" s="170">
        <f>SUM(W19:W20)</f>
        <v>0</v>
      </c>
      <c r="X18" s="170">
        <f>SUM(X19:X20)</f>
        <v>44.8</v>
      </c>
      <c r="Y18" s="170">
        <f>SUM(Y19:Y20)</f>
        <v>5523.2</v>
      </c>
      <c r="Z18" s="66"/>
      <c r="AA18" s="92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  <c r="BRW18" s="53"/>
      <c r="BRX18" s="53"/>
      <c r="BRY18" s="53"/>
      <c r="BRZ18" s="53"/>
      <c r="BSA18" s="53"/>
      <c r="BSB18" s="53"/>
      <c r="BSC18" s="53"/>
      <c r="BSD18" s="53"/>
      <c r="BSE18" s="53"/>
      <c r="BSF18" s="53"/>
      <c r="BSG18" s="53"/>
      <c r="BSH18" s="53"/>
      <c r="BSI18" s="53"/>
      <c r="BSJ18" s="53"/>
      <c r="BSK18" s="53"/>
      <c r="BSL18" s="53"/>
      <c r="BSM18" s="53"/>
      <c r="BSN18" s="53"/>
      <c r="BSO18" s="53"/>
      <c r="BSP18" s="53"/>
      <c r="BSQ18" s="53"/>
      <c r="BSR18" s="53"/>
      <c r="BSS18" s="53"/>
      <c r="BST18" s="53"/>
      <c r="BSU18" s="53"/>
      <c r="BSV18" s="53"/>
      <c r="BSW18" s="53"/>
      <c r="BSX18" s="53"/>
      <c r="BSY18" s="53"/>
      <c r="BSZ18" s="53"/>
      <c r="BTA18" s="53"/>
      <c r="BTB18" s="53"/>
      <c r="BTC18" s="53"/>
      <c r="BTD18" s="53"/>
      <c r="BTE18" s="53"/>
      <c r="BTF18" s="53"/>
      <c r="BTG18" s="53"/>
      <c r="BTH18" s="53"/>
      <c r="BTI18" s="53"/>
      <c r="BTJ18" s="53"/>
      <c r="BTK18" s="53"/>
      <c r="BTL18" s="53"/>
      <c r="BTM18" s="53"/>
      <c r="BTN18" s="53"/>
      <c r="BTO18" s="53"/>
      <c r="BTP18" s="53"/>
      <c r="BTQ18" s="53"/>
      <c r="BTR18" s="53"/>
      <c r="BTS18" s="53"/>
      <c r="BTT18" s="53"/>
      <c r="BTU18" s="53"/>
      <c r="BTV18" s="53"/>
      <c r="BTW18" s="53"/>
      <c r="BTX18" s="53"/>
      <c r="BTY18" s="53"/>
      <c r="BTZ18" s="53"/>
      <c r="BUA18" s="53"/>
      <c r="BUB18" s="53"/>
      <c r="BUC18" s="53"/>
      <c r="BUD18" s="53"/>
      <c r="BUE18" s="53"/>
      <c r="BUF18" s="53"/>
      <c r="BUG18" s="53"/>
      <c r="BUH18" s="53"/>
      <c r="BUI18" s="53"/>
      <c r="BUJ18" s="53"/>
      <c r="BUK18" s="53"/>
      <c r="BUL18" s="53"/>
      <c r="BUM18" s="53"/>
      <c r="BUN18" s="53"/>
      <c r="BUO18" s="53"/>
      <c r="BUP18" s="53"/>
      <c r="BUQ18" s="53"/>
      <c r="BUR18" s="53"/>
      <c r="BUS18" s="53"/>
      <c r="BUT18" s="53"/>
      <c r="BUU18" s="53"/>
      <c r="BUV18" s="53"/>
      <c r="BUW18" s="53"/>
      <c r="BUX18" s="53"/>
      <c r="BUY18" s="53"/>
      <c r="BUZ18" s="53"/>
      <c r="BVA18" s="53"/>
      <c r="BVB18" s="53"/>
      <c r="BVC18" s="53"/>
      <c r="BVD18" s="53"/>
      <c r="BVE18" s="53"/>
      <c r="BVF18" s="53"/>
      <c r="BVG18" s="53"/>
      <c r="BVH18" s="53"/>
      <c r="BVI18" s="53"/>
      <c r="BVJ18" s="53"/>
      <c r="BVK18" s="53"/>
      <c r="BVL18" s="53"/>
      <c r="BVM18" s="53"/>
      <c r="BVN18" s="53"/>
      <c r="BVO18" s="53"/>
      <c r="BVP18" s="53"/>
      <c r="BVQ18" s="53"/>
      <c r="BVR18" s="53"/>
      <c r="BVS18" s="53"/>
      <c r="BVT18" s="53"/>
      <c r="BVU18" s="53"/>
      <c r="BVV18" s="53"/>
      <c r="BVW18" s="53"/>
      <c r="BVX18" s="53"/>
      <c r="BVY18" s="53"/>
      <c r="BVZ18" s="53"/>
      <c r="BWA18" s="53"/>
      <c r="BWB18" s="53"/>
      <c r="BWC18" s="53"/>
      <c r="BWD18" s="53"/>
      <c r="BWE18" s="53"/>
      <c r="BWF18" s="53"/>
      <c r="BWG18" s="53"/>
      <c r="BWH18" s="53"/>
      <c r="BWI18" s="53"/>
      <c r="BWJ18" s="53"/>
      <c r="BWK18" s="53"/>
      <c r="BWL18" s="53"/>
      <c r="BWM18" s="53"/>
      <c r="BWN18" s="53"/>
      <c r="BWO18" s="53"/>
      <c r="BWP18" s="53"/>
      <c r="BWQ18" s="53"/>
      <c r="BWR18" s="53"/>
      <c r="BWS18" s="53"/>
      <c r="BWT18" s="53"/>
      <c r="BWU18" s="53"/>
      <c r="BWV18" s="53"/>
      <c r="BWW18" s="53"/>
      <c r="BWX18" s="53"/>
      <c r="BWY18" s="53"/>
      <c r="BWZ18" s="53"/>
      <c r="BXA18" s="53"/>
      <c r="BXB18" s="53"/>
      <c r="BXC18" s="53"/>
      <c r="BXD18" s="53"/>
      <c r="BXE18" s="53"/>
      <c r="BXF18" s="53"/>
      <c r="BXG18" s="53"/>
      <c r="BXH18" s="53"/>
      <c r="BXI18" s="53"/>
      <c r="BXJ18" s="53"/>
      <c r="BXK18" s="53"/>
      <c r="BXL18" s="53"/>
      <c r="BXM18" s="53"/>
      <c r="BXN18" s="53"/>
      <c r="BXO18" s="53"/>
      <c r="BXP18" s="53"/>
      <c r="BXQ18" s="53"/>
      <c r="BXR18" s="53"/>
      <c r="BXS18" s="53"/>
      <c r="BXT18" s="53"/>
      <c r="BXU18" s="53"/>
      <c r="BXV18" s="53"/>
      <c r="BXW18" s="53"/>
      <c r="BXX18" s="53"/>
      <c r="BXY18" s="53"/>
      <c r="BXZ18" s="53"/>
      <c r="BYA18" s="53"/>
      <c r="BYB18" s="53"/>
      <c r="BYC18" s="53"/>
      <c r="BYD18" s="53"/>
      <c r="BYE18" s="53"/>
      <c r="BYF18" s="53"/>
      <c r="BYG18" s="53"/>
      <c r="BYH18" s="53"/>
      <c r="BYI18" s="53"/>
      <c r="BYJ18" s="53"/>
      <c r="BYK18" s="53"/>
      <c r="BYL18" s="53"/>
      <c r="BYM18" s="53"/>
      <c r="BYN18" s="53"/>
      <c r="BYO18" s="53"/>
      <c r="BYP18" s="53"/>
      <c r="BYQ18" s="53"/>
      <c r="BYR18" s="53"/>
      <c r="BYS18" s="53"/>
      <c r="BYT18" s="53"/>
      <c r="BYU18" s="53"/>
      <c r="BYV18" s="53"/>
      <c r="BYW18" s="53"/>
      <c r="BYX18" s="53"/>
      <c r="BYY18" s="53"/>
      <c r="BYZ18" s="53"/>
      <c r="BZA18" s="53"/>
      <c r="BZB18" s="53"/>
      <c r="BZC18" s="53"/>
      <c r="BZD18" s="53"/>
      <c r="BZE18" s="53"/>
      <c r="BZF18" s="53"/>
      <c r="BZG18" s="53"/>
      <c r="BZH18" s="53"/>
      <c r="BZI18" s="53"/>
      <c r="BZJ18" s="53"/>
      <c r="BZK18" s="53"/>
      <c r="BZL18" s="53"/>
      <c r="BZM18" s="53"/>
      <c r="BZN18" s="53"/>
      <c r="BZO18" s="53"/>
      <c r="BZP18" s="53"/>
      <c r="BZQ18" s="53"/>
      <c r="BZR18" s="53"/>
      <c r="BZS18" s="53"/>
      <c r="BZT18" s="53"/>
      <c r="BZU18" s="53"/>
      <c r="BZV18" s="53"/>
      <c r="BZW18" s="53"/>
      <c r="BZX18" s="53"/>
      <c r="BZY18" s="53"/>
      <c r="BZZ18" s="53"/>
      <c r="CAA18" s="53"/>
      <c r="CAB18" s="53"/>
      <c r="CAC18" s="53"/>
      <c r="CAD18" s="53"/>
      <c r="CAE18" s="53"/>
      <c r="CAF18" s="53"/>
      <c r="CAG18" s="53"/>
      <c r="CAH18" s="53"/>
      <c r="CAI18" s="53"/>
      <c r="CAJ18" s="53"/>
      <c r="CAK18" s="53"/>
      <c r="CAL18" s="53"/>
      <c r="CAM18" s="53"/>
      <c r="CAN18" s="53"/>
      <c r="CAO18" s="53"/>
      <c r="CAP18" s="53"/>
      <c r="CAQ18" s="53"/>
      <c r="CAR18" s="53"/>
      <c r="CAS18" s="53"/>
      <c r="CAT18" s="53"/>
      <c r="CAU18" s="53"/>
      <c r="CAV18" s="53"/>
      <c r="CAW18" s="53"/>
      <c r="CAX18" s="53"/>
      <c r="CAY18" s="53"/>
      <c r="CAZ18" s="53"/>
      <c r="CBA18" s="53"/>
      <c r="CBB18" s="53"/>
      <c r="CBC18" s="53"/>
      <c r="CBD18" s="53"/>
      <c r="CBE18" s="53"/>
      <c r="CBF18" s="53"/>
      <c r="CBG18" s="53"/>
      <c r="CBH18" s="53"/>
      <c r="CBI18" s="53"/>
      <c r="CBJ18" s="53"/>
      <c r="CBK18" s="53"/>
      <c r="CBL18" s="53"/>
      <c r="CBM18" s="53"/>
      <c r="CBN18" s="53"/>
      <c r="CBO18" s="53"/>
      <c r="CBP18" s="53"/>
      <c r="CBQ18" s="53"/>
      <c r="CBR18" s="53"/>
      <c r="CBS18" s="53"/>
      <c r="CBT18" s="53"/>
      <c r="CBU18" s="53"/>
      <c r="CBV18" s="53"/>
      <c r="CBW18" s="53"/>
      <c r="CBX18" s="53"/>
      <c r="CBY18" s="53"/>
      <c r="CBZ18" s="53"/>
      <c r="CCA18" s="53"/>
      <c r="CCB18" s="53"/>
      <c r="CCC18" s="53"/>
      <c r="CCD18" s="53"/>
      <c r="CCE18" s="53"/>
      <c r="CCF18" s="53"/>
      <c r="CCG18" s="53"/>
      <c r="CCH18" s="53"/>
      <c r="CCI18" s="53"/>
      <c r="CCJ18" s="53"/>
      <c r="CCK18" s="53"/>
      <c r="CCL18" s="53"/>
      <c r="CCM18" s="53"/>
      <c r="CCN18" s="53"/>
      <c r="CCO18" s="53"/>
      <c r="CCP18" s="53"/>
      <c r="CCQ18" s="53"/>
      <c r="CCR18" s="53"/>
      <c r="CCS18" s="53"/>
      <c r="CCT18" s="53"/>
      <c r="CCU18" s="53"/>
      <c r="CCV18" s="53"/>
      <c r="CCW18" s="53"/>
      <c r="CCX18" s="53"/>
      <c r="CCY18" s="53"/>
      <c r="CCZ18" s="53"/>
      <c r="CDA18" s="53"/>
      <c r="CDB18" s="53"/>
      <c r="CDC18" s="53"/>
      <c r="CDD18" s="53"/>
      <c r="CDE18" s="53"/>
      <c r="CDF18" s="53"/>
      <c r="CDG18" s="53"/>
      <c r="CDH18" s="53"/>
      <c r="CDI18" s="53"/>
      <c r="CDJ18" s="53"/>
      <c r="CDK18" s="53"/>
      <c r="CDL18" s="53"/>
      <c r="CDM18" s="53"/>
      <c r="CDN18" s="53"/>
      <c r="CDO18" s="53"/>
      <c r="CDP18" s="53"/>
      <c r="CDQ18" s="53"/>
      <c r="CDR18" s="53"/>
      <c r="CDS18" s="53"/>
      <c r="CDT18" s="53"/>
      <c r="CDU18" s="53"/>
      <c r="CDV18" s="53"/>
      <c r="CDW18" s="53"/>
      <c r="CDX18" s="53"/>
      <c r="CDY18" s="53"/>
      <c r="CDZ18" s="53"/>
      <c r="CEA18" s="53"/>
      <c r="CEB18" s="53"/>
      <c r="CEC18" s="53"/>
      <c r="CED18" s="53"/>
      <c r="CEE18" s="53"/>
      <c r="CEF18" s="53"/>
      <c r="CEG18" s="53"/>
      <c r="CEH18" s="53"/>
      <c r="CEI18" s="53"/>
      <c r="CEJ18" s="53"/>
      <c r="CEK18" s="53"/>
      <c r="CEL18" s="53"/>
      <c r="CEM18" s="53"/>
      <c r="CEN18" s="53"/>
      <c r="CEO18" s="53"/>
      <c r="CEP18" s="53"/>
      <c r="CEQ18" s="53"/>
      <c r="CER18" s="53"/>
      <c r="CES18" s="53"/>
      <c r="CET18" s="53"/>
      <c r="CEU18" s="53"/>
      <c r="CEV18" s="53"/>
      <c r="CEW18" s="53"/>
      <c r="CEX18" s="53"/>
      <c r="CEY18" s="53"/>
      <c r="CEZ18" s="53"/>
      <c r="CFA18" s="53"/>
      <c r="CFB18" s="53"/>
      <c r="CFC18" s="53"/>
      <c r="CFD18" s="53"/>
      <c r="CFE18" s="53"/>
      <c r="CFF18" s="53"/>
      <c r="CFG18" s="53"/>
      <c r="CFH18" s="53"/>
      <c r="CFI18" s="53"/>
      <c r="CFJ18" s="53"/>
      <c r="CFK18" s="53"/>
      <c r="CFL18" s="53"/>
      <c r="CFM18" s="53"/>
      <c r="CFN18" s="53"/>
      <c r="CFO18" s="53"/>
      <c r="CFP18" s="53"/>
      <c r="CFQ18" s="53"/>
      <c r="CFR18" s="53"/>
      <c r="CFS18" s="53"/>
      <c r="CFT18" s="53"/>
      <c r="CFU18" s="53"/>
      <c r="CFV18" s="53"/>
      <c r="CFW18" s="53"/>
      <c r="CFX18" s="53"/>
      <c r="CFY18" s="53"/>
      <c r="CFZ18" s="53"/>
      <c r="CGA18" s="53"/>
      <c r="CGB18" s="53"/>
      <c r="CGC18" s="53"/>
      <c r="CGD18" s="53"/>
      <c r="CGE18" s="53"/>
      <c r="CGF18" s="53"/>
      <c r="CGG18" s="53"/>
      <c r="CGH18" s="53"/>
      <c r="CGI18" s="53"/>
      <c r="CGJ18" s="53"/>
      <c r="CGK18" s="53"/>
      <c r="CGL18" s="53"/>
      <c r="CGM18" s="53"/>
      <c r="CGN18" s="53"/>
      <c r="CGO18" s="53"/>
      <c r="CGP18" s="53"/>
      <c r="CGQ18" s="53"/>
      <c r="CGR18" s="53"/>
      <c r="CGS18" s="53"/>
      <c r="CGT18" s="53"/>
      <c r="CGU18" s="53"/>
      <c r="CGV18" s="53"/>
      <c r="CGW18" s="53"/>
      <c r="CGX18" s="53"/>
      <c r="CGY18" s="53"/>
      <c r="CGZ18" s="53"/>
      <c r="CHA18" s="53"/>
      <c r="CHB18" s="53"/>
      <c r="CHC18" s="53"/>
      <c r="CHD18" s="53"/>
      <c r="CHE18" s="53"/>
      <c r="CHF18" s="53"/>
      <c r="CHG18" s="53"/>
      <c r="CHH18" s="53"/>
      <c r="CHI18" s="53"/>
      <c r="CHJ18" s="53"/>
      <c r="CHK18" s="53"/>
      <c r="CHL18" s="53"/>
      <c r="CHM18" s="53"/>
      <c r="CHN18" s="53"/>
      <c r="CHO18" s="53"/>
      <c r="CHP18" s="53"/>
      <c r="CHQ18" s="53"/>
      <c r="CHR18" s="53"/>
      <c r="CHS18" s="53"/>
      <c r="CHT18" s="53"/>
      <c r="CHU18" s="53"/>
      <c r="CHV18" s="53"/>
      <c r="CHW18" s="53"/>
      <c r="CHX18" s="53"/>
      <c r="CHY18" s="53"/>
      <c r="CHZ18" s="53"/>
      <c r="CIA18" s="53"/>
      <c r="CIB18" s="53"/>
      <c r="CIC18" s="53"/>
      <c r="CID18" s="53"/>
      <c r="CIE18" s="53"/>
      <c r="CIF18" s="53"/>
      <c r="CIG18" s="53"/>
      <c r="CIH18" s="53"/>
      <c r="CII18" s="53"/>
      <c r="CIJ18" s="53"/>
      <c r="CIK18" s="53"/>
      <c r="CIL18" s="53"/>
      <c r="CIM18" s="53"/>
      <c r="CIN18" s="53"/>
      <c r="CIO18" s="53"/>
      <c r="CIP18" s="53"/>
      <c r="CIQ18" s="53"/>
      <c r="CIR18" s="53"/>
      <c r="CIS18" s="53"/>
      <c r="CIT18" s="53"/>
      <c r="CIU18" s="53"/>
      <c r="CIV18" s="53"/>
      <c r="CIW18" s="53"/>
      <c r="CIX18" s="53"/>
      <c r="CIY18" s="53"/>
      <c r="CIZ18" s="53"/>
      <c r="CJA18" s="53"/>
      <c r="CJB18" s="53"/>
      <c r="CJC18" s="53"/>
      <c r="CJD18" s="53"/>
      <c r="CJE18" s="53"/>
      <c r="CJF18" s="53"/>
      <c r="CJG18" s="53"/>
      <c r="CJH18" s="53"/>
      <c r="CJI18" s="53"/>
      <c r="CJJ18" s="53"/>
      <c r="CJK18" s="53"/>
      <c r="CJL18" s="53"/>
      <c r="CJM18" s="53"/>
      <c r="CJN18" s="53"/>
      <c r="CJO18" s="53"/>
      <c r="CJP18" s="53"/>
      <c r="CJQ18" s="53"/>
      <c r="CJR18" s="53"/>
      <c r="CJS18" s="53"/>
      <c r="CJT18" s="53"/>
      <c r="CJU18" s="53"/>
      <c r="CJV18" s="53"/>
      <c r="CJW18" s="53"/>
      <c r="CJX18" s="53"/>
      <c r="CJY18" s="53"/>
      <c r="CJZ18" s="53"/>
      <c r="CKA18" s="53"/>
      <c r="CKB18" s="53"/>
      <c r="CKC18" s="53"/>
      <c r="CKD18" s="53"/>
      <c r="CKE18" s="53"/>
      <c r="CKF18" s="53"/>
      <c r="CKG18" s="53"/>
      <c r="CKH18" s="53"/>
      <c r="CKI18" s="53"/>
      <c r="CKJ18" s="53"/>
      <c r="CKK18" s="53"/>
      <c r="CKL18" s="53"/>
      <c r="CKM18" s="53"/>
      <c r="CKN18" s="53"/>
      <c r="CKO18" s="53"/>
      <c r="CKP18" s="53"/>
      <c r="CKQ18" s="53"/>
      <c r="CKR18" s="53"/>
      <c r="CKS18" s="53"/>
      <c r="CKT18" s="53"/>
      <c r="CKU18" s="53"/>
      <c r="CKV18" s="53"/>
      <c r="CKW18" s="53"/>
      <c r="CKX18" s="53"/>
      <c r="CKY18" s="53"/>
      <c r="CKZ18" s="53"/>
      <c r="CLA18" s="53"/>
      <c r="CLB18" s="53"/>
      <c r="CLC18" s="53"/>
      <c r="CLD18" s="53"/>
      <c r="CLE18" s="53"/>
      <c r="CLF18" s="53"/>
      <c r="CLG18" s="53"/>
      <c r="CLH18" s="53"/>
      <c r="CLI18" s="53"/>
      <c r="CLJ18" s="53"/>
      <c r="CLK18" s="53"/>
      <c r="CLL18" s="53"/>
      <c r="CLM18" s="53"/>
      <c r="CLN18" s="53"/>
      <c r="CLO18" s="53"/>
      <c r="CLP18" s="53"/>
      <c r="CLQ18" s="53"/>
      <c r="CLR18" s="53"/>
      <c r="CLS18" s="53"/>
      <c r="CLT18" s="53"/>
      <c r="CLU18" s="53"/>
      <c r="CLV18" s="53"/>
      <c r="CLW18" s="53"/>
      <c r="CLX18" s="53"/>
      <c r="CLY18" s="53"/>
      <c r="CLZ18" s="53"/>
      <c r="CMA18" s="53"/>
      <c r="CMB18" s="53"/>
      <c r="CMC18" s="53"/>
      <c r="CMD18" s="53"/>
      <c r="CME18" s="53"/>
      <c r="CMF18" s="53"/>
      <c r="CMG18" s="53"/>
      <c r="CMH18" s="53"/>
      <c r="CMI18" s="53"/>
      <c r="CMJ18" s="53"/>
      <c r="CMK18" s="53"/>
      <c r="CML18" s="53"/>
      <c r="CMM18" s="53"/>
      <c r="CMN18" s="53"/>
      <c r="CMO18" s="53"/>
      <c r="CMP18" s="53"/>
      <c r="CMQ18" s="53"/>
      <c r="CMR18" s="53"/>
      <c r="CMS18" s="53"/>
      <c r="CMT18" s="53"/>
      <c r="CMU18" s="53"/>
      <c r="CMV18" s="53"/>
      <c r="CMW18" s="53"/>
      <c r="CMX18" s="53"/>
      <c r="CMY18" s="53"/>
      <c r="CMZ18" s="53"/>
      <c r="CNA18" s="53"/>
      <c r="CNB18" s="53"/>
      <c r="CNC18" s="53"/>
      <c r="CND18" s="53"/>
      <c r="CNE18" s="53"/>
      <c r="CNF18" s="53"/>
      <c r="CNG18" s="53"/>
      <c r="CNH18" s="53"/>
      <c r="CNI18" s="53"/>
      <c r="CNJ18" s="53"/>
      <c r="CNK18" s="53"/>
      <c r="CNL18" s="53"/>
      <c r="CNM18" s="53"/>
      <c r="CNN18" s="53"/>
      <c r="CNO18" s="53"/>
      <c r="CNP18" s="53"/>
      <c r="CNQ18" s="53"/>
      <c r="CNR18" s="53"/>
      <c r="CNS18" s="53"/>
      <c r="CNT18" s="53"/>
      <c r="CNU18" s="53"/>
      <c r="CNV18" s="53"/>
      <c r="CNW18" s="53"/>
      <c r="CNX18" s="53"/>
      <c r="CNY18" s="53"/>
      <c r="CNZ18" s="53"/>
      <c r="COA18" s="53"/>
      <c r="COB18" s="53"/>
      <c r="COC18" s="53"/>
      <c r="COD18" s="53"/>
      <c r="COE18" s="53"/>
      <c r="COF18" s="53"/>
      <c r="COG18" s="53"/>
      <c r="COH18" s="53"/>
      <c r="COI18" s="53"/>
      <c r="COJ18" s="53"/>
      <c r="COK18" s="53"/>
      <c r="COL18" s="53"/>
      <c r="COM18" s="53"/>
      <c r="CON18" s="53"/>
      <c r="COO18" s="53"/>
      <c r="COP18" s="53"/>
      <c r="COQ18" s="53"/>
      <c r="COR18" s="53"/>
      <c r="COS18" s="53"/>
      <c r="COT18" s="53"/>
      <c r="COU18" s="53"/>
      <c r="COV18" s="53"/>
      <c r="COW18" s="53"/>
      <c r="COX18" s="53"/>
      <c r="COY18" s="53"/>
      <c r="COZ18" s="53"/>
      <c r="CPA18" s="53"/>
      <c r="CPB18" s="53"/>
      <c r="CPC18" s="53"/>
      <c r="CPD18" s="53"/>
      <c r="CPE18" s="53"/>
      <c r="CPF18" s="53"/>
      <c r="CPG18" s="53"/>
      <c r="CPH18" s="53"/>
      <c r="CPI18" s="53"/>
      <c r="CPJ18" s="53"/>
      <c r="CPK18" s="53"/>
      <c r="CPL18" s="53"/>
      <c r="CPM18" s="53"/>
      <c r="CPN18" s="53"/>
      <c r="CPO18" s="53"/>
      <c r="CPP18" s="53"/>
      <c r="CPQ18" s="53"/>
      <c r="CPR18" s="53"/>
      <c r="CPS18" s="53"/>
      <c r="CPT18" s="53"/>
      <c r="CPU18" s="53"/>
      <c r="CPV18" s="53"/>
      <c r="CPW18" s="53"/>
      <c r="CPX18" s="53"/>
      <c r="CPY18" s="53"/>
      <c r="CPZ18" s="53"/>
      <c r="CQA18" s="53"/>
      <c r="CQB18" s="53"/>
      <c r="CQC18" s="53"/>
      <c r="CQD18" s="53"/>
      <c r="CQE18" s="53"/>
      <c r="CQF18" s="53"/>
      <c r="CQG18" s="53"/>
      <c r="CQH18" s="53"/>
      <c r="CQI18" s="53"/>
      <c r="CQJ18" s="53"/>
      <c r="CQK18" s="53"/>
      <c r="CQL18" s="53"/>
      <c r="CQM18" s="53"/>
      <c r="CQN18" s="53"/>
      <c r="CQO18" s="53"/>
      <c r="CQP18" s="53"/>
      <c r="CQQ18" s="53"/>
      <c r="CQR18" s="53"/>
      <c r="CQS18" s="53"/>
      <c r="CQT18" s="53"/>
      <c r="CQU18" s="53"/>
      <c r="CQV18" s="53"/>
      <c r="CQW18" s="53"/>
      <c r="CQX18" s="53"/>
      <c r="CQY18" s="53"/>
      <c r="CQZ18" s="53"/>
      <c r="CRA18" s="53"/>
      <c r="CRB18" s="53"/>
      <c r="CRC18" s="53"/>
      <c r="CRD18" s="53"/>
      <c r="CRE18" s="53"/>
      <c r="CRF18" s="53"/>
      <c r="CRG18" s="53"/>
      <c r="CRH18" s="53"/>
      <c r="CRI18" s="53"/>
      <c r="CRJ18" s="53"/>
      <c r="CRK18" s="53"/>
      <c r="CRL18" s="53"/>
      <c r="CRM18" s="53"/>
      <c r="CRN18" s="53"/>
      <c r="CRO18" s="53"/>
      <c r="CRP18" s="53"/>
      <c r="CRQ18" s="53"/>
      <c r="CRR18" s="53"/>
      <c r="CRS18" s="53"/>
      <c r="CRT18" s="53"/>
      <c r="CRU18" s="53"/>
      <c r="CRV18" s="53"/>
      <c r="CRW18" s="53"/>
      <c r="CRX18" s="53"/>
      <c r="CRY18" s="53"/>
      <c r="CRZ18" s="53"/>
      <c r="CSA18" s="53"/>
      <c r="CSB18" s="53"/>
      <c r="CSC18" s="53"/>
      <c r="CSD18" s="53"/>
      <c r="CSE18" s="53"/>
      <c r="CSF18" s="53"/>
      <c r="CSG18" s="53"/>
      <c r="CSH18" s="53"/>
      <c r="CSI18" s="53"/>
      <c r="CSJ18" s="53"/>
      <c r="CSK18" s="53"/>
      <c r="CSL18" s="53"/>
      <c r="CSM18" s="53"/>
      <c r="CSN18" s="53"/>
      <c r="CSO18" s="53"/>
      <c r="CSP18" s="53"/>
      <c r="CSQ18" s="53"/>
      <c r="CSR18" s="53"/>
      <c r="CSS18" s="53"/>
      <c r="CST18" s="53"/>
      <c r="CSU18" s="53"/>
      <c r="CSV18" s="53"/>
      <c r="CSW18" s="53"/>
      <c r="CSX18" s="53"/>
      <c r="CSY18" s="53"/>
      <c r="CSZ18" s="53"/>
      <c r="CTA18" s="53"/>
      <c r="CTB18" s="53"/>
      <c r="CTC18" s="53"/>
      <c r="CTD18" s="53"/>
      <c r="CTE18" s="53"/>
      <c r="CTF18" s="53"/>
      <c r="CTG18" s="53"/>
      <c r="CTH18" s="53"/>
      <c r="CTI18" s="53"/>
      <c r="CTJ18" s="53"/>
      <c r="CTK18" s="53"/>
      <c r="CTL18" s="53"/>
      <c r="CTM18" s="53"/>
      <c r="CTN18" s="53"/>
      <c r="CTO18" s="53"/>
      <c r="CTP18" s="53"/>
      <c r="CTQ18" s="53"/>
      <c r="CTR18" s="53"/>
      <c r="CTS18" s="53"/>
      <c r="CTT18" s="53"/>
      <c r="CTU18" s="53"/>
      <c r="CTV18" s="53"/>
      <c r="CTW18" s="53"/>
      <c r="CTX18" s="53"/>
      <c r="CTY18" s="53"/>
      <c r="CTZ18" s="53"/>
      <c r="CUA18" s="53"/>
      <c r="CUB18" s="53"/>
      <c r="CUC18" s="53"/>
      <c r="CUD18" s="53"/>
      <c r="CUE18" s="53"/>
      <c r="CUF18" s="53"/>
      <c r="CUG18" s="53"/>
      <c r="CUH18" s="53"/>
      <c r="CUI18" s="53"/>
      <c r="CUJ18" s="53"/>
      <c r="CUK18" s="53"/>
      <c r="CUL18" s="53"/>
      <c r="CUM18" s="53"/>
      <c r="CUN18" s="53"/>
      <c r="CUO18" s="53"/>
      <c r="CUP18" s="53"/>
      <c r="CUQ18" s="53"/>
      <c r="CUR18" s="53"/>
      <c r="CUS18" s="53"/>
      <c r="CUT18" s="53"/>
      <c r="CUU18" s="53"/>
      <c r="CUV18" s="53"/>
      <c r="CUW18" s="53"/>
      <c r="CUX18" s="53"/>
      <c r="CUY18" s="53"/>
      <c r="CUZ18" s="53"/>
      <c r="CVA18" s="53"/>
      <c r="CVB18" s="53"/>
      <c r="CVC18" s="53"/>
      <c r="CVD18" s="53"/>
      <c r="CVE18" s="53"/>
      <c r="CVF18" s="53"/>
      <c r="CVG18" s="53"/>
      <c r="CVH18" s="53"/>
      <c r="CVI18" s="53"/>
      <c r="CVJ18" s="53"/>
      <c r="CVK18" s="53"/>
      <c r="CVL18" s="53"/>
      <c r="CVM18" s="53"/>
      <c r="CVN18" s="53"/>
      <c r="CVO18" s="53"/>
      <c r="CVP18" s="53"/>
      <c r="CVQ18" s="53"/>
      <c r="CVR18" s="53"/>
      <c r="CVS18" s="53"/>
      <c r="CVT18" s="53"/>
      <c r="CVU18" s="53"/>
      <c r="CVV18" s="53"/>
      <c r="CVW18" s="53"/>
      <c r="CVX18" s="53"/>
      <c r="CVY18" s="53"/>
      <c r="CVZ18" s="53"/>
      <c r="CWA18" s="53"/>
      <c r="CWB18" s="53"/>
      <c r="CWC18" s="53"/>
      <c r="CWD18" s="53"/>
      <c r="CWE18" s="53"/>
      <c r="CWF18" s="53"/>
      <c r="CWG18" s="53"/>
      <c r="CWH18" s="53"/>
      <c r="CWI18" s="53"/>
      <c r="CWJ18" s="53"/>
      <c r="CWK18" s="53"/>
      <c r="CWL18" s="53"/>
      <c r="CWM18" s="53"/>
      <c r="CWN18" s="53"/>
      <c r="CWO18" s="53"/>
      <c r="CWP18" s="53"/>
      <c r="CWQ18" s="53"/>
      <c r="CWR18" s="53"/>
      <c r="CWS18" s="53"/>
      <c r="CWT18" s="53"/>
      <c r="CWU18" s="53"/>
      <c r="CWV18" s="53"/>
      <c r="CWW18" s="53"/>
      <c r="CWX18" s="53"/>
      <c r="CWY18" s="53"/>
      <c r="CWZ18" s="53"/>
      <c r="CXA18" s="53"/>
      <c r="CXB18" s="53"/>
      <c r="CXC18" s="53"/>
      <c r="CXD18" s="53"/>
      <c r="CXE18" s="53"/>
      <c r="CXF18" s="53"/>
      <c r="CXG18" s="53"/>
      <c r="CXH18" s="53"/>
      <c r="CXI18" s="53"/>
      <c r="CXJ18" s="53"/>
      <c r="CXK18" s="53"/>
      <c r="CXL18" s="53"/>
      <c r="CXM18" s="53"/>
      <c r="CXN18" s="53"/>
      <c r="CXO18" s="53"/>
      <c r="CXP18" s="53"/>
      <c r="CXQ18" s="53"/>
      <c r="CXR18" s="53"/>
      <c r="CXS18" s="53"/>
      <c r="CXT18" s="53"/>
      <c r="CXU18" s="53"/>
      <c r="CXV18" s="53"/>
      <c r="CXW18" s="53"/>
      <c r="CXX18" s="53"/>
      <c r="CXY18" s="53"/>
      <c r="CXZ18" s="53"/>
      <c r="CYA18" s="53"/>
      <c r="CYB18" s="53"/>
      <c r="CYC18" s="53"/>
      <c r="CYD18" s="53"/>
      <c r="CYE18" s="53"/>
      <c r="CYF18" s="53"/>
      <c r="CYG18" s="53"/>
      <c r="CYH18" s="53"/>
      <c r="CYI18" s="53"/>
      <c r="CYJ18" s="53"/>
      <c r="CYK18" s="53"/>
      <c r="CYL18" s="53"/>
      <c r="CYM18" s="53"/>
      <c r="CYN18" s="53"/>
      <c r="CYO18" s="53"/>
      <c r="CYP18" s="53"/>
      <c r="CYQ18" s="53"/>
      <c r="CYR18" s="53"/>
      <c r="CYS18" s="53"/>
      <c r="CYT18" s="53"/>
      <c r="CYU18" s="53"/>
      <c r="CYV18" s="53"/>
      <c r="CYW18" s="53"/>
      <c r="CYX18" s="53"/>
      <c r="CYY18" s="53"/>
      <c r="CYZ18" s="53"/>
      <c r="CZA18" s="53"/>
      <c r="CZB18" s="53"/>
      <c r="CZC18" s="53"/>
      <c r="CZD18" s="53"/>
      <c r="CZE18" s="53"/>
      <c r="CZF18" s="53"/>
      <c r="CZG18" s="53"/>
      <c r="CZH18" s="53"/>
      <c r="CZI18" s="53"/>
      <c r="CZJ18" s="53"/>
      <c r="CZK18" s="53"/>
      <c r="CZL18" s="53"/>
      <c r="CZM18" s="53"/>
      <c r="CZN18" s="53"/>
      <c r="CZO18" s="53"/>
      <c r="CZP18" s="53"/>
      <c r="CZQ18" s="53"/>
      <c r="CZR18" s="53"/>
      <c r="CZS18" s="53"/>
      <c r="CZT18" s="53"/>
      <c r="CZU18" s="53"/>
      <c r="CZV18" s="53"/>
      <c r="CZW18" s="53"/>
      <c r="CZX18" s="53"/>
      <c r="CZY18" s="53"/>
      <c r="CZZ18" s="53"/>
      <c r="DAA18" s="53"/>
      <c r="DAB18" s="53"/>
      <c r="DAC18" s="53"/>
      <c r="DAD18" s="53"/>
      <c r="DAE18" s="53"/>
      <c r="DAF18" s="53"/>
      <c r="DAG18" s="53"/>
      <c r="DAH18" s="53"/>
      <c r="DAI18" s="53"/>
      <c r="DAJ18" s="53"/>
      <c r="DAK18" s="53"/>
      <c r="DAL18" s="53"/>
      <c r="DAM18" s="53"/>
      <c r="DAN18" s="53"/>
      <c r="DAO18" s="53"/>
      <c r="DAP18" s="53"/>
      <c r="DAQ18" s="53"/>
      <c r="DAR18" s="53"/>
      <c r="DAS18" s="53"/>
      <c r="DAT18" s="53"/>
      <c r="DAU18" s="53"/>
      <c r="DAV18" s="53"/>
      <c r="DAW18" s="53"/>
      <c r="DAX18" s="53"/>
      <c r="DAY18" s="53"/>
      <c r="DAZ18" s="53"/>
      <c r="DBA18" s="53"/>
      <c r="DBB18" s="53"/>
      <c r="DBC18" s="53"/>
      <c r="DBD18" s="53"/>
      <c r="DBE18" s="53"/>
      <c r="DBF18" s="53"/>
      <c r="DBG18" s="53"/>
      <c r="DBH18" s="53"/>
      <c r="DBI18" s="53"/>
      <c r="DBJ18" s="53"/>
      <c r="DBK18" s="53"/>
      <c r="DBL18" s="53"/>
      <c r="DBM18" s="53"/>
      <c r="DBN18" s="53"/>
      <c r="DBO18" s="53"/>
      <c r="DBP18" s="53"/>
      <c r="DBQ18" s="53"/>
      <c r="DBR18" s="53"/>
      <c r="DBS18" s="53"/>
      <c r="DBT18" s="53"/>
      <c r="DBU18" s="53"/>
      <c r="DBV18" s="53"/>
      <c r="DBW18" s="53"/>
      <c r="DBX18" s="53"/>
      <c r="DBY18" s="53"/>
      <c r="DBZ18" s="53"/>
      <c r="DCA18" s="53"/>
      <c r="DCB18" s="53"/>
      <c r="DCC18" s="53"/>
      <c r="DCD18" s="53"/>
      <c r="DCE18" s="53"/>
      <c r="DCF18" s="53"/>
      <c r="DCG18" s="53"/>
      <c r="DCH18" s="53"/>
      <c r="DCI18" s="53"/>
      <c r="DCJ18" s="53"/>
      <c r="DCK18" s="53"/>
      <c r="DCL18" s="53"/>
      <c r="DCM18" s="53"/>
      <c r="DCN18" s="53"/>
      <c r="DCO18" s="53"/>
      <c r="DCP18" s="53"/>
      <c r="DCQ18" s="53"/>
      <c r="DCR18" s="53"/>
      <c r="DCS18" s="53"/>
      <c r="DCT18" s="53"/>
      <c r="DCU18" s="53"/>
      <c r="DCV18" s="53"/>
      <c r="DCW18" s="53"/>
      <c r="DCX18" s="53"/>
      <c r="DCY18" s="53"/>
      <c r="DCZ18" s="53"/>
      <c r="DDA18" s="53"/>
      <c r="DDB18" s="53"/>
      <c r="DDC18" s="53"/>
      <c r="DDD18" s="53"/>
      <c r="DDE18" s="53"/>
      <c r="DDF18" s="53"/>
      <c r="DDG18" s="53"/>
      <c r="DDH18" s="53"/>
      <c r="DDI18" s="53"/>
      <c r="DDJ18" s="53"/>
      <c r="DDK18" s="53"/>
      <c r="DDL18" s="53"/>
      <c r="DDM18" s="53"/>
      <c r="DDN18" s="53"/>
      <c r="DDO18" s="53"/>
      <c r="DDP18" s="53"/>
      <c r="DDQ18" s="53"/>
      <c r="DDR18" s="53"/>
      <c r="DDS18" s="53"/>
      <c r="DDT18" s="53"/>
      <c r="DDU18" s="53"/>
      <c r="DDV18" s="53"/>
      <c r="DDW18" s="53"/>
      <c r="DDX18" s="53"/>
      <c r="DDY18" s="53"/>
      <c r="DDZ18" s="53"/>
      <c r="DEA18" s="53"/>
      <c r="DEB18" s="53"/>
      <c r="DEC18" s="53"/>
      <c r="DED18" s="53"/>
      <c r="DEE18" s="53"/>
      <c r="DEF18" s="53"/>
      <c r="DEG18" s="53"/>
      <c r="DEH18" s="53"/>
      <c r="DEI18" s="53"/>
      <c r="DEJ18" s="53"/>
      <c r="DEK18" s="53"/>
      <c r="DEL18" s="53"/>
      <c r="DEM18" s="53"/>
      <c r="DEN18" s="53"/>
      <c r="DEO18" s="53"/>
      <c r="DEP18" s="53"/>
      <c r="DEQ18" s="53"/>
      <c r="DER18" s="53"/>
      <c r="DES18" s="53"/>
      <c r="DET18" s="53"/>
      <c r="DEU18" s="53"/>
      <c r="DEV18" s="53"/>
      <c r="DEW18" s="53"/>
      <c r="DEX18" s="53"/>
      <c r="DEY18" s="53"/>
      <c r="DEZ18" s="53"/>
      <c r="DFA18" s="53"/>
      <c r="DFB18" s="53"/>
      <c r="DFC18" s="53"/>
      <c r="DFD18" s="53"/>
      <c r="DFE18" s="53"/>
      <c r="DFF18" s="53"/>
      <c r="DFG18" s="53"/>
      <c r="DFH18" s="53"/>
      <c r="DFI18" s="53"/>
      <c r="DFJ18" s="53"/>
      <c r="DFK18" s="53"/>
      <c r="DFL18" s="53"/>
      <c r="DFM18" s="53"/>
      <c r="DFN18" s="53"/>
      <c r="DFO18" s="53"/>
      <c r="DFP18" s="53"/>
      <c r="DFQ18" s="53"/>
      <c r="DFR18" s="53"/>
      <c r="DFS18" s="53"/>
      <c r="DFT18" s="53"/>
      <c r="DFU18" s="53"/>
      <c r="DFV18" s="53"/>
      <c r="DFW18" s="53"/>
      <c r="DFX18" s="53"/>
      <c r="DFY18" s="53"/>
      <c r="DFZ18" s="53"/>
      <c r="DGA18" s="53"/>
      <c r="DGB18" s="53"/>
      <c r="DGC18" s="53"/>
      <c r="DGD18" s="53"/>
      <c r="DGE18" s="53"/>
      <c r="DGF18" s="53"/>
      <c r="DGG18" s="53"/>
      <c r="DGH18" s="53"/>
      <c r="DGI18" s="53"/>
      <c r="DGJ18" s="53"/>
      <c r="DGK18" s="53"/>
      <c r="DGL18" s="53"/>
      <c r="DGM18" s="53"/>
      <c r="DGN18" s="53"/>
      <c r="DGO18" s="53"/>
      <c r="DGP18" s="53"/>
      <c r="DGQ18" s="53"/>
      <c r="DGR18" s="53"/>
      <c r="DGS18" s="53"/>
      <c r="DGT18" s="53"/>
      <c r="DGU18" s="53"/>
      <c r="DGV18" s="53"/>
      <c r="DGW18" s="53"/>
      <c r="DGX18" s="53"/>
      <c r="DGY18" s="53"/>
      <c r="DGZ18" s="53"/>
      <c r="DHA18" s="53"/>
      <c r="DHB18" s="53"/>
      <c r="DHC18" s="53"/>
      <c r="DHD18" s="53"/>
      <c r="DHE18" s="53"/>
      <c r="DHF18" s="53"/>
      <c r="DHG18" s="53"/>
      <c r="DHH18" s="53"/>
      <c r="DHI18" s="53"/>
      <c r="DHJ18" s="53"/>
      <c r="DHK18" s="53"/>
      <c r="DHL18" s="53"/>
      <c r="DHM18" s="53"/>
      <c r="DHN18" s="53"/>
      <c r="DHO18" s="53"/>
      <c r="DHP18" s="53"/>
      <c r="DHQ18" s="53"/>
      <c r="DHR18" s="53"/>
      <c r="DHS18" s="53"/>
      <c r="DHT18" s="53"/>
      <c r="DHU18" s="53"/>
      <c r="DHV18" s="53"/>
      <c r="DHW18" s="53"/>
      <c r="DHX18" s="53"/>
      <c r="DHY18" s="53"/>
      <c r="DHZ18" s="53"/>
      <c r="DIA18" s="53"/>
      <c r="DIB18" s="53"/>
      <c r="DIC18" s="53"/>
      <c r="DID18" s="53"/>
      <c r="DIE18" s="53"/>
      <c r="DIF18" s="53"/>
      <c r="DIG18" s="53"/>
      <c r="DIH18" s="53"/>
      <c r="DII18" s="53"/>
      <c r="DIJ18" s="53"/>
      <c r="DIK18" s="53"/>
      <c r="DIL18" s="53"/>
      <c r="DIM18" s="53"/>
      <c r="DIN18" s="53"/>
      <c r="DIO18" s="53"/>
      <c r="DIP18" s="53"/>
      <c r="DIQ18" s="53"/>
      <c r="DIR18" s="53"/>
      <c r="DIS18" s="53"/>
      <c r="DIT18" s="53"/>
      <c r="DIU18" s="53"/>
      <c r="DIV18" s="53"/>
      <c r="DIW18" s="53"/>
      <c r="DIX18" s="53"/>
      <c r="DIY18" s="53"/>
      <c r="DIZ18" s="53"/>
      <c r="DJA18" s="53"/>
      <c r="DJB18" s="53"/>
      <c r="DJC18" s="53"/>
      <c r="DJD18" s="53"/>
      <c r="DJE18" s="53"/>
      <c r="DJF18" s="53"/>
      <c r="DJG18" s="53"/>
      <c r="DJH18" s="53"/>
      <c r="DJI18" s="53"/>
      <c r="DJJ18" s="53"/>
      <c r="DJK18" s="53"/>
      <c r="DJL18" s="53"/>
      <c r="DJM18" s="53"/>
      <c r="DJN18" s="53"/>
      <c r="DJO18" s="53"/>
      <c r="DJP18" s="53"/>
      <c r="DJQ18" s="53"/>
      <c r="DJR18" s="53"/>
      <c r="DJS18" s="53"/>
      <c r="DJT18" s="53"/>
      <c r="DJU18" s="53"/>
      <c r="DJV18" s="53"/>
      <c r="DJW18" s="53"/>
      <c r="DJX18" s="53"/>
      <c r="DJY18" s="53"/>
      <c r="DJZ18" s="53"/>
      <c r="DKA18" s="53"/>
      <c r="DKB18" s="53"/>
      <c r="DKC18" s="53"/>
      <c r="DKD18" s="53"/>
      <c r="DKE18" s="53"/>
      <c r="DKF18" s="53"/>
      <c r="DKG18" s="53"/>
      <c r="DKH18" s="53"/>
      <c r="DKI18" s="53"/>
      <c r="DKJ18" s="53"/>
      <c r="DKK18" s="53"/>
      <c r="DKL18" s="53"/>
      <c r="DKM18" s="53"/>
      <c r="DKN18" s="53"/>
      <c r="DKO18" s="53"/>
      <c r="DKP18" s="53"/>
      <c r="DKQ18" s="53"/>
      <c r="DKR18" s="53"/>
      <c r="DKS18" s="53"/>
      <c r="DKT18" s="53"/>
      <c r="DKU18" s="53"/>
      <c r="DKV18" s="53"/>
      <c r="DKW18" s="53"/>
      <c r="DKX18" s="53"/>
      <c r="DKY18" s="53"/>
      <c r="DKZ18" s="53"/>
      <c r="DLA18" s="53"/>
      <c r="DLB18" s="53"/>
      <c r="DLC18" s="53"/>
      <c r="DLD18" s="53"/>
      <c r="DLE18" s="53"/>
      <c r="DLF18" s="53"/>
      <c r="DLG18" s="53"/>
      <c r="DLH18" s="53"/>
      <c r="DLI18" s="53"/>
      <c r="DLJ18" s="53"/>
      <c r="DLK18" s="53"/>
      <c r="DLL18" s="53"/>
      <c r="DLM18" s="53"/>
      <c r="DLN18" s="53"/>
      <c r="DLO18" s="53"/>
      <c r="DLP18" s="53"/>
      <c r="DLQ18" s="53"/>
      <c r="DLR18" s="53"/>
      <c r="DLS18" s="53"/>
      <c r="DLT18" s="53"/>
      <c r="DLU18" s="53"/>
      <c r="DLV18" s="53"/>
      <c r="DLW18" s="53"/>
      <c r="DLX18" s="53"/>
      <c r="DLY18" s="53"/>
      <c r="DLZ18" s="53"/>
      <c r="DMA18" s="53"/>
      <c r="DMB18" s="53"/>
      <c r="DMC18" s="53"/>
      <c r="DMD18" s="53"/>
      <c r="DME18" s="53"/>
      <c r="DMF18" s="53"/>
      <c r="DMG18" s="53"/>
      <c r="DMH18" s="53"/>
      <c r="DMI18" s="53"/>
      <c r="DMJ18" s="53"/>
      <c r="DMK18" s="53"/>
      <c r="DML18" s="53"/>
      <c r="DMM18" s="53"/>
      <c r="DMN18" s="53"/>
      <c r="DMO18" s="53"/>
      <c r="DMP18" s="53"/>
      <c r="DMQ18" s="53"/>
      <c r="DMR18" s="53"/>
      <c r="DMS18" s="53"/>
      <c r="DMT18" s="53"/>
      <c r="DMU18" s="53"/>
      <c r="DMV18" s="53"/>
      <c r="DMW18" s="53"/>
      <c r="DMX18" s="53"/>
      <c r="DMY18" s="53"/>
      <c r="DMZ18" s="53"/>
      <c r="DNA18" s="53"/>
      <c r="DNB18" s="53"/>
      <c r="DNC18" s="53"/>
      <c r="DND18" s="53"/>
      <c r="DNE18" s="53"/>
      <c r="DNF18" s="53"/>
      <c r="DNG18" s="53"/>
      <c r="DNH18" s="53"/>
      <c r="DNI18" s="53"/>
      <c r="DNJ18" s="53"/>
      <c r="DNK18" s="53"/>
      <c r="DNL18" s="53"/>
      <c r="DNM18" s="53"/>
      <c r="DNN18" s="53"/>
      <c r="DNO18" s="53"/>
      <c r="DNP18" s="53"/>
      <c r="DNQ18" s="53"/>
      <c r="DNR18" s="53"/>
      <c r="DNS18" s="53"/>
      <c r="DNT18" s="53"/>
      <c r="DNU18" s="53"/>
      <c r="DNV18" s="53"/>
      <c r="DNW18" s="53"/>
      <c r="DNX18" s="53"/>
      <c r="DNY18" s="53"/>
      <c r="DNZ18" s="53"/>
      <c r="DOA18" s="53"/>
      <c r="DOB18" s="53"/>
      <c r="DOC18" s="53"/>
      <c r="DOD18" s="53"/>
      <c r="DOE18" s="53"/>
      <c r="DOF18" s="53"/>
      <c r="DOG18" s="53"/>
      <c r="DOH18" s="53"/>
      <c r="DOI18" s="53"/>
      <c r="DOJ18" s="53"/>
      <c r="DOK18" s="53"/>
      <c r="DOL18" s="53"/>
      <c r="DOM18" s="53"/>
      <c r="DON18" s="53"/>
      <c r="DOO18" s="53"/>
      <c r="DOP18" s="53"/>
      <c r="DOQ18" s="53"/>
      <c r="DOR18" s="53"/>
      <c r="DOS18" s="53"/>
      <c r="DOT18" s="53"/>
      <c r="DOU18" s="53"/>
      <c r="DOV18" s="53"/>
      <c r="DOW18" s="53"/>
      <c r="DOX18" s="53"/>
      <c r="DOY18" s="53"/>
      <c r="DOZ18" s="53"/>
      <c r="DPA18" s="53"/>
      <c r="DPB18" s="53"/>
      <c r="DPC18" s="53"/>
      <c r="DPD18" s="53"/>
      <c r="DPE18" s="53"/>
      <c r="DPF18" s="53"/>
      <c r="DPG18" s="53"/>
      <c r="DPH18" s="53"/>
      <c r="DPI18" s="53"/>
      <c r="DPJ18" s="53"/>
      <c r="DPK18" s="53"/>
      <c r="DPL18" s="53"/>
      <c r="DPM18" s="53"/>
      <c r="DPN18" s="53"/>
      <c r="DPO18" s="53"/>
      <c r="DPP18" s="53"/>
      <c r="DPQ18" s="53"/>
      <c r="DPR18" s="53"/>
      <c r="DPS18" s="53"/>
      <c r="DPT18" s="53"/>
      <c r="DPU18" s="53"/>
      <c r="DPV18" s="53"/>
      <c r="DPW18" s="53"/>
      <c r="DPX18" s="53"/>
      <c r="DPY18" s="53"/>
      <c r="DPZ18" s="53"/>
      <c r="DQA18" s="53"/>
      <c r="DQB18" s="53"/>
      <c r="DQC18" s="53"/>
      <c r="DQD18" s="53"/>
      <c r="DQE18" s="53"/>
      <c r="DQF18" s="53"/>
      <c r="DQG18" s="53"/>
      <c r="DQH18" s="53"/>
      <c r="DQI18" s="53"/>
      <c r="DQJ18" s="53"/>
      <c r="DQK18" s="53"/>
      <c r="DQL18" s="53"/>
      <c r="DQM18" s="53"/>
      <c r="DQN18" s="53"/>
      <c r="DQO18" s="53"/>
      <c r="DQP18" s="53"/>
      <c r="DQQ18" s="53"/>
      <c r="DQR18" s="53"/>
      <c r="DQS18" s="53"/>
      <c r="DQT18" s="53"/>
      <c r="DQU18" s="53"/>
      <c r="DQV18" s="53"/>
      <c r="DQW18" s="53"/>
      <c r="DQX18" s="53"/>
      <c r="DQY18" s="53"/>
      <c r="DQZ18" s="53"/>
      <c r="DRA18" s="53"/>
      <c r="DRB18" s="53"/>
      <c r="DRC18" s="53"/>
      <c r="DRD18" s="53"/>
      <c r="DRE18" s="53"/>
      <c r="DRF18" s="53"/>
      <c r="DRG18" s="53"/>
      <c r="DRH18" s="53"/>
      <c r="DRI18" s="53"/>
      <c r="DRJ18" s="53"/>
      <c r="DRK18" s="53"/>
      <c r="DRL18" s="53"/>
      <c r="DRM18" s="53"/>
      <c r="DRN18" s="53"/>
      <c r="DRO18" s="53"/>
      <c r="DRP18" s="53"/>
      <c r="DRQ18" s="53"/>
      <c r="DRR18" s="53"/>
      <c r="DRS18" s="53"/>
      <c r="DRT18" s="53"/>
      <c r="DRU18" s="53"/>
      <c r="DRV18" s="53"/>
      <c r="DRW18" s="53"/>
      <c r="DRX18" s="53"/>
      <c r="DRY18" s="53"/>
      <c r="DRZ18" s="53"/>
      <c r="DSA18" s="53"/>
      <c r="DSB18" s="53"/>
      <c r="DSC18" s="53"/>
      <c r="DSD18" s="53"/>
      <c r="DSE18" s="53"/>
      <c r="DSF18" s="53"/>
      <c r="DSG18" s="53"/>
      <c r="DSH18" s="53"/>
      <c r="DSI18" s="53"/>
      <c r="DSJ18" s="53"/>
      <c r="DSK18" s="53"/>
      <c r="DSL18" s="53"/>
      <c r="DSM18" s="53"/>
      <c r="DSN18" s="53"/>
      <c r="DSO18" s="53"/>
      <c r="DSP18" s="53"/>
      <c r="DSQ18" s="53"/>
      <c r="DSR18" s="53"/>
      <c r="DSS18" s="53"/>
      <c r="DST18" s="53"/>
      <c r="DSU18" s="53"/>
      <c r="DSV18" s="53"/>
      <c r="DSW18" s="53"/>
      <c r="DSX18" s="53"/>
      <c r="DSY18" s="53"/>
    </row>
    <row r="19" spans="1:3223" s="69" customFormat="1" ht="63" customHeight="1" x14ac:dyDescent="0.2">
      <c r="A19" s="176"/>
      <c r="B19" s="122" t="s">
        <v>114</v>
      </c>
      <c r="C19" s="122" t="s">
        <v>120</v>
      </c>
      <c r="D19" s="145" t="s">
        <v>97</v>
      </c>
      <c r="E19" s="145" t="s">
        <v>159</v>
      </c>
      <c r="F19" s="177">
        <v>15</v>
      </c>
      <c r="G19" s="141">
        <v>178.81533333333334</v>
      </c>
      <c r="H19" s="178">
        <v>2784</v>
      </c>
      <c r="I19" s="179">
        <v>0</v>
      </c>
      <c r="J19" s="178">
        <f>SUM(H19:I19)</f>
        <v>2784</v>
      </c>
      <c r="K19" s="128">
        <f>IF(H19/15&lt;=SMG,0,I19/2)</f>
        <v>0</v>
      </c>
      <c r="L19" s="128">
        <f t="shared" ref="L19:L20" si="25">H19+K19</f>
        <v>2784</v>
      </c>
      <c r="M19" s="128">
        <f>VLOOKUP(L19,Tarifa1,1)</f>
        <v>2699.41</v>
      </c>
      <c r="N19" s="128">
        <f t="shared" ref="N19:N20" si="26">L19-M19</f>
        <v>84.590000000000146</v>
      </c>
      <c r="O19" s="129">
        <f>VLOOKUP(L19,Tarifa1,3)</f>
        <v>0.10879999999999999</v>
      </c>
      <c r="P19" s="128">
        <f t="shared" ref="P19:P20" si="27">N19*O19</f>
        <v>9.2033920000000151</v>
      </c>
      <c r="Q19" s="130">
        <f>VLOOKUP(L19,Tarifa1,2)</f>
        <v>158.55000000000001</v>
      </c>
      <c r="R19" s="128">
        <f t="shared" ref="R19:R20" si="28">P19+Q19</f>
        <v>167.75339200000002</v>
      </c>
      <c r="S19" s="128">
        <f>VLOOKUP(L19,Credito1,2)</f>
        <v>145.35</v>
      </c>
      <c r="T19" s="128">
        <f t="shared" ref="T19:T20" si="29">ROUND(R19-S19,2)</f>
        <v>22.4</v>
      </c>
      <c r="U19" s="178">
        <f>-IF(T19&gt;0,0,T19)</f>
        <v>0</v>
      </c>
      <c r="V19" s="178">
        <f>IF(T19&lt;0,0,T19)</f>
        <v>22.4</v>
      </c>
      <c r="W19" s="180">
        <v>0</v>
      </c>
      <c r="X19" s="178">
        <f>SUM(V19:W19)</f>
        <v>22.4</v>
      </c>
      <c r="Y19" s="178">
        <f>J19+U19-X19</f>
        <v>2761.6</v>
      </c>
      <c r="Z19" s="68"/>
      <c r="AA19" s="92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ALD19" s="53"/>
      <c r="ALE19" s="53"/>
      <c r="ALF19" s="53"/>
      <c r="ALG19" s="53"/>
      <c r="ALH19" s="53"/>
      <c r="ALI19" s="53"/>
      <c r="ALJ19" s="53"/>
      <c r="ALK19" s="53"/>
      <c r="ALL19" s="53"/>
      <c r="ALM19" s="53"/>
      <c r="ALN19" s="53"/>
      <c r="ALO19" s="53"/>
      <c r="ALP19" s="53"/>
      <c r="ALQ19" s="53"/>
      <c r="ALR19" s="53"/>
      <c r="ALS19" s="53"/>
      <c r="ALT19" s="53"/>
      <c r="ALU19" s="53"/>
      <c r="ALV19" s="53"/>
      <c r="ALW19" s="53"/>
      <c r="ALX19" s="53"/>
      <c r="ALY19" s="53"/>
      <c r="ALZ19" s="53"/>
      <c r="AMA19" s="53"/>
      <c r="AMB19" s="53"/>
      <c r="AMC19" s="53"/>
      <c r="AMD19" s="53"/>
      <c r="AME19" s="53"/>
      <c r="AMF19" s="53"/>
      <c r="AMG19" s="53"/>
      <c r="AMH19" s="53"/>
      <c r="AMI19" s="53"/>
      <c r="AMJ19" s="53"/>
      <c r="AMK19" s="53"/>
      <c r="AML19" s="53"/>
      <c r="AMM19" s="53"/>
      <c r="AMN19" s="53"/>
      <c r="AMO19" s="53"/>
      <c r="AMP19" s="53"/>
      <c r="AMQ19" s="53"/>
      <c r="AMR19" s="53"/>
      <c r="AMS19" s="53"/>
      <c r="AMT19" s="53"/>
      <c r="AMU19" s="53"/>
      <c r="AMV19" s="53"/>
      <c r="AMW19" s="53"/>
      <c r="AMX19" s="53"/>
      <c r="AMY19" s="53"/>
      <c r="AMZ19" s="53"/>
      <c r="ANA19" s="53"/>
      <c r="ANB19" s="53"/>
      <c r="ANC19" s="53"/>
      <c r="AND19" s="53"/>
      <c r="ANE19" s="53"/>
      <c r="ANF19" s="53"/>
      <c r="ANG19" s="53"/>
      <c r="ANH19" s="53"/>
      <c r="ANI19" s="53"/>
      <c r="ANJ19" s="53"/>
      <c r="ANK19" s="53"/>
      <c r="ANL19" s="53"/>
      <c r="ANM19" s="53"/>
      <c r="ANN19" s="53"/>
      <c r="ANO19" s="53"/>
      <c r="ANP19" s="53"/>
      <c r="ANQ19" s="53"/>
      <c r="ANR19" s="53"/>
      <c r="ANS19" s="53"/>
      <c r="ANT19" s="53"/>
      <c r="ANU19" s="53"/>
      <c r="ANV19" s="53"/>
      <c r="ANW19" s="53"/>
      <c r="ANX19" s="53"/>
      <c r="ANY19" s="53"/>
      <c r="ANZ19" s="53"/>
      <c r="AOA19" s="53"/>
      <c r="AOB19" s="53"/>
      <c r="AOC19" s="53"/>
      <c r="AOD19" s="53"/>
      <c r="AOE19" s="53"/>
      <c r="AOF19" s="53"/>
      <c r="AOG19" s="53"/>
      <c r="AOH19" s="53"/>
      <c r="AOI19" s="53"/>
      <c r="AOJ19" s="53"/>
      <c r="AOK19" s="53"/>
      <c r="AOL19" s="53"/>
      <c r="AOM19" s="53"/>
      <c r="AON19" s="53"/>
      <c r="AOO19" s="53"/>
      <c r="AOP19" s="53"/>
      <c r="AOQ19" s="53"/>
      <c r="AOR19" s="53"/>
      <c r="AOS19" s="53"/>
      <c r="AOT19" s="53"/>
      <c r="AOU19" s="53"/>
      <c r="AOV19" s="53"/>
      <c r="AOW19" s="53"/>
      <c r="AOX19" s="53"/>
      <c r="AOY19" s="53"/>
      <c r="AOZ19" s="53"/>
      <c r="APA19" s="53"/>
      <c r="APB19" s="53"/>
      <c r="APC19" s="53"/>
      <c r="APD19" s="53"/>
      <c r="APE19" s="53"/>
      <c r="APF19" s="53"/>
      <c r="APG19" s="53"/>
      <c r="APH19" s="53"/>
      <c r="API19" s="53"/>
      <c r="APJ19" s="53"/>
      <c r="APK19" s="53"/>
      <c r="APL19" s="53"/>
      <c r="APM19" s="53"/>
      <c r="APN19" s="53"/>
      <c r="APO19" s="53"/>
      <c r="APP19" s="53"/>
      <c r="APQ19" s="53"/>
      <c r="APR19" s="53"/>
      <c r="APS19" s="53"/>
      <c r="APT19" s="53"/>
      <c r="APU19" s="53"/>
      <c r="APV19" s="53"/>
      <c r="APW19" s="53"/>
      <c r="APX19" s="53"/>
      <c r="APY19" s="53"/>
      <c r="APZ19" s="53"/>
      <c r="AQA19" s="53"/>
      <c r="AQB19" s="53"/>
      <c r="AQC19" s="53"/>
      <c r="AQD19" s="53"/>
      <c r="AQE19" s="53"/>
      <c r="AQF19" s="53"/>
      <c r="AQG19" s="53"/>
      <c r="AQH19" s="53"/>
      <c r="AQI19" s="53"/>
      <c r="AQJ19" s="53"/>
      <c r="AQK19" s="53"/>
      <c r="AQL19" s="53"/>
      <c r="AQM19" s="53"/>
      <c r="AQN19" s="53"/>
      <c r="AQO19" s="53"/>
      <c r="AQP19" s="53"/>
      <c r="AQQ19" s="53"/>
      <c r="AQR19" s="53"/>
      <c r="AQS19" s="53"/>
      <c r="AQT19" s="53"/>
      <c r="AQU19" s="53"/>
      <c r="AQV19" s="53"/>
      <c r="AQW19" s="53"/>
      <c r="AQX19" s="53"/>
      <c r="AQY19" s="53"/>
      <c r="AQZ19" s="53"/>
      <c r="ARA19" s="53"/>
      <c r="ARB19" s="53"/>
      <c r="ARC19" s="53"/>
      <c r="ARD19" s="53"/>
      <c r="ARE19" s="53"/>
      <c r="ARF19" s="53"/>
      <c r="ARG19" s="53"/>
      <c r="ARH19" s="53"/>
      <c r="ARI19" s="53"/>
      <c r="ARJ19" s="53"/>
      <c r="ARK19" s="53"/>
      <c r="ARL19" s="53"/>
      <c r="ARM19" s="53"/>
      <c r="ARN19" s="53"/>
      <c r="ARO19" s="53"/>
      <c r="ARP19" s="53"/>
      <c r="ARQ19" s="53"/>
      <c r="ARR19" s="53"/>
      <c r="ARS19" s="53"/>
      <c r="ART19" s="53"/>
      <c r="ARU19" s="53"/>
      <c r="ARV19" s="53"/>
      <c r="ARW19" s="53"/>
      <c r="ARX19" s="53"/>
      <c r="ARY19" s="53"/>
      <c r="ARZ19" s="53"/>
      <c r="ASA19" s="53"/>
      <c r="ASB19" s="53"/>
      <c r="ASC19" s="53"/>
      <c r="ASD19" s="53"/>
      <c r="ASE19" s="53"/>
      <c r="ASF19" s="53"/>
      <c r="ASG19" s="53"/>
      <c r="ASH19" s="53"/>
      <c r="ASI19" s="53"/>
      <c r="ASJ19" s="53"/>
      <c r="ASK19" s="53"/>
      <c r="ASL19" s="53"/>
      <c r="ASM19" s="53"/>
      <c r="ASN19" s="53"/>
      <c r="ASO19" s="53"/>
      <c r="ASP19" s="53"/>
      <c r="ASQ19" s="53"/>
      <c r="ASR19" s="53"/>
      <c r="ASS19" s="53"/>
      <c r="AST19" s="53"/>
      <c r="ASU19" s="53"/>
      <c r="ASV19" s="53"/>
      <c r="ASW19" s="53"/>
      <c r="ASX19" s="53"/>
      <c r="ASY19" s="53"/>
      <c r="ASZ19" s="53"/>
      <c r="ATA19" s="53"/>
      <c r="ATB19" s="53"/>
      <c r="ATC19" s="53"/>
      <c r="ATD19" s="53"/>
      <c r="ATE19" s="53"/>
      <c r="ATF19" s="53"/>
      <c r="ATG19" s="53"/>
      <c r="ATH19" s="53"/>
      <c r="ATI19" s="53"/>
      <c r="ATJ19" s="53"/>
      <c r="ATK19" s="53"/>
      <c r="ATL19" s="53"/>
      <c r="ATM19" s="53"/>
      <c r="ATN19" s="53"/>
      <c r="ATO19" s="53"/>
      <c r="ATP19" s="53"/>
      <c r="ATQ19" s="53"/>
      <c r="ATR19" s="53"/>
      <c r="ATS19" s="53"/>
      <c r="ATT19" s="53"/>
      <c r="ATU19" s="53"/>
      <c r="ATV19" s="53"/>
      <c r="ATW19" s="53"/>
      <c r="ATX19" s="53"/>
      <c r="ATY19" s="53"/>
      <c r="ATZ19" s="53"/>
      <c r="AUA19" s="53"/>
      <c r="AUB19" s="53"/>
      <c r="AUC19" s="53"/>
      <c r="AUD19" s="53"/>
      <c r="AUE19" s="53"/>
      <c r="AUF19" s="53"/>
      <c r="AUG19" s="53"/>
      <c r="AUH19" s="53"/>
      <c r="AUI19" s="53"/>
      <c r="AUJ19" s="53"/>
      <c r="AUK19" s="53"/>
      <c r="AUL19" s="53"/>
      <c r="AUM19" s="53"/>
      <c r="AUN19" s="53"/>
      <c r="AUO19" s="53"/>
      <c r="AUP19" s="53"/>
      <c r="AUQ19" s="53"/>
      <c r="AUR19" s="53"/>
      <c r="AUS19" s="53"/>
      <c r="AUT19" s="53"/>
      <c r="AUU19" s="53"/>
      <c r="AUV19" s="53"/>
      <c r="AUW19" s="53"/>
      <c r="AUX19" s="53"/>
      <c r="AUY19" s="53"/>
      <c r="AUZ19" s="53"/>
      <c r="AVA19" s="53"/>
      <c r="AVB19" s="53"/>
      <c r="AVC19" s="53"/>
      <c r="AVD19" s="53"/>
      <c r="AVE19" s="53"/>
      <c r="AVF19" s="53"/>
      <c r="AVG19" s="53"/>
      <c r="AVH19" s="53"/>
      <c r="AVI19" s="53"/>
      <c r="AVJ19" s="53"/>
      <c r="AVK19" s="53"/>
      <c r="AVL19" s="53"/>
      <c r="AVM19" s="53"/>
      <c r="AVN19" s="53"/>
      <c r="AVO19" s="53"/>
      <c r="AVP19" s="53"/>
      <c r="AVQ19" s="53"/>
      <c r="AVR19" s="53"/>
      <c r="AVS19" s="53"/>
      <c r="AVT19" s="53"/>
      <c r="AVU19" s="53"/>
      <c r="AVV19" s="53"/>
      <c r="AVW19" s="53"/>
      <c r="AVX19" s="53"/>
      <c r="AVY19" s="53"/>
      <c r="AVZ19" s="53"/>
      <c r="AWA19" s="53"/>
      <c r="AWB19" s="53"/>
      <c r="AWC19" s="53"/>
      <c r="AWD19" s="53"/>
      <c r="AWE19" s="53"/>
      <c r="AWF19" s="53"/>
      <c r="AWG19" s="53"/>
      <c r="AWH19" s="53"/>
      <c r="AWI19" s="53"/>
      <c r="AWJ19" s="53"/>
      <c r="AWK19" s="53"/>
      <c r="AWL19" s="53"/>
      <c r="AWM19" s="53"/>
      <c r="AWN19" s="53"/>
      <c r="AWO19" s="53"/>
      <c r="AWP19" s="53"/>
      <c r="AWQ19" s="53"/>
      <c r="AWR19" s="53"/>
      <c r="AWS19" s="53"/>
      <c r="AWT19" s="53"/>
      <c r="AWU19" s="53"/>
      <c r="AWV19" s="53"/>
      <c r="AWW19" s="53"/>
      <c r="AWX19" s="53"/>
      <c r="AWY19" s="53"/>
      <c r="AWZ19" s="53"/>
      <c r="AXA19" s="53"/>
      <c r="AXB19" s="53"/>
      <c r="AXC19" s="53"/>
      <c r="AXD19" s="53"/>
      <c r="AXE19" s="53"/>
      <c r="AXF19" s="53"/>
      <c r="AXG19" s="53"/>
      <c r="AXH19" s="53"/>
      <c r="AXI19" s="53"/>
      <c r="AXJ19" s="53"/>
      <c r="AXK19" s="53"/>
      <c r="AXL19" s="53"/>
      <c r="AXM19" s="53"/>
      <c r="AXN19" s="53"/>
      <c r="AXO19" s="53"/>
      <c r="AXP19" s="53"/>
      <c r="AXQ19" s="53"/>
      <c r="AXR19" s="53"/>
      <c r="AXS19" s="53"/>
      <c r="AXT19" s="53"/>
      <c r="AXU19" s="53"/>
      <c r="AXV19" s="53"/>
      <c r="AXW19" s="53"/>
      <c r="AXX19" s="53"/>
      <c r="AXY19" s="53"/>
      <c r="AXZ19" s="53"/>
      <c r="AYA19" s="53"/>
      <c r="AYB19" s="53"/>
      <c r="AYC19" s="53"/>
      <c r="AYD19" s="53"/>
      <c r="AYE19" s="53"/>
      <c r="AYF19" s="53"/>
      <c r="AYG19" s="53"/>
      <c r="AYH19" s="53"/>
      <c r="AYI19" s="53"/>
      <c r="AYJ19" s="53"/>
      <c r="AYK19" s="53"/>
      <c r="AYL19" s="53"/>
      <c r="AYM19" s="53"/>
      <c r="AYN19" s="53"/>
      <c r="AYO19" s="53"/>
      <c r="AYP19" s="53"/>
      <c r="AYQ19" s="53"/>
      <c r="AYR19" s="53"/>
      <c r="AYS19" s="53"/>
      <c r="AYT19" s="53"/>
      <c r="AYU19" s="53"/>
      <c r="AYV19" s="53"/>
      <c r="AYW19" s="53"/>
      <c r="AYX19" s="53"/>
      <c r="AYY19" s="53"/>
      <c r="AYZ19" s="53"/>
      <c r="AZA19" s="53"/>
      <c r="AZB19" s="53"/>
      <c r="AZC19" s="53"/>
      <c r="AZD19" s="53"/>
      <c r="AZE19" s="53"/>
      <c r="AZF19" s="53"/>
      <c r="AZG19" s="53"/>
      <c r="AZH19" s="53"/>
      <c r="AZI19" s="53"/>
      <c r="AZJ19" s="53"/>
      <c r="AZK19" s="53"/>
      <c r="AZL19" s="53"/>
      <c r="AZM19" s="53"/>
      <c r="AZN19" s="53"/>
      <c r="AZO19" s="53"/>
      <c r="AZP19" s="53"/>
      <c r="AZQ19" s="53"/>
      <c r="AZR19" s="53"/>
      <c r="AZS19" s="53"/>
      <c r="AZT19" s="53"/>
      <c r="AZU19" s="53"/>
      <c r="AZV19" s="53"/>
      <c r="AZW19" s="53"/>
      <c r="AZX19" s="53"/>
      <c r="AZY19" s="53"/>
      <c r="AZZ19" s="53"/>
      <c r="BAA19" s="53"/>
      <c r="BAB19" s="53"/>
      <c r="BAC19" s="53"/>
      <c r="BAD19" s="53"/>
      <c r="BAE19" s="53"/>
      <c r="BAF19" s="53"/>
      <c r="BAG19" s="53"/>
      <c r="BAH19" s="53"/>
      <c r="BAI19" s="53"/>
      <c r="BAJ19" s="53"/>
      <c r="BAK19" s="53"/>
      <c r="BAL19" s="53"/>
      <c r="BAM19" s="53"/>
      <c r="BAN19" s="53"/>
      <c r="BAO19" s="53"/>
      <c r="BAP19" s="53"/>
      <c r="BAQ19" s="53"/>
      <c r="BAR19" s="53"/>
      <c r="BAS19" s="53"/>
      <c r="BAT19" s="53"/>
      <c r="BAU19" s="53"/>
      <c r="BAV19" s="53"/>
      <c r="BAW19" s="53"/>
      <c r="BAX19" s="53"/>
      <c r="BAY19" s="53"/>
      <c r="BAZ19" s="53"/>
      <c r="BBA19" s="53"/>
      <c r="BBB19" s="53"/>
      <c r="BBC19" s="53"/>
      <c r="BBD19" s="53"/>
      <c r="BBE19" s="53"/>
      <c r="BBF19" s="53"/>
      <c r="BBG19" s="53"/>
      <c r="BBH19" s="53"/>
      <c r="BBI19" s="53"/>
      <c r="BBJ19" s="53"/>
      <c r="BBK19" s="53"/>
      <c r="BBL19" s="53"/>
      <c r="BBM19" s="53"/>
      <c r="BBN19" s="53"/>
      <c r="BBO19" s="53"/>
      <c r="BBP19" s="53"/>
      <c r="BBQ19" s="53"/>
      <c r="BBR19" s="53"/>
      <c r="BBS19" s="53"/>
      <c r="BBT19" s="53"/>
      <c r="BBU19" s="53"/>
      <c r="BBV19" s="53"/>
      <c r="BBW19" s="53"/>
      <c r="BBX19" s="53"/>
      <c r="BBY19" s="53"/>
      <c r="BBZ19" s="53"/>
      <c r="BCA19" s="53"/>
      <c r="BCB19" s="53"/>
      <c r="BCC19" s="53"/>
      <c r="BCD19" s="53"/>
      <c r="BCE19" s="53"/>
      <c r="BCF19" s="53"/>
      <c r="BCG19" s="53"/>
      <c r="BCH19" s="53"/>
      <c r="BCI19" s="53"/>
      <c r="BCJ19" s="53"/>
      <c r="BCK19" s="53"/>
      <c r="BCL19" s="53"/>
      <c r="BCM19" s="53"/>
      <c r="BCN19" s="53"/>
      <c r="BCO19" s="53"/>
      <c r="BCP19" s="53"/>
      <c r="BCQ19" s="53"/>
      <c r="BCR19" s="53"/>
      <c r="BCS19" s="53"/>
      <c r="BCT19" s="53"/>
      <c r="BCU19" s="53"/>
      <c r="BCV19" s="53"/>
      <c r="BCW19" s="53"/>
      <c r="BCX19" s="53"/>
      <c r="BCY19" s="53"/>
      <c r="BCZ19" s="53"/>
      <c r="BDA19" s="53"/>
      <c r="BDB19" s="53"/>
      <c r="BDC19" s="53"/>
      <c r="BDD19" s="53"/>
      <c r="BDE19" s="53"/>
      <c r="BDF19" s="53"/>
      <c r="BDG19" s="53"/>
      <c r="BDH19" s="53"/>
      <c r="BDI19" s="53"/>
      <c r="BDJ19" s="53"/>
      <c r="BDK19" s="53"/>
      <c r="BDL19" s="53"/>
      <c r="BDM19" s="53"/>
      <c r="BDN19" s="53"/>
      <c r="BDO19" s="53"/>
      <c r="BDP19" s="53"/>
      <c r="BDQ19" s="53"/>
      <c r="BDR19" s="53"/>
      <c r="BDS19" s="53"/>
      <c r="BDT19" s="53"/>
      <c r="BDU19" s="53"/>
      <c r="BDV19" s="53"/>
      <c r="BDW19" s="53"/>
      <c r="BDX19" s="53"/>
      <c r="BDY19" s="53"/>
      <c r="BDZ19" s="53"/>
      <c r="BEA19" s="53"/>
      <c r="BEB19" s="53"/>
      <c r="BEC19" s="53"/>
      <c r="BED19" s="53"/>
      <c r="BEE19" s="53"/>
      <c r="BEF19" s="53"/>
      <c r="BEG19" s="53"/>
      <c r="BEH19" s="53"/>
      <c r="BEI19" s="53"/>
      <c r="BEJ19" s="53"/>
      <c r="BEK19" s="53"/>
      <c r="BEL19" s="53"/>
      <c r="BEM19" s="53"/>
      <c r="BEN19" s="53"/>
      <c r="BEO19" s="53"/>
      <c r="BEP19" s="53"/>
      <c r="BEQ19" s="53"/>
      <c r="BER19" s="53"/>
      <c r="BES19" s="53"/>
      <c r="BET19" s="53"/>
      <c r="BEU19" s="53"/>
      <c r="BEV19" s="53"/>
      <c r="BEW19" s="53"/>
      <c r="BEX19" s="53"/>
      <c r="BEY19" s="53"/>
      <c r="BEZ19" s="53"/>
      <c r="BFA19" s="53"/>
      <c r="BFB19" s="53"/>
      <c r="BFC19" s="53"/>
      <c r="BFD19" s="53"/>
      <c r="BFE19" s="53"/>
      <c r="BFF19" s="53"/>
      <c r="BFG19" s="53"/>
      <c r="BFH19" s="53"/>
      <c r="BFI19" s="53"/>
      <c r="BFJ19" s="53"/>
      <c r="BFK19" s="53"/>
      <c r="BFL19" s="53"/>
      <c r="BFM19" s="53"/>
      <c r="BFN19" s="53"/>
      <c r="BFO19" s="53"/>
      <c r="BFP19" s="53"/>
      <c r="BFQ19" s="53"/>
      <c r="BFR19" s="53"/>
      <c r="BFS19" s="53"/>
      <c r="BFT19" s="53"/>
      <c r="BFU19" s="53"/>
      <c r="BFV19" s="53"/>
      <c r="BFW19" s="53"/>
      <c r="BFX19" s="53"/>
      <c r="BFY19" s="53"/>
      <c r="BFZ19" s="53"/>
      <c r="BGA19" s="53"/>
      <c r="BGB19" s="53"/>
      <c r="BGC19" s="53"/>
      <c r="BGD19" s="53"/>
      <c r="BGE19" s="53"/>
      <c r="BGF19" s="53"/>
      <c r="BGG19" s="53"/>
      <c r="BGH19" s="53"/>
      <c r="BGI19" s="53"/>
      <c r="BGJ19" s="53"/>
      <c r="BGK19" s="53"/>
      <c r="BGL19" s="53"/>
      <c r="BGM19" s="53"/>
      <c r="BGN19" s="53"/>
      <c r="BGO19" s="53"/>
      <c r="BGP19" s="53"/>
      <c r="BGQ19" s="53"/>
      <c r="BGR19" s="53"/>
      <c r="BGS19" s="53"/>
      <c r="BGT19" s="53"/>
      <c r="BGU19" s="53"/>
      <c r="BGV19" s="53"/>
      <c r="BGW19" s="53"/>
      <c r="BGX19" s="53"/>
      <c r="BGY19" s="53"/>
      <c r="BGZ19" s="53"/>
      <c r="BHA19" s="53"/>
      <c r="BHB19" s="53"/>
      <c r="BHC19" s="53"/>
      <c r="BHD19" s="53"/>
      <c r="BHE19" s="53"/>
      <c r="BHF19" s="53"/>
      <c r="BHG19" s="53"/>
      <c r="BHH19" s="53"/>
      <c r="BHI19" s="53"/>
      <c r="BHJ19" s="53"/>
      <c r="BHK19" s="53"/>
      <c r="BHL19" s="53"/>
      <c r="BHM19" s="53"/>
      <c r="BHN19" s="53"/>
      <c r="BHO19" s="53"/>
      <c r="BHP19" s="53"/>
      <c r="BHQ19" s="53"/>
      <c r="BHR19" s="53"/>
      <c r="BHS19" s="53"/>
      <c r="BHT19" s="53"/>
      <c r="BHU19" s="53"/>
      <c r="BHV19" s="53"/>
      <c r="BHW19" s="53"/>
      <c r="BHX19" s="53"/>
      <c r="BHY19" s="53"/>
      <c r="BHZ19" s="53"/>
      <c r="BIA19" s="53"/>
      <c r="BIB19" s="53"/>
      <c r="BIC19" s="53"/>
      <c r="BID19" s="53"/>
      <c r="BIE19" s="53"/>
      <c r="BIF19" s="53"/>
      <c r="BIG19" s="53"/>
      <c r="BIH19" s="53"/>
      <c r="BII19" s="53"/>
      <c r="BIJ19" s="53"/>
      <c r="BIK19" s="53"/>
      <c r="BIL19" s="53"/>
      <c r="BIM19" s="53"/>
      <c r="BIN19" s="53"/>
      <c r="BIO19" s="53"/>
      <c r="BIP19" s="53"/>
      <c r="BIQ19" s="53"/>
      <c r="BIR19" s="53"/>
      <c r="BIS19" s="53"/>
      <c r="BIT19" s="53"/>
      <c r="BIU19" s="53"/>
      <c r="BIV19" s="53"/>
      <c r="BIW19" s="53"/>
      <c r="BIX19" s="53"/>
      <c r="BIY19" s="53"/>
      <c r="BIZ19" s="53"/>
      <c r="BJA19" s="53"/>
      <c r="BJB19" s="53"/>
      <c r="BJC19" s="53"/>
      <c r="BJD19" s="53"/>
      <c r="BJE19" s="53"/>
      <c r="BJF19" s="53"/>
      <c r="BJG19" s="53"/>
      <c r="BJH19" s="53"/>
      <c r="BJI19" s="53"/>
      <c r="BJJ19" s="53"/>
      <c r="BJK19" s="53"/>
      <c r="BJL19" s="53"/>
      <c r="BJM19" s="53"/>
      <c r="BJN19" s="53"/>
      <c r="BJO19" s="53"/>
      <c r="BJP19" s="53"/>
      <c r="BJQ19" s="53"/>
      <c r="BJR19" s="53"/>
      <c r="BJS19" s="53"/>
      <c r="BJT19" s="53"/>
      <c r="BJU19" s="53"/>
      <c r="BJV19" s="53"/>
      <c r="BJW19" s="53"/>
      <c r="BJX19" s="53"/>
      <c r="BJY19" s="53"/>
      <c r="BJZ19" s="53"/>
      <c r="BKA19" s="53"/>
      <c r="BKB19" s="53"/>
      <c r="BKC19" s="53"/>
      <c r="BKD19" s="53"/>
      <c r="BKE19" s="53"/>
      <c r="BKF19" s="53"/>
      <c r="BKG19" s="53"/>
      <c r="BKH19" s="53"/>
      <c r="BKI19" s="53"/>
      <c r="BKJ19" s="53"/>
      <c r="BKK19" s="53"/>
      <c r="BKL19" s="53"/>
      <c r="BKM19" s="53"/>
      <c r="BKN19" s="53"/>
      <c r="BKO19" s="53"/>
      <c r="BKP19" s="53"/>
      <c r="BKQ19" s="53"/>
      <c r="BKR19" s="53"/>
      <c r="BKS19" s="53"/>
      <c r="BKT19" s="53"/>
      <c r="BKU19" s="53"/>
      <c r="BKV19" s="53"/>
      <c r="BKW19" s="53"/>
      <c r="BKX19" s="53"/>
      <c r="BKY19" s="53"/>
      <c r="BKZ19" s="53"/>
      <c r="BLA19" s="53"/>
      <c r="BLB19" s="53"/>
      <c r="BLC19" s="53"/>
      <c r="BLD19" s="53"/>
      <c r="BLE19" s="53"/>
      <c r="BLF19" s="53"/>
      <c r="BLG19" s="53"/>
      <c r="BLH19" s="53"/>
      <c r="BLI19" s="53"/>
      <c r="BLJ19" s="53"/>
      <c r="BLK19" s="53"/>
      <c r="BLL19" s="53"/>
      <c r="BLM19" s="53"/>
      <c r="BLN19" s="53"/>
      <c r="BLO19" s="53"/>
      <c r="BLP19" s="53"/>
      <c r="BLQ19" s="53"/>
      <c r="BLR19" s="53"/>
      <c r="BLS19" s="53"/>
      <c r="BLT19" s="53"/>
      <c r="BLU19" s="53"/>
      <c r="BLV19" s="53"/>
      <c r="BLW19" s="53"/>
      <c r="BLX19" s="53"/>
      <c r="BLY19" s="53"/>
      <c r="BLZ19" s="53"/>
      <c r="BMA19" s="53"/>
      <c r="BMB19" s="53"/>
      <c r="BMC19" s="53"/>
      <c r="BMD19" s="53"/>
      <c r="BME19" s="53"/>
      <c r="BMF19" s="53"/>
      <c r="BMG19" s="53"/>
      <c r="BMH19" s="53"/>
      <c r="BMI19" s="53"/>
      <c r="BMJ19" s="53"/>
      <c r="BMK19" s="53"/>
      <c r="BML19" s="53"/>
      <c r="BMM19" s="53"/>
      <c r="BMN19" s="53"/>
      <c r="BMO19" s="53"/>
      <c r="BMP19" s="53"/>
      <c r="BMQ19" s="53"/>
      <c r="BMR19" s="53"/>
      <c r="BMS19" s="53"/>
      <c r="BMT19" s="53"/>
      <c r="BMU19" s="53"/>
      <c r="BMV19" s="53"/>
      <c r="BMW19" s="53"/>
      <c r="BMX19" s="53"/>
      <c r="BMY19" s="53"/>
      <c r="BMZ19" s="53"/>
      <c r="BNA19" s="53"/>
      <c r="BNB19" s="53"/>
      <c r="BNC19" s="53"/>
      <c r="BND19" s="53"/>
      <c r="BNE19" s="53"/>
      <c r="BNF19" s="53"/>
      <c r="BNG19" s="53"/>
      <c r="BNH19" s="53"/>
      <c r="BNI19" s="53"/>
      <c r="BNJ19" s="53"/>
      <c r="BNK19" s="53"/>
      <c r="BNL19" s="53"/>
      <c r="BNM19" s="53"/>
      <c r="BNN19" s="53"/>
      <c r="BNO19" s="53"/>
      <c r="BNP19" s="53"/>
      <c r="BNQ19" s="53"/>
      <c r="BNR19" s="53"/>
      <c r="BNS19" s="53"/>
      <c r="BNT19" s="53"/>
      <c r="BNU19" s="53"/>
      <c r="BNV19" s="53"/>
      <c r="BNW19" s="53"/>
      <c r="BNX19" s="53"/>
      <c r="BNY19" s="53"/>
      <c r="BNZ19" s="53"/>
      <c r="BOA19" s="53"/>
      <c r="BOB19" s="53"/>
      <c r="BOC19" s="53"/>
      <c r="BOD19" s="53"/>
      <c r="BOE19" s="53"/>
      <c r="BOF19" s="53"/>
      <c r="BOG19" s="53"/>
      <c r="BOH19" s="53"/>
      <c r="BOI19" s="53"/>
      <c r="BOJ19" s="53"/>
      <c r="BOK19" s="53"/>
      <c r="BOL19" s="53"/>
      <c r="BOM19" s="53"/>
      <c r="BON19" s="53"/>
      <c r="BOO19" s="53"/>
      <c r="BOP19" s="53"/>
      <c r="BOQ19" s="53"/>
      <c r="BOR19" s="53"/>
      <c r="BOS19" s="53"/>
      <c r="BOT19" s="53"/>
      <c r="BOU19" s="53"/>
      <c r="BOV19" s="53"/>
      <c r="BOW19" s="53"/>
      <c r="BOX19" s="53"/>
      <c r="BOY19" s="53"/>
      <c r="BOZ19" s="53"/>
      <c r="BPA19" s="53"/>
      <c r="BPB19" s="53"/>
      <c r="BPC19" s="53"/>
      <c r="BPD19" s="53"/>
      <c r="BPE19" s="53"/>
      <c r="BPF19" s="53"/>
      <c r="BPG19" s="53"/>
      <c r="BPH19" s="53"/>
      <c r="BPI19" s="53"/>
      <c r="BPJ19" s="53"/>
      <c r="BPK19" s="53"/>
      <c r="BPL19" s="53"/>
      <c r="BPM19" s="53"/>
      <c r="BPN19" s="53"/>
      <c r="BPO19" s="53"/>
      <c r="BPP19" s="53"/>
      <c r="BPQ19" s="53"/>
      <c r="BPR19" s="53"/>
      <c r="BPS19" s="53"/>
      <c r="BPT19" s="53"/>
      <c r="BPU19" s="53"/>
      <c r="BPV19" s="53"/>
      <c r="BPW19" s="53"/>
      <c r="BPX19" s="53"/>
      <c r="BPY19" s="53"/>
      <c r="BPZ19" s="53"/>
      <c r="BQA19" s="53"/>
      <c r="BQB19" s="53"/>
      <c r="BQC19" s="53"/>
      <c r="BQD19" s="53"/>
      <c r="BQE19" s="53"/>
      <c r="BQF19" s="53"/>
      <c r="BQG19" s="53"/>
      <c r="BQH19" s="53"/>
      <c r="BQI19" s="53"/>
      <c r="BQJ19" s="53"/>
      <c r="BQK19" s="53"/>
      <c r="BQL19" s="53"/>
      <c r="BQM19" s="53"/>
      <c r="BQN19" s="53"/>
      <c r="BQO19" s="53"/>
      <c r="BQP19" s="53"/>
      <c r="BQQ19" s="53"/>
      <c r="BQR19" s="53"/>
      <c r="BQS19" s="53"/>
      <c r="BQT19" s="53"/>
      <c r="BQU19" s="53"/>
      <c r="BQV19" s="53"/>
      <c r="BQW19" s="53"/>
      <c r="BQX19" s="53"/>
      <c r="BQY19" s="53"/>
      <c r="BQZ19" s="53"/>
      <c r="BRA19" s="53"/>
      <c r="BRB19" s="53"/>
      <c r="BRC19" s="53"/>
      <c r="BRD19" s="53"/>
      <c r="BRE19" s="53"/>
      <c r="BRF19" s="53"/>
      <c r="BRG19" s="53"/>
      <c r="BRH19" s="53"/>
      <c r="BRI19" s="53"/>
      <c r="BRJ19" s="53"/>
      <c r="BRK19" s="53"/>
      <c r="BRL19" s="53"/>
      <c r="BRM19" s="53"/>
      <c r="BRN19" s="53"/>
      <c r="BRO19" s="53"/>
      <c r="BRP19" s="53"/>
      <c r="BRQ19" s="53"/>
      <c r="BRR19" s="53"/>
      <c r="BRS19" s="53"/>
      <c r="BRT19" s="53"/>
      <c r="BRU19" s="53"/>
      <c r="BRV19" s="53"/>
      <c r="BRW19" s="53"/>
      <c r="BRX19" s="53"/>
      <c r="BRY19" s="53"/>
      <c r="BRZ19" s="53"/>
      <c r="BSA19" s="53"/>
      <c r="BSB19" s="53"/>
      <c r="BSC19" s="53"/>
      <c r="BSD19" s="53"/>
      <c r="BSE19" s="53"/>
      <c r="BSF19" s="53"/>
      <c r="BSG19" s="53"/>
      <c r="BSH19" s="53"/>
      <c r="BSI19" s="53"/>
      <c r="BSJ19" s="53"/>
      <c r="BSK19" s="53"/>
      <c r="BSL19" s="53"/>
      <c r="BSM19" s="53"/>
      <c r="BSN19" s="53"/>
      <c r="BSO19" s="53"/>
      <c r="BSP19" s="53"/>
      <c r="BSQ19" s="53"/>
      <c r="BSR19" s="53"/>
      <c r="BSS19" s="53"/>
      <c r="BST19" s="53"/>
      <c r="BSU19" s="53"/>
      <c r="BSV19" s="53"/>
      <c r="BSW19" s="53"/>
      <c r="BSX19" s="53"/>
      <c r="BSY19" s="53"/>
      <c r="BSZ19" s="53"/>
      <c r="BTA19" s="53"/>
      <c r="BTB19" s="53"/>
      <c r="BTC19" s="53"/>
      <c r="BTD19" s="53"/>
      <c r="BTE19" s="53"/>
      <c r="BTF19" s="53"/>
      <c r="BTG19" s="53"/>
      <c r="BTH19" s="53"/>
      <c r="BTI19" s="53"/>
      <c r="BTJ19" s="53"/>
      <c r="BTK19" s="53"/>
      <c r="BTL19" s="53"/>
      <c r="BTM19" s="53"/>
      <c r="BTN19" s="53"/>
      <c r="BTO19" s="53"/>
      <c r="BTP19" s="53"/>
      <c r="BTQ19" s="53"/>
      <c r="BTR19" s="53"/>
      <c r="BTS19" s="53"/>
      <c r="BTT19" s="53"/>
      <c r="BTU19" s="53"/>
      <c r="BTV19" s="53"/>
      <c r="BTW19" s="53"/>
      <c r="BTX19" s="53"/>
      <c r="BTY19" s="53"/>
      <c r="BTZ19" s="53"/>
      <c r="BUA19" s="53"/>
      <c r="BUB19" s="53"/>
      <c r="BUC19" s="53"/>
      <c r="BUD19" s="53"/>
      <c r="BUE19" s="53"/>
      <c r="BUF19" s="53"/>
      <c r="BUG19" s="53"/>
      <c r="BUH19" s="53"/>
      <c r="BUI19" s="53"/>
      <c r="BUJ19" s="53"/>
      <c r="BUK19" s="53"/>
      <c r="BUL19" s="53"/>
      <c r="BUM19" s="53"/>
      <c r="BUN19" s="53"/>
      <c r="BUO19" s="53"/>
      <c r="BUP19" s="53"/>
      <c r="BUQ19" s="53"/>
      <c r="BUR19" s="53"/>
      <c r="BUS19" s="53"/>
      <c r="BUT19" s="53"/>
      <c r="BUU19" s="53"/>
      <c r="BUV19" s="53"/>
      <c r="BUW19" s="53"/>
      <c r="BUX19" s="53"/>
      <c r="BUY19" s="53"/>
      <c r="BUZ19" s="53"/>
      <c r="BVA19" s="53"/>
      <c r="BVB19" s="53"/>
      <c r="BVC19" s="53"/>
      <c r="BVD19" s="53"/>
      <c r="BVE19" s="53"/>
      <c r="BVF19" s="53"/>
      <c r="BVG19" s="53"/>
      <c r="BVH19" s="53"/>
      <c r="BVI19" s="53"/>
      <c r="BVJ19" s="53"/>
      <c r="BVK19" s="53"/>
      <c r="BVL19" s="53"/>
      <c r="BVM19" s="53"/>
      <c r="BVN19" s="53"/>
      <c r="BVO19" s="53"/>
      <c r="BVP19" s="53"/>
      <c r="BVQ19" s="53"/>
      <c r="BVR19" s="53"/>
      <c r="BVS19" s="53"/>
      <c r="BVT19" s="53"/>
      <c r="BVU19" s="53"/>
      <c r="BVV19" s="53"/>
      <c r="BVW19" s="53"/>
      <c r="BVX19" s="53"/>
      <c r="BVY19" s="53"/>
      <c r="BVZ19" s="53"/>
      <c r="BWA19" s="53"/>
      <c r="BWB19" s="53"/>
      <c r="BWC19" s="53"/>
      <c r="BWD19" s="53"/>
      <c r="BWE19" s="53"/>
      <c r="BWF19" s="53"/>
      <c r="BWG19" s="53"/>
      <c r="BWH19" s="53"/>
      <c r="BWI19" s="53"/>
      <c r="BWJ19" s="53"/>
      <c r="BWK19" s="53"/>
      <c r="BWL19" s="53"/>
      <c r="BWM19" s="53"/>
      <c r="BWN19" s="53"/>
      <c r="BWO19" s="53"/>
      <c r="BWP19" s="53"/>
      <c r="BWQ19" s="53"/>
      <c r="BWR19" s="53"/>
      <c r="BWS19" s="53"/>
      <c r="BWT19" s="53"/>
      <c r="BWU19" s="53"/>
      <c r="BWV19" s="53"/>
      <c r="BWW19" s="53"/>
      <c r="BWX19" s="53"/>
      <c r="BWY19" s="53"/>
      <c r="BWZ19" s="53"/>
      <c r="BXA19" s="53"/>
      <c r="BXB19" s="53"/>
      <c r="BXC19" s="53"/>
      <c r="BXD19" s="53"/>
      <c r="BXE19" s="53"/>
      <c r="BXF19" s="53"/>
      <c r="BXG19" s="53"/>
      <c r="BXH19" s="53"/>
      <c r="BXI19" s="53"/>
      <c r="BXJ19" s="53"/>
      <c r="BXK19" s="53"/>
      <c r="BXL19" s="53"/>
      <c r="BXM19" s="53"/>
      <c r="BXN19" s="53"/>
      <c r="BXO19" s="53"/>
      <c r="BXP19" s="53"/>
      <c r="BXQ19" s="53"/>
      <c r="BXR19" s="53"/>
      <c r="BXS19" s="53"/>
      <c r="BXT19" s="53"/>
      <c r="BXU19" s="53"/>
      <c r="BXV19" s="53"/>
      <c r="BXW19" s="53"/>
      <c r="BXX19" s="53"/>
      <c r="BXY19" s="53"/>
      <c r="BXZ19" s="53"/>
      <c r="BYA19" s="53"/>
      <c r="BYB19" s="53"/>
      <c r="BYC19" s="53"/>
      <c r="BYD19" s="53"/>
      <c r="BYE19" s="53"/>
      <c r="BYF19" s="53"/>
      <c r="BYG19" s="53"/>
      <c r="BYH19" s="53"/>
      <c r="BYI19" s="53"/>
      <c r="BYJ19" s="53"/>
      <c r="BYK19" s="53"/>
      <c r="BYL19" s="53"/>
      <c r="BYM19" s="53"/>
      <c r="BYN19" s="53"/>
      <c r="BYO19" s="53"/>
      <c r="BYP19" s="53"/>
      <c r="BYQ19" s="53"/>
      <c r="BYR19" s="53"/>
      <c r="BYS19" s="53"/>
      <c r="BYT19" s="53"/>
      <c r="BYU19" s="53"/>
      <c r="BYV19" s="53"/>
      <c r="BYW19" s="53"/>
      <c r="BYX19" s="53"/>
      <c r="BYY19" s="53"/>
      <c r="BYZ19" s="53"/>
      <c r="BZA19" s="53"/>
      <c r="BZB19" s="53"/>
      <c r="BZC19" s="53"/>
      <c r="BZD19" s="53"/>
      <c r="BZE19" s="53"/>
      <c r="BZF19" s="53"/>
      <c r="BZG19" s="53"/>
      <c r="BZH19" s="53"/>
      <c r="BZI19" s="53"/>
      <c r="BZJ19" s="53"/>
      <c r="BZK19" s="53"/>
      <c r="BZL19" s="53"/>
      <c r="BZM19" s="53"/>
      <c r="BZN19" s="53"/>
      <c r="BZO19" s="53"/>
      <c r="BZP19" s="53"/>
      <c r="BZQ19" s="53"/>
      <c r="BZR19" s="53"/>
      <c r="BZS19" s="53"/>
      <c r="BZT19" s="53"/>
      <c r="BZU19" s="53"/>
      <c r="BZV19" s="53"/>
      <c r="BZW19" s="53"/>
      <c r="BZX19" s="53"/>
      <c r="BZY19" s="53"/>
      <c r="BZZ19" s="53"/>
      <c r="CAA19" s="53"/>
      <c r="CAB19" s="53"/>
      <c r="CAC19" s="53"/>
      <c r="CAD19" s="53"/>
      <c r="CAE19" s="53"/>
      <c r="CAF19" s="53"/>
      <c r="CAG19" s="53"/>
      <c r="CAH19" s="53"/>
      <c r="CAI19" s="53"/>
      <c r="CAJ19" s="53"/>
      <c r="CAK19" s="53"/>
      <c r="CAL19" s="53"/>
      <c r="CAM19" s="53"/>
      <c r="CAN19" s="53"/>
      <c r="CAO19" s="53"/>
      <c r="CAP19" s="53"/>
      <c r="CAQ19" s="53"/>
      <c r="CAR19" s="53"/>
      <c r="CAS19" s="53"/>
      <c r="CAT19" s="53"/>
      <c r="CAU19" s="53"/>
      <c r="CAV19" s="53"/>
      <c r="CAW19" s="53"/>
      <c r="CAX19" s="53"/>
      <c r="CAY19" s="53"/>
      <c r="CAZ19" s="53"/>
      <c r="CBA19" s="53"/>
      <c r="CBB19" s="53"/>
      <c r="CBC19" s="53"/>
      <c r="CBD19" s="53"/>
      <c r="CBE19" s="53"/>
      <c r="CBF19" s="53"/>
      <c r="CBG19" s="53"/>
      <c r="CBH19" s="53"/>
      <c r="CBI19" s="53"/>
      <c r="CBJ19" s="53"/>
      <c r="CBK19" s="53"/>
      <c r="CBL19" s="53"/>
      <c r="CBM19" s="53"/>
      <c r="CBN19" s="53"/>
      <c r="CBO19" s="53"/>
      <c r="CBP19" s="53"/>
      <c r="CBQ19" s="53"/>
      <c r="CBR19" s="53"/>
      <c r="CBS19" s="53"/>
      <c r="CBT19" s="53"/>
      <c r="CBU19" s="53"/>
      <c r="CBV19" s="53"/>
      <c r="CBW19" s="53"/>
      <c r="CBX19" s="53"/>
      <c r="CBY19" s="53"/>
      <c r="CBZ19" s="53"/>
      <c r="CCA19" s="53"/>
      <c r="CCB19" s="53"/>
      <c r="CCC19" s="53"/>
      <c r="CCD19" s="53"/>
      <c r="CCE19" s="53"/>
      <c r="CCF19" s="53"/>
      <c r="CCG19" s="53"/>
      <c r="CCH19" s="53"/>
      <c r="CCI19" s="53"/>
      <c r="CCJ19" s="53"/>
      <c r="CCK19" s="53"/>
      <c r="CCL19" s="53"/>
      <c r="CCM19" s="53"/>
      <c r="CCN19" s="53"/>
      <c r="CCO19" s="53"/>
      <c r="CCP19" s="53"/>
      <c r="CCQ19" s="53"/>
      <c r="CCR19" s="53"/>
      <c r="CCS19" s="53"/>
      <c r="CCT19" s="53"/>
      <c r="CCU19" s="53"/>
      <c r="CCV19" s="53"/>
      <c r="CCW19" s="53"/>
      <c r="CCX19" s="53"/>
      <c r="CCY19" s="53"/>
      <c r="CCZ19" s="53"/>
      <c r="CDA19" s="53"/>
      <c r="CDB19" s="53"/>
      <c r="CDC19" s="53"/>
      <c r="CDD19" s="53"/>
      <c r="CDE19" s="53"/>
      <c r="CDF19" s="53"/>
      <c r="CDG19" s="53"/>
      <c r="CDH19" s="53"/>
      <c r="CDI19" s="53"/>
      <c r="CDJ19" s="53"/>
      <c r="CDK19" s="53"/>
      <c r="CDL19" s="53"/>
      <c r="CDM19" s="53"/>
      <c r="CDN19" s="53"/>
      <c r="CDO19" s="53"/>
      <c r="CDP19" s="53"/>
      <c r="CDQ19" s="53"/>
      <c r="CDR19" s="53"/>
      <c r="CDS19" s="53"/>
      <c r="CDT19" s="53"/>
      <c r="CDU19" s="53"/>
      <c r="CDV19" s="53"/>
      <c r="CDW19" s="53"/>
      <c r="CDX19" s="53"/>
      <c r="CDY19" s="53"/>
      <c r="CDZ19" s="53"/>
      <c r="CEA19" s="53"/>
      <c r="CEB19" s="53"/>
      <c r="CEC19" s="53"/>
      <c r="CED19" s="53"/>
      <c r="CEE19" s="53"/>
      <c r="CEF19" s="53"/>
      <c r="CEG19" s="53"/>
      <c r="CEH19" s="53"/>
      <c r="CEI19" s="53"/>
      <c r="CEJ19" s="53"/>
      <c r="CEK19" s="53"/>
      <c r="CEL19" s="53"/>
      <c r="CEM19" s="53"/>
      <c r="CEN19" s="53"/>
      <c r="CEO19" s="53"/>
      <c r="CEP19" s="53"/>
      <c r="CEQ19" s="53"/>
      <c r="CER19" s="53"/>
      <c r="CES19" s="53"/>
      <c r="CET19" s="53"/>
      <c r="CEU19" s="53"/>
      <c r="CEV19" s="53"/>
      <c r="CEW19" s="53"/>
      <c r="CEX19" s="53"/>
      <c r="CEY19" s="53"/>
      <c r="CEZ19" s="53"/>
      <c r="CFA19" s="53"/>
      <c r="CFB19" s="53"/>
      <c r="CFC19" s="53"/>
      <c r="CFD19" s="53"/>
      <c r="CFE19" s="53"/>
      <c r="CFF19" s="53"/>
      <c r="CFG19" s="53"/>
      <c r="CFH19" s="53"/>
      <c r="CFI19" s="53"/>
      <c r="CFJ19" s="53"/>
      <c r="CFK19" s="53"/>
      <c r="CFL19" s="53"/>
      <c r="CFM19" s="53"/>
      <c r="CFN19" s="53"/>
      <c r="CFO19" s="53"/>
      <c r="CFP19" s="53"/>
      <c r="CFQ19" s="53"/>
      <c r="CFR19" s="53"/>
      <c r="CFS19" s="53"/>
      <c r="CFT19" s="53"/>
      <c r="CFU19" s="53"/>
      <c r="CFV19" s="53"/>
      <c r="CFW19" s="53"/>
      <c r="CFX19" s="53"/>
      <c r="CFY19" s="53"/>
      <c r="CFZ19" s="53"/>
      <c r="CGA19" s="53"/>
      <c r="CGB19" s="53"/>
      <c r="CGC19" s="53"/>
      <c r="CGD19" s="53"/>
      <c r="CGE19" s="53"/>
      <c r="CGF19" s="53"/>
      <c r="CGG19" s="53"/>
      <c r="CGH19" s="53"/>
      <c r="CGI19" s="53"/>
      <c r="CGJ19" s="53"/>
      <c r="CGK19" s="53"/>
      <c r="CGL19" s="53"/>
      <c r="CGM19" s="53"/>
      <c r="CGN19" s="53"/>
      <c r="CGO19" s="53"/>
      <c r="CGP19" s="53"/>
      <c r="CGQ19" s="53"/>
      <c r="CGR19" s="53"/>
      <c r="CGS19" s="53"/>
      <c r="CGT19" s="53"/>
      <c r="CGU19" s="53"/>
      <c r="CGV19" s="53"/>
      <c r="CGW19" s="53"/>
      <c r="CGX19" s="53"/>
      <c r="CGY19" s="53"/>
      <c r="CGZ19" s="53"/>
      <c r="CHA19" s="53"/>
      <c r="CHB19" s="53"/>
      <c r="CHC19" s="53"/>
      <c r="CHD19" s="53"/>
      <c r="CHE19" s="53"/>
      <c r="CHF19" s="53"/>
      <c r="CHG19" s="53"/>
      <c r="CHH19" s="53"/>
      <c r="CHI19" s="53"/>
      <c r="CHJ19" s="53"/>
      <c r="CHK19" s="53"/>
      <c r="CHL19" s="53"/>
      <c r="CHM19" s="53"/>
      <c r="CHN19" s="53"/>
      <c r="CHO19" s="53"/>
      <c r="CHP19" s="53"/>
      <c r="CHQ19" s="53"/>
      <c r="CHR19" s="53"/>
      <c r="CHS19" s="53"/>
      <c r="CHT19" s="53"/>
      <c r="CHU19" s="53"/>
      <c r="CHV19" s="53"/>
      <c r="CHW19" s="53"/>
      <c r="CHX19" s="53"/>
      <c r="CHY19" s="53"/>
      <c r="CHZ19" s="53"/>
      <c r="CIA19" s="53"/>
      <c r="CIB19" s="53"/>
      <c r="CIC19" s="53"/>
      <c r="CID19" s="53"/>
      <c r="CIE19" s="53"/>
      <c r="CIF19" s="53"/>
      <c r="CIG19" s="53"/>
      <c r="CIH19" s="53"/>
      <c r="CII19" s="53"/>
      <c r="CIJ19" s="53"/>
      <c r="CIK19" s="53"/>
      <c r="CIL19" s="53"/>
      <c r="CIM19" s="53"/>
      <c r="CIN19" s="53"/>
      <c r="CIO19" s="53"/>
      <c r="CIP19" s="53"/>
      <c r="CIQ19" s="53"/>
      <c r="CIR19" s="53"/>
      <c r="CIS19" s="53"/>
      <c r="CIT19" s="53"/>
      <c r="CIU19" s="53"/>
      <c r="CIV19" s="53"/>
      <c r="CIW19" s="53"/>
      <c r="CIX19" s="53"/>
      <c r="CIY19" s="53"/>
      <c r="CIZ19" s="53"/>
      <c r="CJA19" s="53"/>
      <c r="CJB19" s="53"/>
      <c r="CJC19" s="53"/>
      <c r="CJD19" s="53"/>
      <c r="CJE19" s="53"/>
      <c r="CJF19" s="53"/>
      <c r="CJG19" s="53"/>
      <c r="CJH19" s="53"/>
      <c r="CJI19" s="53"/>
      <c r="CJJ19" s="53"/>
      <c r="CJK19" s="53"/>
      <c r="CJL19" s="53"/>
      <c r="CJM19" s="53"/>
      <c r="CJN19" s="53"/>
      <c r="CJO19" s="53"/>
      <c r="CJP19" s="53"/>
      <c r="CJQ19" s="53"/>
      <c r="CJR19" s="53"/>
      <c r="CJS19" s="53"/>
      <c r="CJT19" s="53"/>
      <c r="CJU19" s="53"/>
      <c r="CJV19" s="53"/>
      <c r="CJW19" s="53"/>
      <c r="CJX19" s="53"/>
      <c r="CJY19" s="53"/>
      <c r="CJZ19" s="53"/>
      <c r="CKA19" s="53"/>
      <c r="CKB19" s="53"/>
      <c r="CKC19" s="53"/>
      <c r="CKD19" s="53"/>
      <c r="CKE19" s="53"/>
      <c r="CKF19" s="53"/>
      <c r="CKG19" s="53"/>
      <c r="CKH19" s="53"/>
      <c r="CKI19" s="53"/>
      <c r="CKJ19" s="53"/>
      <c r="CKK19" s="53"/>
      <c r="CKL19" s="53"/>
      <c r="CKM19" s="53"/>
      <c r="CKN19" s="53"/>
      <c r="CKO19" s="53"/>
      <c r="CKP19" s="53"/>
      <c r="CKQ19" s="53"/>
      <c r="CKR19" s="53"/>
      <c r="CKS19" s="53"/>
      <c r="CKT19" s="53"/>
      <c r="CKU19" s="53"/>
      <c r="CKV19" s="53"/>
      <c r="CKW19" s="53"/>
      <c r="CKX19" s="53"/>
      <c r="CKY19" s="53"/>
      <c r="CKZ19" s="53"/>
      <c r="CLA19" s="53"/>
      <c r="CLB19" s="53"/>
      <c r="CLC19" s="53"/>
      <c r="CLD19" s="53"/>
      <c r="CLE19" s="53"/>
      <c r="CLF19" s="53"/>
      <c r="CLG19" s="53"/>
      <c r="CLH19" s="53"/>
      <c r="CLI19" s="53"/>
      <c r="CLJ19" s="53"/>
      <c r="CLK19" s="53"/>
      <c r="CLL19" s="53"/>
      <c r="CLM19" s="53"/>
      <c r="CLN19" s="53"/>
      <c r="CLO19" s="53"/>
      <c r="CLP19" s="53"/>
      <c r="CLQ19" s="53"/>
      <c r="CLR19" s="53"/>
      <c r="CLS19" s="53"/>
      <c r="CLT19" s="53"/>
      <c r="CLU19" s="53"/>
      <c r="CLV19" s="53"/>
      <c r="CLW19" s="53"/>
      <c r="CLX19" s="53"/>
      <c r="CLY19" s="53"/>
      <c r="CLZ19" s="53"/>
      <c r="CMA19" s="53"/>
      <c r="CMB19" s="53"/>
      <c r="CMC19" s="53"/>
      <c r="CMD19" s="53"/>
      <c r="CME19" s="53"/>
      <c r="CMF19" s="53"/>
      <c r="CMG19" s="53"/>
      <c r="CMH19" s="53"/>
      <c r="CMI19" s="53"/>
      <c r="CMJ19" s="53"/>
      <c r="CMK19" s="53"/>
      <c r="CML19" s="53"/>
      <c r="CMM19" s="53"/>
      <c r="CMN19" s="53"/>
      <c r="CMO19" s="53"/>
      <c r="CMP19" s="53"/>
      <c r="CMQ19" s="53"/>
      <c r="CMR19" s="53"/>
      <c r="CMS19" s="53"/>
      <c r="CMT19" s="53"/>
      <c r="CMU19" s="53"/>
      <c r="CMV19" s="53"/>
      <c r="CMW19" s="53"/>
      <c r="CMX19" s="53"/>
      <c r="CMY19" s="53"/>
      <c r="CMZ19" s="53"/>
      <c r="CNA19" s="53"/>
      <c r="CNB19" s="53"/>
      <c r="CNC19" s="53"/>
      <c r="CND19" s="53"/>
      <c r="CNE19" s="53"/>
      <c r="CNF19" s="53"/>
      <c r="CNG19" s="53"/>
      <c r="CNH19" s="53"/>
      <c r="CNI19" s="53"/>
      <c r="CNJ19" s="53"/>
      <c r="CNK19" s="53"/>
      <c r="CNL19" s="53"/>
      <c r="CNM19" s="53"/>
      <c r="CNN19" s="53"/>
      <c r="CNO19" s="53"/>
      <c r="CNP19" s="53"/>
      <c r="CNQ19" s="53"/>
      <c r="CNR19" s="53"/>
      <c r="CNS19" s="53"/>
      <c r="CNT19" s="53"/>
      <c r="CNU19" s="53"/>
      <c r="CNV19" s="53"/>
      <c r="CNW19" s="53"/>
      <c r="CNX19" s="53"/>
      <c r="CNY19" s="53"/>
      <c r="CNZ19" s="53"/>
      <c r="COA19" s="53"/>
      <c r="COB19" s="53"/>
      <c r="COC19" s="53"/>
      <c r="COD19" s="53"/>
      <c r="COE19" s="53"/>
      <c r="COF19" s="53"/>
      <c r="COG19" s="53"/>
      <c r="COH19" s="53"/>
      <c r="COI19" s="53"/>
      <c r="COJ19" s="53"/>
      <c r="COK19" s="53"/>
      <c r="COL19" s="53"/>
      <c r="COM19" s="53"/>
      <c r="CON19" s="53"/>
      <c r="COO19" s="53"/>
      <c r="COP19" s="53"/>
      <c r="COQ19" s="53"/>
      <c r="COR19" s="53"/>
      <c r="COS19" s="53"/>
      <c r="COT19" s="53"/>
      <c r="COU19" s="53"/>
      <c r="COV19" s="53"/>
      <c r="COW19" s="53"/>
      <c r="COX19" s="53"/>
      <c r="COY19" s="53"/>
      <c r="COZ19" s="53"/>
      <c r="CPA19" s="53"/>
      <c r="CPB19" s="53"/>
      <c r="CPC19" s="53"/>
      <c r="CPD19" s="53"/>
      <c r="CPE19" s="53"/>
      <c r="CPF19" s="53"/>
      <c r="CPG19" s="53"/>
      <c r="CPH19" s="53"/>
      <c r="CPI19" s="53"/>
      <c r="CPJ19" s="53"/>
      <c r="CPK19" s="53"/>
      <c r="CPL19" s="53"/>
      <c r="CPM19" s="53"/>
      <c r="CPN19" s="53"/>
      <c r="CPO19" s="53"/>
      <c r="CPP19" s="53"/>
      <c r="CPQ19" s="53"/>
      <c r="CPR19" s="53"/>
      <c r="CPS19" s="53"/>
      <c r="CPT19" s="53"/>
      <c r="CPU19" s="53"/>
      <c r="CPV19" s="53"/>
      <c r="CPW19" s="53"/>
      <c r="CPX19" s="53"/>
      <c r="CPY19" s="53"/>
      <c r="CPZ19" s="53"/>
      <c r="CQA19" s="53"/>
      <c r="CQB19" s="53"/>
      <c r="CQC19" s="53"/>
      <c r="CQD19" s="53"/>
      <c r="CQE19" s="53"/>
      <c r="CQF19" s="53"/>
      <c r="CQG19" s="53"/>
      <c r="CQH19" s="53"/>
      <c r="CQI19" s="53"/>
      <c r="CQJ19" s="53"/>
      <c r="CQK19" s="53"/>
      <c r="CQL19" s="53"/>
      <c r="CQM19" s="53"/>
      <c r="CQN19" s="53"/>
      <c r="CQO19" s="53"/>
      <c r="CQP19" s="53"/>
      <c r="CQQ19" s="53"/>
      <c r="CQR19" s="53"/>
      <c r="CQS19" s="53"/>
      <c r="CQT19" s="53"/>
      <c r="CQU19" s="53"/>
      <c r="CQV19" s="53"/>
      <c r="CQW19" s="53"/>
      <c r="CQX19" s="53"/>
      <c r="CQY19" s="53"/>
      <c r="CQZ19" s="53"/>
      <c r="CRA19" s="53"/>
      <c r="CRB19" s="53"/>
      <c r="CRC19" s="53"/>
      <c r="CRD19" s="53"/>
      <c r="CRE19" s="53"/>
      <c r="CRF19" s="53"/>
      <c r="CRG19" s="53"/>
      <c r="CRH19" s="53"/>
      <c r="CRI19" s="53"/>
      <c r="CRJ19" s="53"/>
      <c r="CRK19" s="53"/>
      <c r="CRL19" s="53"/>
      <c r="CRM19" s="53"/>
      <c r="CRN19" s="53"/>
      <c r="CRO19" s="53"/>
      <c r="CRP19" s="53"/>
      <c r="CRQ19" s="53"/>
      <c r="CRR19" s="53"/>
      <c r="CRS19" s="53"/>
      <c r="CRT19" s="53"/>
      <c r="CRU19" s="53"/>
      <c r="CRV19" s="53"/>
      <c r="CRW19" s="53"/>
      <c r="CRX19" s="53"/>
      <c r="CRY19" s="53"/>
      <c r="CRZ19" s="53"/>
      <c r="CSA19" s="53"/>
      <c r="CSB19" s="53"/>
      <c r="CSC19" s="53"/>
      <c r="CSD19" s="53"/>
      <c r="CSE19" s="53"/>
      <c r="CSF19" s="53"/>
      <c r="CSG19" s="53"/>
      <c r="CSH19" s="53"/>
      <c r="CSI19" s="53"/>
      <c r="CSJ19" s="53"/>
      <c r="CSK19" s="53"/>
      <c r="CSL19" s="53"/>
      <c r="CSM19" s="53"/>
      <c r="CSN19" s="53"/>
      <c r="CSO19" s="53"/>
      <c r="CSP19" s="53"/>
      <c r="CSQ19" s="53"/>
      <c r="CSR19" s="53"/>
      <c r="CSS19" s="53"/>
      <c r="CST19" s="53"/>
      <c r="CSU19" s="53"/>
      <c r="CSV19" s="53"/>
      <c r="CSW19" s="53"/>
      <c r="CSX19" s="53"/>
      <c r="CSY19" s="53"/>
      <c r="CSZ19" s="53"/>
      <c r="CTA19" s="53"/>
      <c r="CTB19" s="53"/>
      <c r="CTC19" s="53"/>
      <c r="CTD19" s="53"/>
      <c r="CTE19" s="53"/>
      <c r="CTF19" s="53"/>
      <c r="CTG19" s="53"/>
      <c r="CTH19" s="53"/>
      <c r="CTI19" s="53"/>
      <c r="CTJ19" s="53"/>
      <c r="CTK19" s="53"/>
      <c r="CTL19" s="53"/>
      <c r="CTM19" s="53"/>
      <c r="CTN19" s="53"/>
      <c r="CTO19" s="53"/>
      <c r="CTP19" s="53"/>
      <c r="CTQ19" s="53"/>
      <c r="CTR19" s="53"/>
      <c r="CTS19" s="53"/>
      <c r="CTT19" s="53"/>
      <c r="CTU19" s="53"/>
      <c r="CTV19" s="53"/>
      <c r="CTW19" s="53"/>
      <c r="CTX19" s="53"/>
      <c r="CTY19" s="53"/>
      <c r="CTZ19" s="53"/>
      <c r="CUA19" s="53"/>
      <c r="CUB19" s="53"/>
      <c r="CUC19" s="53"/>
      <c r="CUD19" s="53"/>
      <c r="CUE19" s="53"/>
      <c r="CUF19" s="53"/>
      <c r="CUG19" s="53"/>
      <c r="CUH19" s="53"/>
      <c r="CUI19" s="53"/>
      <c r="CUJ19" s="53"/>
      <c r="CUK19" s="53"/>
      <c r="CUL19" s="53"/>
      <c r="CUM19" s="53"/>
      <c r="CUN19" s="53"/>
      <c r="CUO19" s="53"/>
      <c r="CUP19" s="53"/>
      <c r="CUQ19" s="53"/>
      <c r="CUR19" s="53"/>
      <c r="CUS19" s="53"/>
      <c r="CUT19" s="53"/>
      <c r="CUU19" s="53"/>
      <c r="CUV19" s="53"/>
      <c r="CUW19" s="53"/>
      <c r="CUX19" s="53"/>
      <c r="CUY19" s="53"/>
      <c r="CUZ19" s="53"/>
      <c r="CVA19" s="53"/>
      <c r="CVB19" s="53"/>
      <c r="CVC19" s="53"/>
      <c r="CVD19" s="53"/>
      <c r="CVE19" s="53"/>
      <c r="CVF19" s="53"/>
      <c r="CVG19" s="53"/>
      <c r="CVH19" s="53"/>
      <c r="CVI19" s="53"/>
      <c r="CVJ19" s="53"/>
      <c r="CVK19" s="53"/>
      <c r="CVL19" s="53"/>
      <c r="CVM19" s="53"/>
      <c r="CVN19" s="53"/>
      <c r="CVO19" s="53"/>
      <c r="CVP19" s="53"/>
      <c r="CVQ19" s="53"/>
      <c r="CVR19" s="53"/>
      <c r="CVS19" s="53"/>
      <c r="CVT19" s="53"/>
      <c r="CVU19" s="53"/>
      <c r="CVV19" s="53"/>
      <c r="CVW19" s="53"/>
      <c r="CVX19" s="53"/>
      <c r="CVY19" s="53"/>
      <c r="CVZ19" s="53"/>
      <c r="CWA19" s="53"/>
      <c r="CWB19" s="53"/>
      <c r="CWC19" s="53"/>
      <c r="CWD19" s="53"/>
      <c r="CWE19" s="53"/>
      <c r="CWF19" s="53"/>
      <c r="CWG19" s="53"/>
      <c r="CWH19" s="53"/>
      <c r="CWI19" s="53"/>
      <c r="CWJ19" s="53"/>
      <c r="CWK19" s="53"/>
      <c r="CWL19" s="53"/>
      <c r="CWM19" s="53"/>
      <c r="CWN19" s="53"/>
      <c r="CWO19" s="53"/>
      <c r="CWP19" s="53"/>
      <c r="CWQ19" s="53"/>
      <c r="CWR19" s="53"/>
      <c r="CWS19" s="53"/>
      <c r="CWT19" s="53"/>
      <c r="CWU19" s="53"/>
      <c r="CWV19" s="53"/>
      <c r="CWW19" s="53"/>
      <c r="CWX19" s="53"/>
      <c r="CWY19" s="53"/>
      <c r="CWZ19" s="53"/>
      <c r="CXA19" s="53"/>
      <c r="CXB19" s="53"/>
      <c r="CXC19" s="53"/>
      <c r="CXD19" s="53"/>
      <c r="CXE19" s="53"/>
      <c r="CXF19" s="53"/>
      <c r="CXG19" s="53"/>
      <c r="CXH19" s="53"/>
      <c r="CXI19" s="53"/>
      <c r="CXJ19" s="53"/>
      <c r="CXK19" s="53"/>
      <c r="CXL19" s="53"/>
      <c r="CXM19" s="53"/>
      <c r="CXN19" s="53"/>
      <c r="CXO19" s="53"/>
      <c r="CXP19" s="53"/>
      <c r="CXQ19" s="53"/>
      <c r="CXR19" s="53"/>
      <c r="CXS19" s="53"/>
      <c r="CXT19" s="53"/>
      <c r="CXU19" s="53"/>
      <c r="CXV19" s="53"/>
      <c r="CXW19" s="53"/>
      <c r="CXX19" s="53"/>
      <c r="CXY19" s="53"/>
      <c r="CXZ19" s="53"/>
      <c r="CYA19" s="53"/>
      <c r="CYB19" s="53"/>
      <c r="CYC19" s="53"/>
      <c r="CYD19" s="53"/>
      <c r="CYE19" s="53"/>
      <c r="CYF19" s="53"/>
      <c r="CYG19" s="53"/>
      <c r="CYH19" s="53"/>
      <c r="CYI19" s="53"/>
      <c r="CYJ19" s="53"/>
      <c r="CYK19" s="53"/>
      <c r="CYL19" s="53"/>
      <c r="CYM19" s="53"/>
      <c r="CYN19" s="53"/>
      <c r="CYO19" s="53"/>
      <c r="CYP19" s="53"/>
      <c r="CYQ19" s="53"/>
      <c r="CYR19" s="53"/>
      <c r="CYS19" s="53"/>
      <c r="CYT19" s="53"/>
      <c r="CYU19" s="53"/>
      <c r="CYV19" s="53"/>
      <c r="CYW19" s="53"/>
      <c r="CYX19" s="53"/>
      <c r="CYY19" s="53"/>
      <c r="CYZ19" s="53"/>
      <c r="CZA19" s="53"/>
      <c r="CZB19" s="53"/>
      <c r="CZC19" s="53"/>
      <c r="CZD19" s="53"/>
      <c r="CZE19" s="53"/>
      <c r="CZF19" s="53"/>
      <c r="CZG19" s="53"/>
      <c r="CZH19" s="53"/>
      <c r="CZI19" s="53"/>
      <c r="CZJ19" s="53"/>
      <c r="CZK19" s="53"/>
      <c r="CZL19" s="53"/>
      <c r="CZM19" s="53"/>
      <c r="CZN19" s="53"/>
      <c r="CZO19" s="53"/>
      <c r="CZP19" s="53"/>
      <c r="CZQ19" s="53"/>
      <c r="CZR19" s="53"/>
      <c r="CZS19" s="53"/>
      <c r="CZT19" s="53"/>
      <c r="CZU19" s="53"/>
      <c r="CZV19" s="53"/>
      <c r="CZW19" s="53"/>
      <c r="CZX19" s="53"/>
      <c r="CZY19" s="53"/>
      <c r="CZZ19" s="53"/>
      <c r="DAA19" s="53"/>
      <c r="DAB19" s="53"/>
      <c r="DAC19" s="53"/>
      <c r="DAD19" s="53"/>
      <c r="DAE19" s="53"/>
      <c r="DAF19" s="53"/>
      <c r="DAG19" s="53"/>
      <c r="DAH19" s="53"/>
      <c r="DAI19" s="53"/>
      <c r="DAJ19" s="53"/>
      <c r="DAK19" s="53"/>
      <c r="DAL19" s="53"/>
      <c r="DAM19" s="53"/>
      <c r="DAN19" s="53"/>
      <c r="DAO19" s="53"/>
      <c r="DAP19" s="53"/>
      <c r="DAQ19" s="53"/>
      <c r="DAR19" s="53"/>
      <c r="DAS19" s="53"/>
      <c r="DAT19" s="53"/>
      <c r="DAU19" s="53"/>
      <c r="DAV19" s="53"/>
      <c r="DAW19" s="53"/>
      <c r="DAX19" s="53"/>
      <c r="DAY19" s="53"/>
      <c r="DAZ19" s="53"/>
      <c r="DBA19" s="53"/>
      <c r="DBB19" s="53"/>
      <c r="DBC19" s="53"/>
      <c r="DBD19" s="53"/>
      <c r="DBE19" s="53"/>
      <c r="DBF19" s="53"/>
      <c r="DBG19" s="53"/>
      <c r="DBH19" s="53"/>
      <c r="DBI19" s="53"/>
      <c r="DBJ19" s="53"/>
      <c r="DBK19" s="53"/>
      <c r="DBL19" s="53"/>
      <c r="DBM19" s="53"/>
      <c r="DBN19" s="53"/>
      <c r="DBO19" s="53"/>
      <c r="DBP19" s="53"/>
      <c r="DBQ19" s="53"/>
      <c r="DBR19" s="53"/>
      <c r="DBS19" s="53"/>
      <c r="DBT19" s="53"/>
      <c r="DBU19" s="53"/>
      <c r="DBV19" s="53"/>
      <c r="DBW19" s="53"/>
      <c r="DBX19" s="53"/>
      <c r="DBY19" s="53"/>
      <c r="DBZ19" s="53"/>
      <c r="DCA19" s="53"/>
      <c r="DCB19" s="53"/>
      <c r="DCC19" s="53"/>
      <c r="DCD19" s="53"/>
      <c r="DCE19" s="53"/>
      <c r="DCF19" s="53"/>
      <c r="DCG19" s="53"/>
      <c r="DCH19" s="53"/>
      <c r="DCI19" s="53"/>
      <c r="DCJ19" s="53"/>
      <c r="DCK19" s="53"/>
      <c r="DCL19" s="53"/>
      <c r="DCM19" s="53"/>
      <c r="DCN19" s="53"/>
      <c r="DCO19" s="53"/>
      <c r="DCP19" s="53"/>
      <c r="DCQ19" s="53"/>
      <c r="DCR19" s="53"/>
      <c r="DCS19" s="53"/>
      <c r="DCT19" s="53"/>
      <c r="DCU19" s="53"/>
      <c r="DCV19" s="53"/>
      <c r="DCW19" s="53"/>
      <c r="DCX19" s="53"/>
      <c r="DCY19" s="53"/>
      <c r="DCZ19" s="53"/>
      <c r="DDA19" s="53"/>
      <c r="DDB19" s="53"/>
      <c r="DDC19" s="53"/>
      <c r="DDD19" s="53"/>
      <c r="DDE19" s="53"/>
      <c r="DDF19" s="53"/>
      <c r="DDG19" s="53"/>
      <c r="DDH19" s="53"/>
      <c r="DDI19" s="53"/>
      <c r="DDJ19" s="53"/>
      <c r="DDK19" s="53"/>
      <c r="DDL19" s="53"/>
      <c r="DDM19" s="53"/>
      <c r="DDN19" s="53"/>
      <c r="DDO19" s="53"/>
      <c r="DDP19" s="53"/>
      <c r="DDQ19" s="53"/>
      <c r="DDR19" s="53"/>
      <c r="DDS19" s="53"/>
      <c r="DDT19" s="53"/>
      <c r="DDU19" s="53"/>
      <c r="DDV19" s="53"/>
      <c r="DDW19" s="53"/>
      <c r="DDX19" s="53"/>
      <c r="DDY19" s="53"/>
      <c r="DDZ19" s="53"/>
      <c r="DEA19" s="53"/>
      <c r="DEB19" s="53"/>
      <c r="DEC19" s="53"/>
      <c r="DED19" s="53"/>
      <c r="DEE19" s="53"/>
      <c r="DEF19" s="53"/>
      <c r="DEG19" s="53"/>
      <c r="DEH19" s="53"/>
      <c r="DEI19" s="53"/>
      <c r="DEJ19" s="53"/>
      <c r="DEK19" s="53"/>
      <c r="DEL19" s="53"/>
      <c r="DEM19" s="53"/>
      <c r="DEN19" s="53"/>
      <c r="DEO19" s="53"/>
      <c r="DEP19" s="53"/>
      <c r="DEQ19" s="53"/>
      <c r="DER19" s="53"/>
      <c r="DES19" s="53"/>
      <c r="DET19" s="53"/>
      <c r="DEU19" s="53"/>
      <c r="DEV19" s="53"/>
      <c r="DEW19" s="53"/>
      <c r="DEX19" s="53"/>
      <c r="DEY19" s="53"/>
      <c r="DEZ19" s="53"/>
      <c r="DFA19" s="53"/>
      <c r="DFB19" s="53"/>
      <c r="DFC19" s="53"/>
      <c r="DFD19" s="53"/>
      <c r="DFE19" s="53"/>
      <c r="DFF19" s="53"/>
      <c r="DFG19" s="53"/>
      <c r="DFH19" s="53"/>
      <c r="DFI19" s="53"/>
      <c r="DFJ19" s="53"/>
      <c r="DFK19" s="53"/>
      <c r="DFL19" s="53"/>
      <c r="DFM19" s="53"/>
      <c r="DFN19" s="53"/>
      <c r="DFO19" s="53"/>
      <c r="DFP19" s="53"/>
      <c r="DFQ19" s="53"/>
      <c r="DFR19" s="53"/>
      <c r="DFS19" s="53"/>
      <c r="DFT19" s="53"/>
      <c r="DFU19" s="53"/>
      <c r="DFV19" s="53"/>
      <c r="DFW19" s="53"/>
      <c r="DFX19" s="53"/>
      <c r="DFY19" s="53"/>
      <c r="DFZ19" s="53"/>
      <c r="DGA19" s="53"/>
      <c r="DGB19" s="53"/>
      <c r="DGC19" s="53"/>
      <c r="DGD19" s="53"/>
      <c r="DGE19" s="53"/>
      <c r="DGF19" s="53"/>
      <c r="DGG19" s="53"/>
      <c r="DGH19" s="53"/>
      <c r="DGI19" s="53"/>
      <c r="DGJ19" s="53"/>
      <c r="DGK19" s="53"/>
      <c r="DGL19" s="53"/>
      <c r="DGM19" s="53"/>
      <c r="DGN19" s="53"/>
      <c r="DGO19" s="53"/>
      <c r="DGP19" s="53"/>
      <c r="DGQ19" s="53"/>
      <c r="DGR19" s="53"/>
      <c r="DGS19" s="53"/>
      <c r="DGT19" s="53"/>
      <c r="DGU19" s="53"/>
      <c r="DGV19" s="53"/>
      <c r="DGW19" s="53"/>
      <c r="DGX19" s="53"/>
      <c r="DGY19" s="53"/>
      <c r="DGZ19" s="53"/>
      <c r="DHA19" s="53"/>
      <c r="DHB19" s="53"/>
      <c r="DHC19" s="53"/>
      <c r="DHD19" s="53"/>
      <c r="DHE19" s="53"/>
      <c r="DHF19" s="53"/>
      <c r="DHG19" s="53"/>
      <c r="DHH19" s="53"/>
      <c r="DHI19" s="53"/>
      <c r="DHJ19" s="53"/>
      <c r="DHK19" s="53"/>
      <c r="DHL19" s="53"/>
      <c r="DHM19" s="53"/>
      <c r="DHN19" s="53"/>
      <c r="DHO19" s="53"/>
      <c r="DHP19" s="53"/>
      <c r="DHQ19" s="53"/>
      <c r="DHR19" s="53"/>
      <c r="DHS19" s="53"/>
      <c r="DHT19" s="53"/>
      <c r="DHU19" s="53"/>
      <c r="DHV19" s="53"/>
      <c r="DHW19" s="53"/>
      <c r="DHX19" s="53"/>
      <c r="DHY19" s="53"/>
      <c r="DHZ19" s="53"/>
      <c r="DIA19" s="53"/>
      <c r="DIB19" s="53"/>
      <c r="DIC19" s="53"/>
      <c r="DID19" s="53"/>
      <c r="DIE19" s="53"/>
      <c r="DIF19" s="53"/>
      <c r="DIG19" s="53"/>
      <c r="DIH19" s="53"/>
      <c r="DII19" s="53"/>
      <c r="DIJ19" s="53"/>
      <c r="DIK19" s="53"/>
      <c r="DIL19" s="53"/>
      <c r="DIM19" s="53"/>
      <c r="DIN19" s="53"/>
      <c r="DIO19" s="53"/>
      <c r="DIP19" s="53"/>
      <c r="DIQ19" s="53"/>
      <c r="DIR19" s="53"/>
      <c r="DIS19" s="53"/>
      <c r="DIT19" s="53"/>
      <c r="DIU19" s="53"/>
      <c r="DIV19" s="53"/>
      <c r="DIW19" s="53"/>
      <c r="DIX19" s="53"/>
      <c r="DIY19" s="53"/>
      <c r="DIZ19" s="53"/>
      <c r="DJA19" s="53"/>
      <c r="DJB19" s="53"/>
      <c r="DJC19" s="53"/>
      <c r="DJD19" s="53"/>
      <c r="DJE19" s="53"/>
      <c r="DJF19" s="53"/>
      <c r="DJG19" s="53"/>
      <c r="DJH19" s="53"/>
      <c r="DJI19" s="53"/>
      <c r="DJJ19" s="53"/>
      <c r="DJK19" s="53"/>
      <c r="DJL19" s="53"/>
      <c r="DJM19" s="53"/>
      <c r="DJN19" s="53"/>
      <c r="DJO19" s="53"/>
      <c r="DJP19" s="53"/>
      <c r="DJQ19" s="53"/>
      <c r="DJR19" s="53"/>
      <c r="DJS19" s="53"/>
      <c r="DJT19" s="53"/>
      <c r="DJU19" s="53"/>
      <c r="DJV19" s="53"/>
      <c r="DJW19" s="53"/>
      <c r="DJX19" s="53"/>
      <c r="DJY19" s="53"/>
      <c r="DJZ19" s="53"/>
      <c r="DKA19" s="53"/>
      <c r="DKB19" s="53"/>
      <c r="DKC19" s="53"/>
      <c r="DKD19" s="53"/>
      <c r="DKE19" s="53"/>
      <c r="DKF19" s="53"/>
      <c r="DKG19" s="53"/>
      <c r="DKH19" s="53"/>
      <c r="DKI19" s="53"/>
      <c r="DKJ19" s="53"/>
      <c r="DKK19" s="53"/>
      <c r="DKL19" s="53"/>
      <c r="DKM19" s="53"/>
      <c r="DKN19" s="53"/>
      <c r="DKO19" s="53"/>
      <c r="DKP19" s="53"/>
      <c r="DKQ19" s="53"/>
      <c r="DKR19" s="53"/>
      <c r="DKS19" s="53"/>
      <c r="DKT19" s="53"/>
      <c r="DKU19" s="53"/>
      <c r="DKV19" s="53"/>
      <c r="DKW19" s="53"/>
      <c r="DKX19" s="53"/>
      <c r="DKY19" s="53"/>
      <c r="DKZ19" s="53"/>
      <c r="DLA19" s="53"/>
      <c r="DLB19" s="53"/>
      <c r="DLC19" s="53"/>
      <c r="DLD19" s="53"/>
      <c r="DLE19" s="53"/>
      <c r="DLF19" s="53"/>
      <c r="DLG19" s="53"/>
      <c r="DLH19" s="53"/>
      <c r="DLI19" s="53"/>
      <c r="DLJ19" s="53"/>
      <c r="DLK19" s="53"/>
      <c r="DLL19" s="53"/>
      <c r="DLM19" s="53"/>
      <c r="DLN19" s="53"/>
      <c r="DLO19" s="53"/>
      <c r="DLP19" s="53"/>
      <c r="DLQ19" s="53"/>
      <c r="DLR19" s="53"/>
      <c r="DLS19" s="53"/>
      <c r="DLT19" s="53"/>
      <c r="DLU19" s="53"/>
      <c r="DLV19" s="53"/>
      <c r="DLW19" s="53"/>
      <c r="DLX19" s="53"/>
      <c r="DLY19" s="53"/>
      <c r="DLZ19" s="53"/>
      <c r="DMA19" s="53"/>
      <c r="DMB19" s="53"/>
      <c r="DMC19" s="53"/>
      <c r="DMD19" s="53"/>
      <c r="DME19" s="53"/>
      <c r="DMF19" s="53"/>
      <c r="DMG19" s="53"/>
      <c r="DMH19" s="53"/>
      <c r="DMI19" s="53"/>
      <c r="DMJ19" s="53"/>
      <c r="DMK19" s="53"/>
      <c r="DML19" s="53"/>
      <c r="DMM19" s="53"/>
      <c r="DMN19" s="53"/>
      <c r="DMO19" s="53"/>
      <c r="DMP19" s="53"/>
      <c r="DMQ19" s="53"/>
      <c r="DMR19" s="53"/>
      <c r="DMS19" s="53"/>
      <c r="DMT19" s="53"/>
      <c r="DMU19" s="53"/>
      <c r="DMV19" s="53"/>
      <c r="DMW19" s="53"/>
      <c r="DMX19" s="53"/>
      <c r="DMY19" s="53"/>
      <c r="DMZ19" s="53"/>
      <c r="DNA19" s="53"/>
      <c r="DNB19" s="53"/>
      <c r="DNC19" s="53"/>
      <c r="DND19" s="53"/>
      <c r="DNE19" s="53"/>
      <c r="DNF19" s="53"/>
      <c r="DNG19" s="53"/>
      <c r="DNH19" s="53"/>
      <c r="DNI19" s="53"/>
      <c r="DNJ19" s="53"/>
      <c r="DNK19" s="53"/>
      <c r="DNL19" s="53"/>
      <c r="DNM19" s="53"/>
      <c r="DNN19" s="53"/>
      <c r="DNO19" s="53"/>
      <c r="DNP19" s="53"/>
      <c r="DNQ19" s="53"/>
      <c r="DNR19" s="53"/>
      <c r="DNS19" s="53"/>
      <c r="DNT19" s="53"/>
      <c r="DNU19" s="53"/>
      <c r="DNV19" s="53"/>
      <c r="DNW19" s="53"/>
      <c r="DNX19" s="53"/>
      <c r="DNY19" s="53"/>
      <c r="DNZ19" s="53"/>
      <c r="DOA19" s="53"/>
      <c r="DOB19" s="53"/>
      <c r="DOC19" s="53"/>
      <c r="DOD19" s="53"/>
      <c r="DOE19" s="53"/>
      <c r="DOF19" s="53"/>
      <c r="DOG19" s="53"/>
      <c r="DOH19" s="53"/>
      <c r="DOI19" s="53"/>
      <c r="DOJ19" s="53"/>
      <c r="DOK19" s="53"/>
      <c r="DOL19" s="53"/>
      <c r="DOM19" s="53"/>
      <c r="DON19" s="53"/>
      <c r="DOO19" s="53"/>
      <c r="DOP19" s="53"/>
      <c r="DOQ19" s="53"/>
      <c r="DOR19" s="53"/>
      <c r="DOS19" s="53"/>
      <c r="DOT19" s="53"/>
      <c r="DOU19" s="53"/>
      <c r="DOV19" s="53"/>
      <c r="DOW19" s="53"/>
      <c r="DOX19" s="53"/>
      <c r="DOY19" s="53"/>
      <c r="DOZ19" s="53"/>
      <c r="DPA19" s="53"/>
      <c r="DPB19" s="53"/>
      <c r="DPC19" s="53"/>
      <c r="DPD19" s="53"/>
      <c r="DPE19" s="53"/>
      <c r="DPF19" s="53"/>
      <c r="DPG19" s="53"/>
      <c r="DPH19" s="53"/>
      <c r="DPI19" s="53"/>
      <c r="DPJ19" s="53"/>
      <c r="DPK19" s="53"/>
      <c r="DPL19" s="53"/>
      <c r="DPM19" s="53"/>
      <c r="DPN19" s="53"/>
      <c r="DPO19" s="53"/>
      <c r="DPP19" s="53"/>
      <c r="DPQ19" s="53"/>
      <c r="DPR19" s="53"/>
      <c r="DPS19" s="53"/>
      <c r="DPT19" s="53"/>
      <c r="DPU19" s="53"/>
      <c r="DPV19" s="53"/>
      <c r="DPW19" s="53"/>
      <c r="DPX19" s="53"/>
      <c r="DPY19" s="53"/>
      <c r="DPZ19" s="53"/>
      <c r="DQA19" s="53"/>
      <c r="DQB19" s="53"/>
      <c r="DQC19" s="53"/>
      <c r="DQD19" s="53"/>
      <c r="DQE19" s="53"/>
      <c r="DQF19" s="53"/>
      <c r="DQG19" s="53"/>
      <c r="DQH19" s="53"/>
      <c r="DQI19" s="53"/>
      <c r="DQJ19" s="53"/>
      <c r="DQK19" s="53"/>
      <c r="DQL19" s="53"/>
      <c r="DQM19" s="53"/>
      <c r="DQN19" s="53"/>
      <c r="DQO19" s="53"/>
      <c r="DQP19" s="53"/>
      <c r="DQQ19" s="53"/>
      <c r="DQR19" s="53"/>
      <c r="DQS19" s="53"/>
      <c r="DQT19" s="53"/>
      <c r="DQU19" s="53"/>
      <c r="DQV19" s="53"/>
      <c r="DQW19" s="53"/>
      <c r="DQX19" s="53"/>
      <c r="DQY19" s="53"/>
      <c r="DQZ19" s="53"/>
      <c r="DRA19" s="53"/>
      <c r="DRB19" s="53"/>
      <c r="DRC19" s="53"/>
      <c r="DRD19" s="53"/>
      <c r="DRE19" s="53"/>
      <c r="DRF19" s="53"/>
      <c r="DRG19" s="53"/>
      <c r="DRH19" s="53"/>
      <c r="DRI19" s="53"/>
      <c r="DRJ19" s="53"/>
      <c r="DRK19" s="53"/>
      <c r="DRL19" s="53"/>
      <c r="DRM19" s="53"/>
      <c r="DRN19" s="53"/>
      <c r="DRO19" s="53"/>
      <c r="DRP19" s="53"/>
      <c r="DRQ19" s="53"/>
      <c r="DRR19" s="53"/>
      <c r="DRS19" s="53"/>
      <c r="DRT19" s="53"/>
      <c r="DRU19" s="53"/>
      <c r="DRV19" s="53"/>
      <c r="DRW19" s="53"/>
      <c r="DRX19" s="53"/>
      <c r="DRY19" s="53"/>
      <c r="DRZ19" s="53"/>
      <c r="DSA19" s="53"/>
      <c r="DSB19" s="53"/>
      <c r="DSC19" s="53"/>
      <c r="DSD19" s="53"/>
      <c r="DSE19" s="53"/>
      <c r="DSF19" s="53"/>
      <c r="DSG19" s="53"/>
      <c r="DSH19" s="53"/>
      <c r="DSI19" s="53"/>
      <c r="DSJ19" s="53"/>
      <c r="DSK19" s="53"/>
      <c r="DSL19" s="53"/>
      <c r="DSM19" s="53"/>
      <c r="DSN19" s="53"/>
      <c r="DSO19" s="53"/>
      <c r="DSP19" s="53"/>
      <c r="DSQ19" s="53"/>
      <c r="DSR19" s="53"/>
      <c r="DSS19" s="53"/>
      <c r="DST19" s="53"/>
      <c r="DSU19" s="53"/>
      <c r="DSV19" s="53"/>
      <c r="DSW19" s="53"/>
      <c r="DSX19" s="53"/>
      <c r="DSY19" s="53"/>
    </row>
    <row r="20" spans="1:3223" s="53" customFormat="1" ht="63" customHeight="1" x14ac:dyDescent="0.2">
      <c r="A20" s="122"/>
      <c r="B20" s="122" t="s">
        <v>273</v>
      </c>
      <c r="C20" s="122" t="s">
        <v>120</v>
      </c>
      <c r="D20" s="123" t="s">
        <v>291</v>
      </c>
      <c r="E20" s="145" t="s">
        <v>159</v>
      </c>
      <c r="F20" s="124">
        <v>15</v>
      </c>
      <c r="G20" s="141">
        <v>178.81533333333334</v>
      </c>
      <c r="H20" s="178">
        <v>2784</v>
      </c>
      <c r="I20" s="179">
        <v>0</v>
      </c>
      <c r="J20" s="178">
        <f>SUM(H20:I20)</f>
        <v>2784</v>
      </c>
      <c r="K20" s="128">
        <f>IF(H20/15&lt;=SMG,0,I20/2)</f>
        <v>0</v>
      </c>
      <c r="L20" s="128">
        <f t="shared" si="25"/>
        <v>2784</v>
      </c>
      <c r="M20" s="128">
        <f>VLOOKUP(L20,Tarifa1,1)</f>
        <v>2699.41</v>
      </c>
      <c r="N20" s="128">
        <f t="shared" si="26"/>
        <v>84.590000000000146</v>
      </c>
      <c r="O20" s="129">
        <f>VLOOKUP(L20,Tarifa1,3)</f>
        <v>0.10879999999999999</v>
      </c>
      <c r="P20" s="128">
        <f t="shared" si="27"/>
        <v>9.2033920000000151</v>
      </c>
      <c r="Q20" s="130">
        <f>VLOOKUP(L20,Tarifa1,2)</f>
        <v>158.55000000000001</v>
      </c>
      <c r="R20" s="128">
        <f t="shared" si="28"/>
        <v>167.75339200000002</v>
      </c>
      <c r="S20" s="128">
        <f>VLOOKUP(L20,Credito1,2)</f>
        <v>145.35</v>
      </c>
      <c r="T20" s="128">
        <f t="shared" si="29"/>
        <v>22.4</v>
      </c>
      <c r="U20" s="178">
        <f>-IF(T20&gt;0,0,T20)</f>
        <v>0</v>
      </c>
      <c r="V20" s="178">
        <f>IF(T20&lt;0,0,T20)</f>
        <v>22.4</v>
      </c>
      <c r="W20" s="180">
        <v>0</v>
      </c>
      <c r="X20" s="178">
        <f t="shared" ref="X20" si="30">SUM(V20:W20)</f>
        <v>22.4</v>
      </c>
      <c r="Y20" s="178">
        <f>J20+U20-X20</f>
        <v>2761.6</v>
      </c>
      <c r="Z20" s="58"/>
    </row>
    <row r="21" spans="1:3223" s="53" customFormat="1" ht="45" customHeight="1" x14ac:dyDescent="0.25">
      <c r="A21" s="176"/>
      <c r="B21" s="167" t="s">
        <v>106</v>
      </c>
      <c r="C21" s="167" t="s">
        <v>129</v>
      </c>
      <c r="D21" s="168" t="s">
        <v>311</v>
      </c>
      <c r="E21" s="169" t="s">
        <v>63</v>
      </c>
      <c r="F21" s="169"/>
      <c r="G21" s="169"/>
      <c r="H21" s="170">
        <f>SUM(H22:H22)</f>
        <v>2399.5</v>
      </c>
      <c r="I21" s="170">
        <f>SUM(I22:I22)</f>
        <v>0</v>
      </c>
      <c r="J21" s="170">
        <f>SUM(J22:J22)</f>
        <v>2399.5</v>
      </c>
      <c r="K21" s="169"/>
      <c r="L21" s="169"/>
      <c r="M21" s="169"/>
      <c r="N21" s="169"/>
      <c r="O21" s="169"/>
      <c r="P21" s="169"/>
      <c r="Q21" s="173"/>
      <c r="R21" s="169"/>
      <c r="S21" s="169"/>
      <c r="T21" s="171"/>
      <c r="U21" s="170">
        <f>SUM(U22:U22)</f>
        <v>20.98</v>
      </c>
      <c r="V21" s="170">
        <f>SUM(V22:V22)</f>
        <v>0</v>
      </c>
      <c r="W21" s="170">
        <f>SUM(W22:W22)</f>
        <v>0</v>
      </c>
      <c r="X21" s="170">
        <f>SUM(X22:X22)</f>
        <v>0</v>
      </c>
      <c r="Y21" s="170">
        <f>SUM(Y22:Y22)</f>
        <v>2420.48</v>
      </c>
      <c r="Z21" s="245"/>
    </row>
    <row r="22" spans="1:3223" s="53" customFormat="1" ht="63" customHeight="1" x14ac:dyDescent="0.2">
      <c r="A22" s="176"/>
      <c r="B22" s="122" t="s">
        <v>312</v>
      </c>
      <c r="C22" s="122" t="s">
        <v>120</v>
      </c>
      <c r="D22" s="123" t="s">
        <v>313</v>
      </c>
      <c r="E22" s="140" t="s">
        <v>314</v>
      </c>
      <c r="F22" s="124">
        <v>15</v>
      </c>
      <c r="G22" s="141">
        <v>73.040000000000006</v>
      </c>
      <c r="H22" s="125">
        <v>2399.5</v>
      </c>
      <c r="I22" s="126">
        <v>0</v>
      </c>
      <c r="J22" s="127">
        <f>SUM(H22:I22)</f>
        <v>2399.5</v>
      </c>
      <c r="K22" s="128">
        <f>IF(H22/15&lt;=SMG,0,I22/2)</f>
        <v>0</v>
      </c>
      <c r="L22" s="128">
        <f t="shared" ref="L22" si="31">H22+K22</f>
        <v>2399.5</v>
      </c>
      <c r="M22" s="128">
        <f>VLOOKUP(L22,Tarifa1,1)</f>
        <v>318.01</v>
      </c>
      <c r="N22" s="128">
        <f t="shared" ref="N22" si="32">L22-M22</f>
        <v>2081.4899999999998</v>
      </c>
      <c r="O22" s="129">
        <f>VLOOKUP(L22,Tarifa1,3)</f>
        <v>6.4000000000000001E-2</v>
      </c>
      <c r="P22" s="128">
        <f t="shared" ref="P22" si="33">N22*O22</f>
        <v>133.21535999999998</v>
      </c>
      <c r="Q22" s="130">
        <f>VLOOKUP(L22,Tarifa1,2)</f>
        <v>6.15</v>
      </c>
      <c r="R22" s="128">
        <f t="shared" ref="R22" si="34">P22+Q22</f>
        <v>139.36535999999998</v>
      </c>
      <c r="S22" s="128">
        <f>VLOOKUP(L22,Credito1,2)</f>
        <v>160.35</v>
      </c>
      <c r="T22" s="128">
        <f t="shared" ref="T22" si="35">ROUND(R22-S22,2)</f>
        <v>-20.98</v>
      </c>
      <c r="U22" s="127">
        <f>-IF(T22&gt;0,0,T22)</f>
        <v>20.98</v>
      </c>
      <c r="V22" s="127">
        <f>IF(T22&lt;0,0,T22)</f>
        <v>0</v>
      </c>
      <c r="W22" s="131">
        <v>0</v>
      </c>
      <c r="X22" s="127">
        <f t="shared" ref="X22" si="36">SUM(V22:W22)</f>
        <v>0</v>
      </c>
      <c r="Y22" s="127">
        <f>J22+U22-X22</f>
        <v>2420.48</v>
      </c>
      <c r="Z22" s="68"/>
    </row>
    <row r="23" spans="1:3223" s="53" customFormat="1" ht="21.75" customHeight="1" x14ac:dyDescent="0.2">
      <c r="A23" s="176"/>
      <c r="B23" s="181"/>
      <c r="C23" s="181"/>
      <c r="D23" s="182"/>
      <c r="E23" s="182"/>
      <c r="F23" s="139"/>
      <c r="G23" s="183"/>
      <c r="H23" s="184"/>
      <c r="I23" s="185"/>
      <c r="J23" s="186"/>
      <c r="K23" s="187"/>
      <c r="L23" s="187"/>
      <c r="M23" s="187"/>
      <c r="N23" s="187"/>
      <c r="O23" s="188"/>
      <c r="P23" s="187"/>
      <c r="Q23" s="187"/>
      <c r="R23" s="187"/>
      <c r="S23" s="187"/>
      <c r="T23" s="187"/>
      <c r="U23" s="186"/>
      <c r="V23" s="186"/>
      <c r="W23" s="189"/>
      <c r="X23" s="186"/>
      <c r="Y23" s="186"/>
      <c r="Z23" s="60"/>
    </row>
    <row r="24" spans="1:3223" s="53" customFormat="1" ht="41.25" customHeight="1" thickBot="1" x14ac:dyDescent="0.3">
      <c r="A24" s="255" t="s">
        <v>45</v>
      </c>
      <c r="B24" s="256"/>
      <c r="C24" s="256"/>
      <c r="D24" s="256"/>
      <c r="E24" s="256"/>
      <c r="F24" s="256"/>
      <c r="G24" s="257"/>
      <c r="H24" s="133">
        <f>H8+H12+H14+H16+H18+H21</f>
        <v>73075.5</v>
      </c>
      <c r="I24" s="133">
        <f>I8+I12+I14+I16+I18+I21</f>
        <v>0</v>
      </c>
      <c r="J24" s="133">
        <f>J8+J12+J14+J16+J18+J21</f>
        <v>73075.5</v>
      </c>
      <c r="K24" s="134">
        <f t="shared" ref="K24:T24" si="37">SUM(K9:K20)</f>
        <v>0</v>
      </c>
      <c r="L24" s="134">
        <f t="shared" si="37"/>
        <v>70676</v>
      </c>
      <c r="M24" s="134">
        <f t="shared" si="37"/>
        <v>54596.03</v>
      </c>
      <c r="N24" s="134">
        <f t="shared" si="37"/>
        <v>16079.970000000001</v>
      </c>
      <c r="O24" s="134">
        <f t="shared" si="37"/>
        <v>1.4440000000000002</v>
      </c>
      <c r="P24" s="134">
        <f t="shared" si="37"/>
        <v>3814.0126799999998</v>
      </c>
      <c r="Q24" s="134">
        <f t="shared" si="37"/>
        <v>6919.8000000000011</v>
      </c>
      <c r="R24" s="134">
        <f t="shared" si="37"/>
        <v>10733.812680000001</v>
      </c>
      <c r="S24" s="134">
        <f t="shared" si="37"/>
        <v>290.7</v>
      </c>
      <c r="T24" s="134">
        <f t="shared" si="37"/>
        <v>10443.109999999999</v>
      </c>
      <c r="U24" s="133">
        <f>U8+U12+U14+U16+U18+U21</f>
        <v>20.98</v>
      </c>
      <c r="V24" s="133">
        <f>V8+V12+V14+V16+V18+V21</f>
        <v>10443.109999999999</v>
      </c>
      <c r="W24" s="133">
        <f>W8+W12+W14+W16+W18+W21</f>
        <v>0</v>
      </c>
      <c r="X24" s="133">
        <f>X8+X12+X14+X16+X18+X21</f>
        <v>10443.109999999999</v>
      </c>
      <c r="Y24" s="133">
        <f>Y8+Y12+Y14+Y16+Y18+Y21</f>
        <v>62653.37</v>
      </c>
    </row>
    <row r="25" spans="1:3223" s="53" customFormat="1" ht="12" customHeight="1" thickTop="1" x14ac:dyDescent="0.2"/>
    <row r="26" spans="1:3223" s="53" customFormat="1" ht="12" customHeight="1" x14ac:dyDescent="0.2"/>
    <row r="27" spans="1:3223" s="53" customFormat="1" ht="12" customHeight="1" x14ac:dyDescent="0.2"/>
    <row r="28" spans="1:3223" s="53" customFormat="1" ht="12" customHeight="1" x14ac:dyDescent="0.2"/>
    <row r="29" spans="1:3223" s="53" customFormat="1" ht="12" customHeight="1" x14ac:dyDescent="0.2"/>
    <row r="30" spans="1:3223" s="53" customFormat="1" ht="12" x14ac:dyDescent="0.2"/>
    <row r="31" spans="1:3223" s="53" customFormat="1" ht="12" x14ac:dyDescent="0.2"/>
    <row r="32" spans="1:3223" s="53" customFormat="1" ht="15" x14ac:dyDescent="0.25">
      <c r="D32" s="102" t="s">
        <v>264</v>
      </c>
      <c r="V32" s="102" t="s">
        <v>167</v>
      </c>
    </row>
    <row r="33" spans="4:38" s="53" customFormat="1" ht="15" x14ac:dyDescent="0.25">
      <c r="D33" s="102" t="s">
        <v>263</v>
      </c>
      <c r="E33" s="62"/>
      <c r="F33" s="62"/>
      <c r="G33" s="62"/>
      <c r="H33" s="62"/>
      <c r="I33" s="62"/>
      <c r="V33" s="102" t="s">
        <v>306</v>
      </c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K33" s="62"/>
      <c r="AL33" s="62"/>
    </row>
    <row r="34" spans="4:38" s="53" customFormat="1" ht="12" x14ac:dyDescent="0.2"/>
    <row r="44" spans="4:38" x14ac:dyDescent="0.2">
      <c r="J44" s="4" t="s">
        <v>307</v>
      </c>
    </row>
  </sheetData>
  <mergeCells count="7">
    <mergeCell ref="A24:G24"/>
    <mergeCell ref="A1:Z1"/>
    <mergeCell ref="A2:Z2"/>
    <mergeCell ref="A3:Z3"/>
    <mergeCell ref="H5:J5"/>
    <mergeCell ref="M5:R5"/>
    <mergeCell ref="V5:X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" xr:uid="{00000000-0002-0000-0100-000000000000}"/>
  </dataValidations>
  <pageMargins left="0.6692913385826772" right="0.19685039370078741" top="0.74803149606299213" bottom="0.35433070866141736" header="0.31496062992125984" footer="0.31496062992125984"/>
  <pageSetup scale="47" orientation="landscape" r:id="rId1"/>
  <ignoredErrors>
    <ignoredError sqref="J15" formulaRange="1"/>
    <ignoredError sqref="B11" numberStoredAsText="1"/>
    <ignoredError sqref="J12 K12:T12 U12:Y12 J14 K14:T14 U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L24"/>
  <sheetViews>
    <sheetView topLeftCell="B2" zoomScaleNormal="100" workbookViewId="0">
      <selection activeCell="E4" sqref="E1:E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6" customWidth="1"/>
    <col min="5" max="5" width="14.8554687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5703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1.42578125" customWidth="1"/>
    <col min="23" max="23" width="9.7109375" customWidth="1"/>
    <col min="24" max="24" width="11.5703125" customWidth="1"/>
    <col min="25" max="25" width="12.7109375" customWidth="1"/>
    <col min="26" max="26" width="58.140625" customWidth="1"/>
  </cols>
  <sheetData>
    <row r="1" spans="1:26" ht="18" x14ac:dyDescent="0.25">
      <c r="A1" s="266" t="s">
        <v>83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</row>
    <row r="2" spans="1:26" ht="18" x14ac:dyDescent="0.25">
      <c r="A2" s="266" t="s">
        <v>67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</row>
    <row r="3" spans="1:26" ht="18" x14ac:dyDescent="0.25">
      <c r="A3" s="267" t="s">
        <v>270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8" t="s">
        <v>1</v>
      </c>
      <c r="I6" s="269"/>
      <c r="J6" s="270"/>
      <c r="K6" s="24" t="s">
        <v>26</v>
      </c>
      <c r="L6" s="25"/>
      <c r="M6" s="271" t="s">
        <v>9</v>
      </c>
      <c r="N6" s="272"/>
      <c r="O6" s="272"/>
      <c r="P6" s="272"/>
      <c r="Q6" s="272"/>
      <c r="R6" s="273"/>
      <c r="S6" s="24" t="s">
        <v>54</v>
      </c>
      <c r="T6" s="24" t="s">
        <v>10</v>
      </c>
      <c r="U6" s="23" t="s">
        <v>54</v>
      </c>
      <c r="V6" s="274" t="s">
        <v>2</v>
      </c>
      <c r="W6" s="275"/>
      <c r="X6" s="276"/>
      <c r="Y6" s="23" t="s">
        <v>0</v>
      </c>
      <c r="Z6" s="34"/>
    </row>
    <row r="7" spans="1:26" ht="22.5" x14ac:dyDescent="0.2">
      <c r="A7" s="26" t="s">
        <v>21</v>
      </c>
      <c r="B7" s="46" t="s">
        <v>106</v>
      </c>
      <c r="C7" s="46" t="s">
        <v>121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60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58</v>
      </c>
      <c r="X7" s="23" t="s">
        <v>7</v>
      </c>
      <c r="Y7" s="26" t="s">
        <v>4</v>
      </c>
      <c r="Z7" s="36" t="s">
        <v>59</v>
      </c>
    </row>
    <row r="8" spans="1:26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61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/>
      <c r="X8" s="26" t="s">
        <v>44</v>
      </c>
      <c r="Y8" s="26" t="s">
        <v>5</v>
      </c>
      <c r="Z8" s="35"/>
    </row>
    <row r="9" spans="1:26" ht="15.75" x14ac:dyDescent="0.25">
      <c r="A9" s="169"/>
      <c r="B9" s="169"/>
      <c r="C9" s="169"/>
      <c r="D9" s="168" t="s">
        <v>81</v>
      </c>
      <c r="E9" s="169" t="s">
        <v>63</v>
      </c>
      <c r="F9" s="169"/>
      <c r="G9" s="16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90"/>
    </row>
    <row r="10" spans="1:26" s="98" customFormat="1" ht="75" customHeight="1" x14ac:dyDescent="0.2">
      <c r="A10" s="191">
        <v>1</v>
      </c>
      <c r="B10" s="192">
        <v>160</v>
      </c>
      <c r="C10" s="147" t="s">
        <v>120</v>
      </c>
      <c r="D10" s="123" t="s">
        <v>165</v>
      </c>
      <c r="E10" s="123" t="s">
        <v>81</v>
      </c>
      <c r="F10" s="193">
        <v>15</v>
      </c>
      <c r="G10" s="194">
        <f>H10/F10</f>
        <v>759.93333333333328</v>
      </c>
      <c r="H10" s="195">
        <v>11399</v>
      </c>
      <c r="I10" s="196">
        <v>0</v>
      </c>
      <c r="J10" s="146">
        <f>SUM(H10:I10)</f>
        <v>11399</v>
      </c>
      <c r="K10" s="128">
        <f>IF(H10/15&lt;=SMG,0,I10/2)</f>
        <v>0</v>
      </c>
      <c r="L10" s="128">
        <f>H10+K10</f>
        <v>11399</v>
      </c>
      <c r="M10" s="128">
        <f>VLOOKUP(L10,Tarifa1,1)</f>
        <v>6602.71</v>
      </c>
      <c r="N10" s="128">
        <f>L10-M10</f>
        <v>4796.29</v>
      </c>
      <c r="O10" s="129">
        <f>VLOOKUP(L10,Tarifa1,3)</f>
        <v>0.21360000000000001</v>
      </c>
      <c r="P10" s="128">
        <f>N10*O10</f>
        <v>1024.4875440000001</v>
      </c>
      <c r="Q10" s="130">
        <f>VLOOKUP(L10,Tarifa1,2)</f>
        <v>699.3</v>
      </c>
      <c r="R10" s="128">
        <f>P10+Q10</f>
        <v>1723.787544</v>
      </c>
      <c r="S10" s="128">
        <f>VLOOKUP(L10,Credito1,2)</f>
        <v>0</v>
      </c>
      <c r="T10" s="128">
        <f>ROUND(R10-S10,2)</f>
        <v>1723.79</v>
      </c>
      <c r="U10" s="127">
        <f>-IF(T10&gt;0,0,T10)</f>
        <v>0</v>
      </c>
      <c r="V10" s="172">
        <f>IF(T10&lt;0,0,T10)</f>
        <v>1723.79</v>
      </c>
      <c r="W10" s="131">
        <v>0</v>
      </c>
      <c r="X10" s="127">
        <f>SUM(V10:W10)</f>
        <v>1723.79</v>
      </c>
      <c r="Y10" s="127">
        <f>J10+U10-X10</f>
        <v>9675.2099999999991</v>
      </c>
      <c r="Z10" s="132"/>
    </row>
    <row r="11" spans="1:26" ht="30" customHeight="1" x14ac:dyDescent="0.25">
      <c r="A11" s="152"/>
      <c r="B11" s="152"/>
      <c r="C11" s="152"/>
      <c r="D11" s="152"/>
      <c r="E11" s="152"/>
      <c r="F11" s="199"/>
      <c r="G11" s="152"/>
      <c r="H11" s="200"/>
      <c r="I11" s="200"/>
      <c r="J11" s="200"/>
      <c r="K11" s="201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202"/>
    </row>
    <row r="12" spans="1:26" ht="40.5" customHeight="1" thickBot="1" x14ac:dyDescent="0.3">
      <c r="A12" s="255" t="s">
        <v>45</v>
      </c>
      <c r="B12" s="256"/>
      <c r="C12" s="256"/>
      <c r="D12" s="256"/>
      <c r="E12" s="256"/>
      <c r="F12" s="256"/>
      <c r="G12" s="257"/>
      <c r="H12" s="133">
        <f t="shared" ref="H12:Y12" si="0">SUM(H10:H11)</f>
        <v>11399</v>
      </c>
      <c r="I12" s="133">
        <f t="shared" si="0"/>
        <v>0</v>
      </c>
      <c r="J12" s="133">
        <f t="shared" si="0"/>
        <v>11399</v>
      </c>
      <c r="K12" s="134">
        <f t="shared" si="0"/>
        <v>0</v>
      </c>
      <c r="L12" s="134">
        <f t="shared" si="0"/>
        <v>11399</v>
      </c>
      <c r="M12" s="134">
        <f t="shared" si="0"/>
        <v>6602.71</v>
      </c>
      <c r="N12" s="134">
        <f t="shared" si="0"/>
        <v>4796.29</v>
      </c>
      <c r="O12" s="134">
        <f t="shared" si="0"/>
        <v>0.21360000000000001</v>
      </c>
      <c r="P12" s="134">
        <f t="shared" si="0"/>
        <v>1024.4875440000001</v>
      </c>
      <c r="Q12" s="134">
        <f t="shared" si="0"/>
        <v>699.3</v>
      </c>
      <c r="R12" s="134">
        <f t="shared" si="0"/>
        <v>1723.787544</v>
      </c>
      <c r="S12" s="134">
        <f t="shared" si="0"/>
        <v>0</v>
      </c>
      <c r="T12" s="134">
        <f t="shared" si="0"/>
        <v>1723.79</v>
      </c>
      <c r="U12" s="133">
        <f t="shared" si="0"/>
        <v>0</v>
      </c>
      <c r="V12" s="133">
        <f t="shared" si="0"/>
        <v>1723.79</v>
      </c>
      <c r="W12" s="133">
        <f t="shared" si="0"/>
        <v>0</v>
      </c>
      <c r="X12" s="133">
        <f t="shared" si="0"/>
        <v>1723.79</v>
      </c>
      <c r="Y12" s="133">
        <f t="shared" si="0"/>
        <v>9675.2099999999991</v>
      </c>
      <c r="Z12" s="202"/>
    </row>
    <row r="13" spans="1:26" ht="13.5" thickTop="1" x14ac:dyDescent="0.2"/>
    <row r="22" spans="4:38" x14ac:dyDescent="0.2">
      <c r="D22" s="4"/>
    </row>
    <row r="23" spans="4:38" ht="15" x14ac:dyDescent="0.25">
      <c r="D23" s="102" t="s">
        <v>264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102" t="s">
        <v>168</v>
      </c>
      <c r="W23" s="98"/>
      <c r="X23" s="98"/>
      <c r="Y23" s="98"/>
    </row>
    <row r="24" spans="4:38" ht="15" x14ac:dyDescent="0.25">
      <c r="D24" s="102" t="s">
        <v>263</v>
      </c>
      <c r="E24" s="102"/>
      <c r="F24" s="102"/>
      <c r="G24" s="102"/>
      <c r="H24" s="102"/>
      <c r="I24" s="102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102" t="s">
        <v>304</v>
      </c>
      <c r="W24" s="98"/>
      <c r="X24" s="102"/>
      <c r="Y24" s="102"/>
      <c r="Z24" s="43"/>
      <c r="AA24" s="43"/>
      <c r="AB24" s="43"/>
      <c r="AC24" s="43"/>
      <c r="AD24" s="43"/>
      <c r="AE24" s="43"/>
      <c r="AF24" s="43"/>
      <c r="AG24" s="43"/>
      <c r="AH24" s="43"/>
      <c r="AK24" s="43"/>
      <c r="AL24" s="43"/>
    </row>
  </sheetData>
  <mergeCells count="7">
    <mergeCell ref="A12:G12"/>
    <mergeCell ref="A1:Z1"/>
    <mergeCell ref="A2:Z2"/>
    <mergeCell ref="A3:Z3"/>
    <mergeCell ref="H6:J6"/>
    <mergeCell ref="M6:R6"/>
    <mergeCell ref="V6:X6"/>
  </mergeCells>
  <pageMargins left="0.62992125984251968" right="0.27559055118110237" top="0.74803149606299213" bottom="0.74803149606299213" header="0.31496062992125984" footer="0.31496062992125984"/>
  <pageSetup scale="52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L26"/>
  <sheetViews>
    <sheetView topLeftCell="B1" zoomScaleNormal="100" workbookViewId="0">
      <selection activeCell="E4" sqref="E1:E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6.28515625" customWidth="1"/>
    <col min="5" max="5" width="22.5703125" customWidth="1"/>
    <col min="6" max="6" width="6.5703125" hidden="1" customWidth="1"/>
    <col min="7" max="7" width="7.285156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42578125" customWidth="1"/>
    <col min="23" max="23" width="11" customWidth="1"/>
    <col min="24" max="24" width="12.5703125" customWidth="1"/>
    <col min="25" max="25" width="12.7109375" customWidth="1"/>
    <col min="26" max="26" width="51.42578125" customWidth="1"/>
  </cols>
  <sheetData>
    <row r="1" spans="1:26" ht="18" x14ac:dyDescent="0.25">
      <c r="A1" s="266" t="s">
        <v>83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</row>
    <row r="2" spans="1:26" ht="18" x14ac:dyDescent="0.25">
      <c r="A2" s="266" t="s">
        <v>67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</row>
    <row r="3" spans="1:26" ht="18" x14ac:dyDescent="0.25">
      <c r="A3" s="267" t="s">
        <v>270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22"/>
      <c r="C6" s="22"/>
      <c r="D6" s="22"/>
      <c r="E6" s="22"/>
      <c r="F6" s="23" t="s">
        <v>23</v>
      </c>
      <c r="G6" s="23" t="s">
        <v>249</v>
      </c>
      <c r="H6" s="268" t="s">
        <v>1</v>
      </c>
      <c r="I6" s="269"/>
      <c r="J6" s="270"/>
      <c r="K6" s="24" t="s">
        <v>26</v>
      </c>
      <c r="L6" s="25"/>
      <c r="M6" s="271" t="s">
        <v>9</v>
      </c>
      <c r="N6" s="272"/>
      <c r="O6" s="272"/>
      <c r="P6" s="272"/>
      <c r="Q6" s="272"/>
      <c r="R6" s="273"/>
      <c r="S6" s="24" t="s">
        <v>30</v>
      </c>
      <c r="T6" s="24" t="s">
        <v>10</v>
      </c>
      <c r="U6" s="23" t="s">
        <v>54</v>
      </c>
      <c r="V6" s="274" t="s">
        <v>2</v>
      </c>
      <c r="W6" s="275"/>
      <c r="X6" s="276"/>
      <c r="Y6" s="23" t="s">
        <v>0</v>
      </c>
      <c r="Z6" s="34"/>
    </row>
    <row r="7" spans="1:26" ht="22.5" x14ac:dyDescent="0.2">
      <c r="A7" s="26" t="s">
        <v>21</v>
      </c>
      <c r="B7" s="46" t="s">
        <v>106</v>
      </c>
      <c r="C7" s="46" t="s">
        <v>121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60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58</v>
      </c>
      <c r="X7" s="23" t="s">
        <v>7</v>
      </c>
      <c r="Y7" s="26" t="s">
        <v>4</v>
      </c>
      <c r="Z7" s="36" t="s">
        <v>59</v>
      </c>
    </row>
    <row r="8" spans="1:26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61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/>
      <c r="X8" s="26" t="s">
        <v>44</v>
      </c>
      <c r="Y8" s="26" t="s">
        <v>5</v>
      </c>
      <c r="Z8" s="35"/>
    </row>
    <row r="9" spans="1:26" ht="47.25" customHeight="1" x14ac:dyDescent="0.25">
      <c r="A9" s="169"/>
      <c r="B9" s="169"/>
      <c r="C9" s="169"/>
      <c r="D9" s="168" t="s">
        <v>203</v>
      </c>
      <c r="E9" s="169" t="s">
        <v>63</v>
      </c>
      <c r="F9" s="149"/>
      <c r="G9" s="169"/>
      <c r="H9" s="150">
        <f>H10</f>
        <v>12048</v>
      </c>
      <c r="I9" s="150">
        <f>I10</f>
        <v>0</v>
      </c>
      <c r="J9" s="150">
        <f>J10</f>
        <v>12048</v>
      </c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50">
        <f>U10</f>
        <v>0</v>
      </c>
      <c r="V9" s="150">
        <f>V10</f>
        <v>1862.41</v>
      </c>
      <c r="W9" s="150">
        <f>W10</f>
        <v>0</v>
      </c>
      <c r="X9" s="150">
        <f>X10</f>
        <v>1862.41</v>
      </c>
      <c r="Y9" s="150">
        <f>Y10</f>
        <v>10185.59</v>
      </c>
      <c r="Z9" s="190"/>
    </row>
    <row r="10" spans="1:26" s="98" customFormat="1" ht="75" customHeight="1" x14ac:dyDescent="0.2">
      <c r="A10" s="191">
        <v>1</v>
      </c>
      <c r="B10" s="192"/>
      <c r="C10" s="147"/>
      <c r="D10" s="123"/>
      <c r="E10" s="140" t="s">
        <v>248</v>
      </c>
      <c r="F10" s="193">
        <v>15</v>
      </c>
      <c r="G10" s="194">
        <f>H10/F10</f>
        <v>803.2</v>
      </c>
      <c r="H10" s="195">
        <v>12048</v>
      </c>
      <c r="I10" s="196">
        <v>0</v>
      </c>
      <c r="J10" s="146">
        <f>SUM(H10:I10)</f>
        <v>12048</v>
      </c>
      <c r="K10" s="128">
        <f>IF(H10/15&lt;=SMG,0,I10/2)</f>
        <v>0</v>
      </c>
      <c r="L10" s="128">
        <f>H10+K10</f>
        <v>12048</v>
      </c>
      <c r="M10" s="128">
        <f>VLOOKUP(L10,Tarifa1,1)</f>
        <v>6602.71</v>
      </c>
      <c r="N10" s="128">
        <f>L10-M10</f>
        <v>5445.29</v>
      </c>
      <c r="O10" s="129">
        <f>VLOOKUP(L10,Tarifa1,3)</f>
        <v>0.21360000000000001</v>
      </c>
      <c r="P10" s="128">
        <f>N10*O10</f>
        <v>1163.1139439999999</v>
      </c>
      <c r="Q10" s="130">
        <f>VLOOKUP(L10,Tarifa1,2)</f>
        <v>699.3</v>
      </c>
      <c r="R10" s="128">
        <f>P10+Q10</f>
        <v>1862.4139439999999</v>
      </c>
      <c r="S10" s="128">
        <f>VLOOKUP(L10,Credito1,2)</f>
        <v>0</v>
      </c>
      <c r="T10" s="128">
        <f>ROUND(R10-S10,2)</f>
        <v>1862.41</v>
      </c>
      <c r="U10" s="146">
        <f>-IF(T10&gt;0,0,T10)</f>
        <v>0</v>
      </c>
      <c r="V10" s="197">
        <f>IF(T10&lt;0,0,T10)</f>
        <v>1862.41</v>
      </c>
      <c r="W10" s="198">
        <v>0</v>
      </c>
      <c r="X10" s="146">
        <f>SUM(V10:W10)</f>
        <v>1862.41</v>
      </c>
      <c r="Y10" s="146">
        <f>J10+U10-X10</f>
        <v>10185.59</v>
      </c>
      <c r="Z10" s="132"/>
    </row>
    <row r="11" spans="1:26" s="98" customFormat="1" ht="75" customHeight="1" x14ac:dyDescent="0.25">
      <c r="A11" s="152"/>
      <c r="B11" s="203" t="s">
        <v>106</v>
      </c>
      <c r="C11" s="203" t="s">
        <v>129</v>
      </c>
      <c r="D11" s="149" t="s">
        <v>131</v>
      </c>
      <c r="E11" s="149" t="s">
        <v>63</v>
      </c>
      <c r="F11" s="149"/>
      <c r="G11" s="149"/>
      <c r="H11" s="150">
        <f>SUM(H12)</f>
        <v>6728.5</v>
      </c>
      <c r="I11" s="150">
        <f>SUM(I12)</f>
        <v>0</v>
      </c>
      <c r="J11" s="150">
        <f>SUM(J12)</f>
        <v>6728.5</v>
      </c>
      <c r="K11" s="149"/>
      <c r="L11" s="149"/>
      <c r="M11" s="149"/>
      <c r="N11" s="149"/>
      <c r="O11" s="149"/>
      <c r="P11" s="149"/>
      <c r="Q11" s="151"/>
      <c r="R11" s="149"/>
      <c r="S11" s="149"/>
      <c r="T11" s="149"/>
      <c r="U11" s="150">
        <f>SUM(U12)</f>
        <v>0</v>
      </c>
      <c r="V11" s="150">
        <f>SUM(V12)</f>
        <v>726.17</v>
      </c>
      <c r="W11" s="150">
        <f>SUM(W12)</f>
        <v>0</v>
      </c>
      <c r="X11" s="150">
        <f>SUM(X12)</f>
        <v>726.17</v>
      </c>
      <c r="Y11" s="150">
        <f>SUM(Y12)</f>
        <v>6002.33</v>
      </c>
      <c r="Z11" s="190"/>
    </row>
    <row r="12" spans="1:26" ht="75" customHeight="1" x14ac:dyDescent="0.2">
      <c r="A12" s="152"/>
      <c r="B12" s="147"/>
      <c r="C12" s="122"/>
      <c r="D12" s="123"/>
      <c r="E12" s="123" t="s">
        <v>260</v>
      </c>
      <c r="F12" s="124">
        <v>10</v>
      </c>
      <c r="G12" s="141">
        <f t="shared" ref="G12" si="0">H12/F12</f>
        <v>672.85</v>
      </c>
      <c r="H12" s="125">
        <v>6728.5</v>
      </c>
      <c r="I12" s="126">
        <v>0</v>
      </c>
      <c r="J12" s="127">
        <f>SUM(H12:I12)</f>
        <v>6728.5</v>
      </c>
      <c r="K12" s="128">
        <f>IF(H12/15&lt;=SMG,0,I12/2)</f>
        <v>0</v>
      </c>
      <c r="L12" s="128">
        <f>H12+K12</f>
        <v>6728.5</v>
      </c>
      <c r="M12" s="128">
        <f>VLOOKUP(L12,Tarifa1,1)</f>
        <v>6602.71</v>
      </c>
      <c r="N12" s="128">
        <f>L12-M12</f>
        <v>125.78999999999996</v>
      </c>
      <c r="O12" s="129">
        <f>VLOOKUP(L12,Tarifa1,3)</f>
        <v>0.21360000000000001</v>
      </c>
      <c r="P12" s="128">
        <f>N12*O12</f>
        <v>26.868743999999992</v>
      </c>
      <c r="Q12" s="130">
        <f>VLOOKUP(L12,Tarifa1,2)</f>
        <v>699.3</v>
      </c>
      <c r="R12" s="128">
        <f>P12+Q12</f>
        <v>726.16874399999995</v>
      </c>
      <c r="S12" s="128">
        <f>VLOOKUP(L12,Credito1,2)</f>
        <v>0</v>
      </c>
      <c r="T12" s="128">
        <f>ROUND(R12-S12,2)</f>
        <v>726.17</v>
      </c>
      <c r="U12" s="127">
        <f>-IF(T12&gt;0,0,T12)</f>
        <v>0</v>
      </c>
      <c r="V12" s="127">
        <f>IF(T12&lt;0,0,T12)</f>
        <v>726.17</v>
      </c>
      <c r="W12" s="131">
        <v>0</v>
      </c>
      <c r="X12" s="127">
        <f>SUM(V12:W12)</f>
        <v>726.17</v>
      </c>
      <c r="Y12" s="127">
        <f>J12+U12-X12</f>
        <v>6002.33</v>
      </c>
      <c r="Z12" s="132"/>
    </row>
    <row r="13" spans="1:26" ht="30" customHeight="1" x14ac:dyDescent="0.2">
      <c r="A13" s="152"/>
      <c r="B13" s="204"/>
      <c r="C13" s="181"/>
      <c r="D13" s="182"/>
      <c r="E13" s="182"/>
      <c r="F13" s="139"/>
      <c r="G13" s="183"/>
      <c r="H13" s="184"/>
      <c r="I13" s="185"/>
      <c r="J13" s="186"/>
      <c r="K13" s="187"/>
      <c r="L13" s="187"/>
      <c r="M13" s="187"/>
      <c r="N13" s="187"/>
      <c r="O13" s="188"/>
      <c r="P13" s="187"/>
      <c r="Q13" s="205"/>
      <c r="R13" s="187"/>
      <c r="S13" s="187"/>
      <c r="T13" s="187"/>
      <c r="U13" s="186"/>
      <c r="V13" s="186"/>
      <c r="W13" s="189"/>
      <c r="X13" s="186"/>
      <c r="Y13" s="186"/>
      <c r="Z13" s="202"/>
    </row>
    <row r="14" spans="1:26" ht="40.5" customHeight="1" thickBot="1" x14ac:dyDescent="0.3">
      <c r="A14" s="255" t="s">
        <v>45</v>
      </c>
      <c r="B14" s="256"/>
      <c r="C14" s="256"/>
      <c r="D14" s="256"/>
      <c r="E14" s="256"/>
      <c r="F14" s="256"/>
      <c r="G14" s="257"/>
      <c r="H14" s="133">
        <f>H9+H11</f>
        <v>18776.5</v>
      </c>
      <c r="I14" s="133">
        <f>I9+I11</f>
        <v>0</v>
      </c>
      <c r="J14" s="133">
        <f>J9+J11</f>
        <v>18776.5</v>
      </c>
      <c r="K14" s="134">
        <f t="shared" ref="K14:T14" si="1">SUM(K10:K12)</f>
        <v>0</v>
      </c>
      <c r="L14" s="134">
        <f t="shared" si="1"/>
        <v>18776.5</v>
      </c>
      <c r="M14" s="134">
        <f t="shared" si="1"/>
        <v>13205.42</v>
      </c>
      <c r="N14" s="134">
        <f t="shared" si="1"/>
        <v>5571.08</v>
      </c>
      <c r="O14" s="134">
        <f t="shared" si="1"/>
        <v>0.42720000000000002</v>
      </c>
      <c r="P14" s="134">
        <f t="shared" si="1"/>
        <v>1189.9826880000001</v>
      </c>
      <c r="Q14" s="134">
        <f t="shared" si="1"/>
        <v>1398.6</v>
      </c>
      <c r="R14" s="134">
        <f t="shared" si="1"/>
        <v>2588.582688</v>
      </c>
      <c r="S14" s="134">
        <f t="shared" si="1"/>
        <v>0</v>
      </c>
      <c r="T14" s="134">
        <f t="shared" si="1"/>
        <v>2588.58</v>
      </c>
      <c r="U14" s="133">
        <f>U9+U11</f>
        <v>0</v>
      </c>
      <c r="V14" s="133">
        <f>V9+V11</f>
        <v>2588.58</v>
      </c>
      <c r="W14" s="133">
        <f>W9+W11</f>
        <v>0</v>
      </c>
      <c r="X14" s="133">
        <f>X9+X11</f>
        <v>2588.58</v>
      </c>
      <c r="Y14" s="133">
        <f>Y9+Y11</f>
        <v>16187.92</v>
      </c>
      <c r="Z14" s="202"/>
    </row>
    <row r="15" spans="1:26" ht="13.5" thickTop="1" x14ac:dyDescent="0.2"/>
    <row r="24" spans="4:38" x14ac:dyDescent="0.2">
      <c r="D24" s="4"/>
    </row>
    <row r="25" spans="4:38" ht="15" x14ac:dyDescent="0.25">
      <c r="D25" s="102" t="s">
        <v>264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102" t="s">
        <v>168</v>
      </c>
      <c r="W25" s="98"/>
    </row>
    <row r="26" spans="4:38" ht="15" x14ac:dyDescent="0.25">
      <c r="D26" s="102" t="s">
        <v>263</v>
      </c>
      <c r="E26" s="102"/>
      <c r="F26" s="102"/>
      <c r="G26" s="102"/>
      <c r="H26" s="102"/>
      <c r="I26" s="102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02" t="s">
        <v>304</v>
      </c>
      <c r="W26" s="98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K26" s="43"/>
      <c r="AL26" s="43"/>
    </row>
  </sheetData>
  <mergeCells count="7">
    <mergeCell ref="A14:G14"/>
    <mergeCell ref="A1:Z1"/>
    <mergeCell ref="A2:Z2"/>
    <mergeCell ref="A3:Z3"/>
    <mergeCell ref="H6:J6"/>
    <mergeCell ref="M6:R6"/>
    <mergeCell ref="V6:X6"/>
  </mergeCells>
  <pageMargins left="0.62992125984251968" right="0.27559055118110237" top="0.74803149606299213" bottom="0.74803149606299213" header="0.31496062992125984" footer="0.31496062992125984"/>
  <pageSetup scale="5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29"/>
  <sheetViews>
    <sheetView topLeftCell="B1" zoomScale="66" zoomScaleNormal="66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2.140625" customWidth="1"/>
    <col min="5" max="5" width="31.5703125" customWidth="1"/>
    <col min="6" max="6" width="6.5703125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0.710937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105.5703125" customWidth="1"/>
    <col min="26" max="26" width="1.42578125" customWidth="1"/>
  </cols>
  <sheetData>
    <row r="1" spans="1:31" ht="18" x14ac:dyDescent="0.25">
      <c r="A1" s="266" t="s">
        <v>83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</row>
    <row r="2" spans="1:31" ht="18" x14ac:dyDescent="0.25">
      <c r="A2" s="266" t="s">
        <v>67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31" ht="18" x14ac:dyDescent="0.25">
      <c r="A3" s="267" t="s">
        <v>270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3" customFormat="1" ht="12.75" customHeight="1" x14ac:dyDescent="0.2">
      <c r="A5" s="49"/>
      <c r="B5" s="49"/>
      <c r="C5" s="277" t="s">
        <v>121</v>
      </c>
      <c r="D5" s="49"/>
      <c r="E5" s="49"/>
      <c r="F5" s="50" t="s">
        <v>23</v>
      </c>
      <c r="G5" s="50" t="s">
        <v>6</v>
      </c>
      <c r="H5" s="280" t="s">
        <v>1</v>
      </c>
      <c r="I5" s="281"/>
      <c r="J5" s="282"/>
      <c r="K5" s="51" t="s">
        <v>26</v>
      </c>
      <c r="L5" s="52"/>
      <c r="M5" s="283" t="s">
        <v>9</v>
      </c>
      <c r="N5" s="284"/>
      <c r="O5" s="284"/>
      <c r="P5" s="284"/>
      <c r="Q5" s="284"/>
      <c r="R5" s="285"/>
      <c r="S5" s="51" t="s">
        <v>30</v>
      </c>
      <c r="T5" s="51" t="s">
        <v>10</v>
      </c>
      <c r="U5" s="50" t="s">
        <v>54</v>
      </c>
      <c r="V5" s="286" t="s">
        <v>2</v>
      </c>
      <c r="W5" s="287"/>
      <c r="X5" s="50" t="s">
        <v>0</v>
      </c>
      <c r="Y5" s="49"/>
    </row>
    <row r="6" spans="1:31" s="53" customFormat="1" ht="24" x14ac:dyDescent="0.2">
      <c r="A6" s="54" t="s">
        <v>21</v>
      </c>
      <c r="B6" s="48" t="s">
        <v>106</v>
      </c>
      <c r="C6" s="278"/>
      <c r="D6" s="54" t="s">
        <v>22</v>
      </c>
      <c r="E6" s="54"/>
      <c r="F6" s="55" t="s">
        <v>24</v>
      </c>
      <c r="G6" s="54" t="s">
        <v>25</v>
      </c>
      <c r="H6" s="50" t="s">
        <v>6</v>
      </c>
      <c r="I6" s="50" t="s">
        <v>60</v>
      </c>
      <c r="J6" s="50" t="s">
        <v>28</v>
      </c>
      <c r="K6" s="56" t="s">
        <v>27</v>
      </c>
      <c r="L6" s="52" t="s">
        <v>32</v>
      </c>
      <c r="M6" s="52" t="s">
        <v>12</v>
      </c>
      <c r="N6" s="52" t="s">
        <v>34</v>
      </c>
      <c r="O6" s="52" t="s">
        <v>36</v>
      </c>
      <c r="P6" s="52" t="s">
        <v>37</v>
      </c>
      <c r="Q6" s="52" t="s">
        <v>14</v>
      </c>
      <c r="R6" s="52" t="s">
        <v>10</v>
      </c>
      <c r="S6" s="56" t="s">
        <v>40</v>
      </c>
      <c r="T6" s="56" t="s">
        <v>41</v>
      </c>
      <c r="U6" s="54" t="s">
        <v>31</v>
      </c>
      <c r="V6" s="50" t="s">
        <v>3</v>
      </c>
      <c r="W6" s="50" t="s">
        <v>7</v>
      </c>
      <c r="X6" s="54" t="s">
        <v>4</v>
      </c>
      <c r="Y6" s="54" t="s">
        <v>59</v>
      </c>
    </row>
    <row r="7" spans="1:31" s="53" customFormat="1" ht="12" x14ac:dyDescent="0.2">
      <c r="A7" s="63"/>
      <c r="B7" s="63"/>
      <c r="C7" s="279"/>
      <c r="D7" s="63"/>
      <c r="E7" s="63"/>
      <c r="F7" s="63"/>
      <c r="G7" s="63"/>
      <c r="H7" s="63" t="s">
        <v>47</v>
      </c>
      <c r="I7" s="63" t="s">
        <v>61</v>
      </c>
      <c r="J7" s="63" t="s">
        <v>29</v>
      </c>
      <c r="K7" s="64" t="s">
        <v>43</v>
      </c>
      <c r="L7" s="51" t="s">
        <v>33</v>
      </c>
      <c r="M7" s="51" t="s">
        <v>13</v>
      </c>
      <c r="N7" s="51" t="s">
        <v>35</v>
      </c>
      <c r="O7" s="51" t="s">
        <v>35</v>
      </c>
      <c r="P7" s="51" t="s">
        <v>38</v>
      </c>
      <c r="Q7" s="51" t="s">
        <v>15</v>
      </c>
      <c r="R7" s="51" t="s">
        <v>39</v>
      </c>
      <c r="S7" s="56" t="s">
        <v>19</v>
      </c>
      <c r="T7" s="57" t="s">
        <v>130</v>
      </c>
      <c r="U7" s="63" t="s">
        <v>53</v>
      </c>
      <c r="V7" s="63"/>
      <c r="W7" s="63" t="s">
        <v>44</v>
      </c>
      <c r="X7" s="63" t="s">
        <v>5</v>
      </c>
      <c r="Y7" s="59"/>
    </row>
    <row r="8" spans="1:31" s="53" customFormat="1" ht="15.75" x14ac:dyDescent="0.25">
      <c r="A8" s="65"/>
      <c r="B8" s="169"/>
      <c r="C8" s="169"/>
      <c r="D8" s="168" t="s">
        <v>73</v>
      </c>
      <c r="E8" s="169" t="s">
        <v>63</v>
      </c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71"/>
      <c r="U8" s="169"/>
      <c r="V8" s="169"/>
      <c r="W8" s="169"/>
      <c r="X8" s="169"/>
      <c r="Y8" s="66"/>
    </row>
    <row r="9" spans="1:31" s="98" customFormat="1" ht="95.1" customHeight="1" x14ac:dyDescent="0.25">
      <c r="A9" s="135" t="s">
        <v>90</v>
      </c>
      <c r="B9" s="147" t="s">
        <v>198</v>
      </c>
      <c r="C9" s="122" t="s">
        <v>120</v>
      </c>
      <c r="D9" s="123" t="s">
        <v>195</v>
      </c>
      <c r="E9" s="140" t="s">
        <v>235</v>
      </c>
      <c r="F9" s="124">
        <v>15</v>
      </c>
      <c r="G9" s="141">
        <f t="shared" ref="G9:G10" si="0">H9/F9</f>
        <v>647.79999999999995</v>
      </c>
      <c r="H9" s="125">
        <v>9717</v>
      </c>
      <c r="I9" s="126">
        <v>0</v>
      </c>
      <c r="J9" s="127">
        <f t="shared" ref="J9" si="1">SUM(H9:I9)</f>
        <v>9717</v>
      </c>
      <c r="K9" s="128">
        <f t="shared" ref="K9:K16" si="2">IF(H9/15&lt;=SMG,0,I9/2)</f>
        <v>0</v>
      </c>
      <c r="L9" s="128">
        <f>H9+K9</f>
        <v>9717</v>
      </c>
      <c r="M9" s="128">
        <f t="shared" ref="M9:M16" si="3">VLOOKUP(L9,Tarifa1,1)</f>
        <v>6602.71</v>
      </c>
      <c r="N9" s="128">
        <f>L9-M9</f>
        <v>3114.29</v>
      </c>
      <c r="O9" s="129">
        <f t="shared" ref="O9:O16" si="4">VLOOKUP(L9,Tarifa1,3)</f>
        <v>0.21360000000000001</v>
      </c>
      <c r="P9" s="128">
        <f>N9*O9</f>
        <v>665.21234400000003</v>
      </c>
      <c r="Q9" s="130">
        <f t="shared" ref="Q9:Q16" si="5">VLOOKUP(L9,Tarifa1,2)</f>
        <v>699.3</v>
      </c>
      <c r="R9" s="128">
        <f>P9+Q9</f>
        <v>1364.512344</v>
      </c>
      <c r="S9" s="144">
        <f t="shared" ref="S9:S16" si="6">VLOOKUP(L9,Credito1,2)</f>
        <v>0</v>
      </c>
      <c r="T9" s="128">
        <f>ROUND(R9-S9,2)</f>
        <v>1364.51</v>
      </c>
      <c r="U9" s="127">
        <f t="shared" ref="U9" si="7">-IF(T9&gt;0,0,T9)</f>
        <v>0</v>
      </c>
      <c r="V9" s="127">
        <f t="shared" ref="V9" si="8">IF(T9&lt;0,0,T9)</f>
        <v>1364.51</v>
      </c>
      <c r="W9" s="127">
        <f>SUM(V9:V9)</f>
        <v>1364.51</v>
      </c>
      <c r="X9" s="127">
        <f>J9+U9-W9</f>
        <v>8352.49</v>
      </c>
      <c r="Y9" s="136"/>
      <c r="Z9" s="100"/>
      <c r="AE9" s="101"/>
    </row>
    <row r="10" spans="1:31" s="98" customFormat="1" ht="95.1" customHeight="1" x14ac:dyDescent="0.25">
      <c r="A10" s="135" t="s">
        <v>92</v>
      </c>
      <c r="B10" s="122" t="s">
        <v>175</v>
      </c>
      <c r="C10" s="122" t="s">
        <v>120</v>
      </c>
      <c r="D10" s="123" t="s">
        <v>149</v>
      </c>
      <c r="E10" s="140" t="s">
        <v>151</v>
      </c>
      <c r="F10" s="124">
        <v>15</v>
      </c>
      <c r="G10" s="141">
        <f t="shared" si="0"/>
        <v>438.66666666666669</v>
      </c>
      <c r="H10" s="125">
        <v>6580</v>
      </c>
      <c r="I10" s="126">
        <v>0</v>
      </c>
      <c r="J10" s="127">
        <f>SUM(H10:I10)</f>
        <v>6580</v>
      </c>
      <c r="K10" s="128">
        <f t="shared" si="2"/>
        <v>0</v>
      </c>
      <c r="L10" s="128">
        <f t="shared" ref="L10:L16" si="9">H10+K10</f>
        <v>6580</v>
      </c>
      <c r="M10" s="128">
        <f t="shared" si="3"/>
        <v>5514.76</v>
      </c>
      <c r="N10" s="128">
        <f t="shared" ref="N10:N16" si="10">L10-M10</f>
        <v>1065.2399999999998</v>
      </c>
      <c r="O10" s="129">
        <f t="shared" si="4"/>
        <v>0.1792</v>
      </c>
      <c r="P10" s="128">
        <f t="shared" ref="P10:P16" si="11">N10*O10</f>
        <v>190.89100799999997</v>
      </c>
      <c r="Q10" s="130">
        <f t="shared" si="5"/>
        <v>504.3</v>
      </c>
      <c r="R10" s="128">
        <f t="shared" ref="R10:R16" si="12">P10+Q10</f>
        <v>695.19100800000001</v>
      </c>
      <c r="S10" s="144">
        <f t="shared" si="6"/>
        <v>0</v>
      </c>
      <c r="T10" s="128">
        <f t="shared" ref="T10:T16" si="13">ROUND(R10-S10,2)</f>
        <v>695.19</v>
      </c>
      <c r="U10" s="127">
        <f t="shared" ref="U10" si="14">-IF(T10&gt;0,0,T10)</f>
        <v>0</v>
      </c>
      <c r="V10" s="127">
        <f t="shared" ref="V10" si="15">IF(T10&lt;0,0,T10)</f>
        <v>695.19</v>
      </c>
      <c r="W10" s="127">
        <f>SUM(V10:V10)</f>
        <v>695.19</v>
      </c>
      <c r="X10" s="127">
        <f>J10+U10-W10</f>
        <v>5884.8099999999995</v>
      </c>
      <c r="Y10" s="136"/>
    </row>
    <row r="11" spans="1:31" s="98" customFormat="1" ht="95.1" customHeight="1" x14ac:dyDescent="0.25">
      <c r="A11" s="135"/>
      <c r="B11" s="122" t="s">
        <v>209</v>
      </c>
      <c r="C11" s="122" t="s">
        <v>120</v>
      </c>
      <c r="D11" s="206" t="s">
        <v>208</v>
      </c>
      <c r="E11" s="140" t="s">
        <v>71</v>
      </c>
      <c r="F11" s="124">
        <v>14</v>
      </c>
      <c r="G11" s="141"/>
      <c r="H11" s="125">
        <v>5463.11</v>
      </c>
      <c r="I11" s="126">
        <v>0</v>
      </c>
      <c r="J11" s="125">
        <f>H11</f>
        <v>5463.11</v>
      </c>
      <c r="K11" s="128">
        <f t="shared" si="2"/>
        <v>0</v>
      </c>
      <c r="L11" s="128">
        <f t="shared" si="9"/>
        <v>5463.11</v>
      </c>
      <c r="M11" s="128">
        <f t="shared" si="3"/>
        <v>4744.0600000000004</v>
      </c>
      <c r="N11" s="128">
        <f t="shared" si="10"/>
        <v>719.04999999999927</v>
      </c>
      <c r="O11" s="129">
        <f t="shared" si="4"/>
        <v>0.16</v>
      </c>
      <c r="P11" s="128">
        <f t="shared" si="11"/>
        <v>115.04799999999989</v>
      </c>
      <c r="Q11" s="130">
        <f t="shared" si="5"/>
        <v>381</v>
      </c>
      <c r="R11" s="128">
        <f t="shared" si="12"/>
        <v>496.04799999999989</v>
      </c>
      <c r="S11" s="144">
        <f t="shared" si="6"/>
        <v>0</v>
      </c>
      <c r="T11" s="128">
        <f t="shared" si="13"/>
        <v>496.05</v>
      </c>
      <c r="U11" s="127">
        <f>-IF(T11&gt;0,0,T11)</f>
        <v>0</v>
      </c>
      <c r="V11" s="127">
        <f>IF(T11&lt;0,0,T11)</f>
        <v>496.05</v>
      </c>
      <c r="W11" s="127">
        <f>SUM(V11:V11)</f>
        <v>496.05</v>
      </c>
      <c r="X11" s="127">
        <f>J11+U11-W11+I11</f>
        <v>4967.0599999999995</v>
      </c>
      <c r="Y11" s="136"/>
      <c r="AE11" s="101"/>
    </row>
    <row r="12" spans="1:31" s="98" customFormat="1" ht="95.1" customHeight="1" x14ac:dyDescent="0.25">
      <c r="A12" s="135"/>
      <c r="B12" s="122" t="s">
        <v>225</v>
      </c>
      <c r="C12" s="122" t="s">
        <v>166</v>
      </c>
      <c r="D12" s="206" t="s">
        <v>224</v>
      </c>
      <c r="E12" s="140" t="s">
        <v>71</v>
      </c>
      <c r="F12" s="124">
        <v>12</v>
      </c>
      <c r="G12" s="141"/>
      <c r="H12" s="125">
        <v>4625.6000000000004</v>
      </c>
      <c r="I12" s="126">
        <v>0</v>
      </c>
      <c r="J12" s="125">
        <f>H12</f>
        <v>4625.6000000000004</v>
      </c>
      <c r="K12" s="128">
        <f t="shared" si="2"/>
        <v>0</v>
      </c>
      <c r="L12" s="128">
        <f t="shared" si="9"/>
        <v>4625.6000000000004</v>
      </c>
      <c r="M12" s="128">
        <f t="shared" si="3"/>
        <v>2699.41</v>
      </c>
      <c r="N12" s="128">
        <f t="shared" si="10"/>
        <v>1926.1900000000005</v>
      </c>
      <c r="O12" s="129">
        <f t="shared" si="4"/>
        <v>0.10879999999999999</v>
      </c>
      <c r="P12" s="128">
        <f t="shared" si="11"/>
        <v>209.56947200000005</v>
      </c>
      <c r="Q12" s="130">
        <f t="shared" si="5"/>
        <v>158.55000000000001</v>
      </c>
      <c r="R12" s="128">
        <f t="shared" si="12"/>
        <v>368.11947200000009</v>
      </c>
      <c r="S12" s="144">
        <f t="shared" si="6"/>
        <v>0</v>
      </c>
      <c r="T12" s="128">
        <f t="shared" si="13"/>
        <v>368.12</v>
      </c>
      <c r="U12" s="127">
        <f t="shared" ref="U12" si="16">-IF(T12&gt;0,0,T12)</f>
        <v>0</v>
      </c>
      <c r="V12" s="127">
        <f t="shared" ref="V12" si="17">IF(T12&lt;0,0,T12)</f>
        <v>368.12</v>
      </c>
      <c r="W12" s="127">
        <f>SUM(V12:V12)</f>
        <v>368.12</v>
      </c>
      <c r="X12" s="127">
        <f>J12+U12-W12+I12</f>
        <v>4257.4800000000005</v>
      </c>
      <c r="Y12" s="136"/>
      <c r="AE12" s="101"/>
    </row>
    <row r="13" spans="1:31" s="98" customFormat="1" ht="95.1" customHeight="1" x14ac:dyDescent="0.25">
      <c r="A13" s="135"/>
      <c r="B13" s="147" t="s">
        <v>230</v>
      </c>
      <c r="C13" s="122" t="s">
        <v>120</v>
      </c>
      <c r="D13" s="140" t="s">
        <v>223</v>
      </c>
      <c r="E13" s="140" t="s">
        <v>71</v>
      </c>
      <c r="F13" s="124">
        <v>13</v>
      </c>
      <c r="G13" s="141"/>
      <c r="H13" s="125">
        <v>5040.74</v>
      </c>
      <c r="I13" s="126">
        <v>0</v>
      </c>
      <c r="J13" s="125">
        <f>H13</f>
        <v>5040.74</v>
      </c>
      <c r="K13" s="128">
        <f t="shared" si="2"/>
        <v>0</v>
      </c>
      <c r="L13" s="128">
        <f t="shared" si="9"/>
        <v>5040.74</v>
      </c>
      <c r="M13" s="128">
        <f t="shared" si="3"/>
        <v>4744.0600000000004</v>
      </c>
      <c r="N13" s="128">
        <f t="shared" si="10"/>
        <v>296.67999999999938</v>
      </c>
      <c r="O13" s="129">
        <f t="shared" si="4"/>
        <v>0.16</v>
      </c>
      <c r="P13" s="128">
        <f t="shared" si="11"/>
        <v>47.468799999999902</v>
      </c>
      <c r="Q13" s="130">
        <f t="shared" si="5"/>
        <v>381</v>
      </c>
      <c r="R13" s="128">
        <f t="shared" si="12"/>
        <v>428.46879999999987</v>
      </c>
      <c r="S13" s="144">
        <f t="shared" si="6"/>
        <v>0</v>
      </c>
      <c r="T13" s="128">
        <f t="shared" si="13"/>
        <v>428.47</v>
      </c>
      <c r="U13" s="127">
        <f t="shared" ref="U13" si="18">-IF(T13&gt;0,0,T13)</f>
        <v>0</v>
      </c>
      <c r="V13" s="127">
        <f t="shared" ref="V13" si="19">IF(T13&lt;0,0,T13)</f>
        <v>428.47</v>
      </c>
      <c r="W13" s="127">
        <f>SUM(V13:V13)</f>
        <v>428.47</v>
      </c>
      <c r="X13" s="127">
        <f>J13+U13-W13+I13</f>
        <v>4612.2699999999995</v>
      </c>
      <c r="Y13" s="136"/>
      <c r="AE13" s="101"/>
    </row>
    <row r="14" spans="1:31" s="98" customFormat="1" ht="95.1" customHeight="1" x14ac:dyDescent="0.25">
      <c r="A14" s="135"/>
      <c r="B14" s="122" t="s">
        <v>118</v>
      </c>
      <c r="C14" s="122" t="s">
        <v>120</v>
      </c>
      <c r="D14" s="123" t="s">
        <v>72</v>
      </c>
      <c r="E14" s="140" t="s">
        <v>150</v>
      </c>
      <c r="F14" s="124">
        <v>15</v>
      </c>
      <c r="G14" s="141">
        <f>H14/F14</f>
        <v>537.4</v>
      </c>
      <c r="H14" s="125">
        <v>8061</v>
      </c>
      <c r="I14" s="126">
        <v>0</v>
      </c>
      <c r="J14" s="127">
        <f>SUM(H14:I14)</f>
        <v>8061</v>
      </c>
      <c r="K14" s="128">
        <f t="shared" si="2"/>
        <v>0</v>
      </c>
      <c r="L14" s="128">
        <f t="shared" si="9"/>
        <v>8061</v>
      </c>
      <c r="M14" s="128">
        <f t="shared" si="3"/>
        <v>6602.71</v>
      </c>
      <c r="N14" s="128">
        <f t="shared" si="10"/>
        <v>1458.29</v>
      </c>
      <c r="O14" s="129">
        <f t="shared" si="4"/>
        <v>0.21360000000000001</v>
      </c>
      <c r="P14" s="128">
        <f t="shared" si="11"/>
        <v>311.49074400000001</v>
      </c>
      <c r="Q14" s="130">
        <f t="shared" si="5"/>
        <v>699.3</v>
      </c>
      <c r="R14" s="128">
        <f t="shared" si="12"/>
        <v>1010.7907439999999</v>
      </c>
      <c r="S14" s="144">
        <f t="shared" si="6"/>
        <v>0</v>
      </c>
      <c r="T14" s="128">
        <f t="shared" si="13"/>
        <v>1010.79</v>
      </c>
      <c r="U14" s="127">
        <f t="shared" ref="U14:U19" si="20">-IF(T14&gt;0,0,T14)</f>
        <v>0</v>
      </c>
      <c r="V14" s="127">
        <f>IF(T14&lt;0,0,T14)</f>
        <v>1010.79</v>
      </c>
      <c r="W14" s="127">
        <f>SUM(V14:V14)</f>
        <v>1010.79</v>
      </c>
      <c r="X14" s="127">
        <f>J14+U14-W14</f>
        <v>7050.21</v>
      </c>
      <c r="Y14" s="136"/>
      <c r="AE14" s="101"/>
    </row>
    <row r="15" spans="1:31" s="98" customFormat="1" ht="95.1" customHeight="1" x14ac:dyDescent="0.25">
      <c r="A15" s="135"/>
      <c r="B15" s="122" t="s">
        <v>236</v>
      </c>
      <c r="C15" s="122" t="s">
        <v>120</v>
      </c>
      <c r="D15" s="123" t="s">
        <v>237</v>
      </c>
      <c r="E15" s="140" t="s">
        <v>150</v>
      </c>
      <c r="F15" s="124">
        <v>15</v>
      </c>
      <c r="G15" s="141">
        <f t="shared" ref="G15" si="21">H15/F15</f>
        <v>537.4</v>
      </c>
      <c r="H15" s="125">
        <v>8061</v>
      </c>
      <c r="I15" s="126">
        <v>0</v>
      </c>
      <c r="J15" s="127">
        <f t="shared" ref="J15" si="22">SUM(H15:I15)</f>
        <v>8061</v>
      </c>
      <c r="K15" s="128">
        <f t="shared" si="2"/>
        <v>0</v>
      </c>
      <c r="L15" s="128">
        <f t="shared" si="9"/>
        <v>8061</v>
      </c>
      <c r="M15" s="128">
        <f t="shared" si="3"/>
        <v>6602.71</v>
      </c>
      <c r="N15" s="128">
        <f t="shared" si="10"/>
        <v>1458.29</v>
      </c>
      <c r="O15" s="129">
        <f t="shared" si="4"/>
        <v>0.21360000000000001</v>
      </c>
      <c r="P15" s="128">
        <f t="shared" si="11"/>
        <v>311.49074400000001</v>
      </c>
      <c r="Q15" s="130">
        <f t="shared" si="5"/>
        <v>699.3</v>
      </c>
      <c r="R15" s="128">
        <f t="shared" si="12"/>
        <v>1010.7907439999999</v>
      </c>
      <c r="S15" s="144">
        <f t="shared" si="6"/>
        <v>0</v>
      </c>
      <c r="T15" s="128">
        <f t="shared" si="13"/>
        <v>1010.79</v>
      </c>
      <c r="U15" s="127">
        <f t="shared" si="20"/>
        <v>0</v>
      </c>
      <c r="V15" s="127">
        <f>IF(T15&lt;0,0,T15)</f>
        <v>1010.79</v>
      </c>
      <c r="W15" s="127">
        <f>SUM(V15:V15)</f>
        <v>1010.79</v>
      </c>
      <c r="X15" s="127">
        <f>J15+U15-W15</f>
        <v>7050.21</v>
      </c>
      <c r="Y15" s="136"/>
      <c r="AE15" s="101"/>
    </row>
    <row r="16" spans="1:31" s="98" customFormat="1" ht="95.1" customHeight="1" x14ac:dyDescent="0.25">
      <c r="A16" s="135"/>
      <c r="B16" s="122" t="s">
        <v>228</v>
      </c>
      <c r="C16" s="122" t="s">
        <v>120</v>
      </c>
      <c r="D16" s="206" t="s">
        <v>229</v>
      </c>
      <c r="E16" s="140" t="s">
        <v>184</v>
      </c>
      <c r="F16" s="124">
        <v>15</v>
      </c>
      <c r="G16" s="141"/>
      <c r="H16" s="125">
        <v>6450</v>
      </c>
      <c r="I16" s="126">
        <v>0</v>
      </c>
      <c r="J16" s="127">
        <f>SUM(H16:I16)</f>
        <v>6450</v>
      </c>
      <c r="K16" s="128">
        <f t="shared" si="2"/>
        <v>0</v>
      </c>
      <c r="L16" s="128">
        <f t="shared" si="9"/>
        <v>6450</v>
      </c>
      <c r="M16" s="128">
        <f t="shared" si="3"/>
        <v>5514.76</v>
      </c>
      <c r="N16" s="128">
        <f t="shared" si="10"/>
        <v>935.23999999999978</v>
      </c>
      <c r="O16" s="129">
        <f t="shared" si="4"/>
        <v>0.1792</v>
      </c>
      <c r="P16" s="128">
        <f t="shared" si="11"/>
        <v>167.59500799999995</v>
      </c>
      <c r="Q16" s="130">
        <f t="shared" si="5"/>
        <v>504.3</v>
      </c>
      <c r="R16" s="128">
        <f t="shared" si="12"/>
        <v>671.89500799999996</v>
      </c>
      <c r="S16" s="144">
        <f t="shared" si="6"/>
        <v>0</v>
      </c>
      <c r="T16" s="128">
        <f t="shared" si="13"/>
        <v>671.9</v>
      </c>
      <c r="U16" s="127">
        <f t="shared" si="20"/>
        <v>0</v>
      </c>
      <c r="V16" s="127">
        <f>IF(T16&lt;0,0,T16)</f>
        <v>671.9</v>
      </c>
      <c r="W16" s="127">
        <f>SUM(V16:V16)</f>
        <v>671.9</v>
      </c>
      <c r="X16" s="127">
        <f>J16+U16-W16</f>
        <v>5778.1</v>
      </c>
      <c r="Y16" s="136"/>
      <c r="AE16" s="101"/>
    </row>
    <row r="17" spans="1:31" s="98" customFormat="1" ht="94.5" customHeight="1" x14ac:dyDescent="0.25">
      <c r="A17" s="207"/>
      <c r="B17" s="122" t="s">
        <v>197</v>
      </c>
      <c r="C17" s="122" t="s">
        <v>120</v>
      </c>
      <c r="D17" s="206" t="s">
        <v>189</v>
      </c>
      <c r="E17" s="140" t="s">
        <v>184</v>
      </c>
      <c r="F17" s="124">
        <v>15</v>
      </c>
      <c r="G17" s="141"/>
      <c r="H17" s="125">
        <v>8061</v>
      </c>
      <c r="I17" s="126">
        <v>0</v>
      </c>
      <c r="J17" s="127">
        <f t="shared" ref="J17:J18" si="23">SUM(H17:I17)</f>
        <v>8061</v>
      </c>
      <c r="K17" s="128">
        <f t="shared" ref="K17:K18" si="24">IF(H17/15&lt;=SMG,0,I17/2)</f>
        <v>0</v>
      </c>
      <c r="L17" s="128">
        <f t="shared" ref="L17:L18" si="25">H17+K17</f>
        <v>8061</v>
      </c>
      <c r="M17" s="128">
        <f t="shared" ref="M17:M18" si="26">VLOOKUP(L17,Tarifa1,1)</f>
        <v>6602.71</v>
      </c>
      <c r="N17" s="128">
        <f t="shared" ref="N17:N18" si="27">L17-M17</f>
        <v>1458.29</v>
      </c>
      <c r="O17" s="129">
        <f t="shared" ref="O17:O18" si="28">VLOOKUP(L17,Tarifa1,3)</f>
        <v>0.21360000000000001</v>
      </c>
      <c r="P17" s="128">
        <f t="shared" ref="P17:P18" si="29">N17*O17</f>
        <v>311.49074400000001</v>
      </c>
      <c r="Q17" s="130">
        <f t="shared" ref="Q17:Q18" si="30">VLOOKUP(L17,Tarifa1,2)</f>
        <v>699.3</v>
      </c>
      <c r="R17" s="128">
        <f t="shared" ref="R17:R18" si="31">P17+Q17</f>
        <v>1010.7907439999999</v>
      </c>
      <c r="S17" s="144">
        <f t="shared" ref="S17:S18" si="32">VLOOKUP(L17,Credito1,2)</f>
        <v>0</v>
      </c>
      <c r="T17" s="128">
        <f t="shared" ref="T17:T18" si="33">ROUND(R17-S17,2)</f>
        <v>1010.79</v>
      </c>
      <c r="U17" s="127">
        <f t="shared" si="20"/>
        <v>0</v>
      </c>
      <c r="V17" s="127">
        <f>IF(T17&lt;0,0,T17)</f>
        <v>1010.79</v>
      </c>
      <c r="W17" s="127">
        <f>SUM(V17:V17)</f>
        <v>1010.79</v>
      </c>
      <c r="X17" s="127">
        <f>J17+U17-W17</f>
        <v>7050.21</v>
      </c>
      <c r="Y17" s="136"/>
      <c r="AE17" s="101"/>
    </row>
    <row r="18" spans="1:31" s="98" customFormat="1" ht="95.1" customHeight="1" x14ac:dyDescent="0.25">
      <c r="A18" s="121"/>
      <c r="B18" s="122" t="s">
        <v>206</v>
      </c>
      <c r="C18" s="122" t="s">
        <v>120</v>
      </c>
      <c r="D18" s="206" t="s">
        <v>207</v>
      </c>
      <c r="E18" s="140" t="s">
        <v>184</v>
      </c>
      <c r="F18" s="124">
        <v>15</v>
      </c>
      <c r="G18" s="141"/>
      <c r="H18" s="125">
        <v>8061</v>
      </c>
      <c r="I18" s="126">
        <v>0</v>
      </c>
      <c r="J18" s="127">
        <f t="shared" si="23"/>
        <v>8061</v>
      </c>
      <c r="K18" s="128">
        <f t="shared" si="24"/>
        <v>0</v>
      </c>
      <c r="L18" s="128">
        <f t="shared" si="25"/>
        <v>8061</v>
      </c>
      <c r="M18" s="128">
        <f t="shared" si="26"/>
        <v>6602.71</v>
      </c>
      <c r="N18" s="128">
        <f t="shared" si="27"/>
        <v>1458.29</v>
      </c>
      <c r="O18" s="129">
        <f t="shared" si="28"/>
        <v>0.21360000000000001</v>
      </c>
      <c r="P18" s="128">
        <f t="shared" si="29"/>
        <v>311.49074400000001</v>
      </c>
      <c r="Q18" s="130">
        <f t="shared" si="30"/>
        <v>699.3</v>
      </c>
      <c r="R18" s="128">
        <f t="shared" si="31"/>
        <v>1010.7907439999999</v>
      </c>
      <c r="S18" s="144">
        <f t="shared" si="32"/>
        <v>0</v>
      </c>
      <c r="T18" s="128">
        <f t="shared" si="33"/>
        <v>1010.79</v>
      </c>
      <c r="U18" s="127">
        <f t="shared" si="20"/>
        <v>0</v>
      </c>
      <c r="V18" s="127">
        <f>IF(T18&lt;0,0,T18)</f>
        <v>1010.79</v>
      </c>
      <c r="W18" s="127">
        <f>SUM(V18:V18)</f>
        <v>1010.79</v>
      </c>
      <c r="X18" s="127">
        <f>J18+U18-W18</f>
        <v>7050.21</v>
      </c>
      <c r="Y18" s="136"/>
      <c r="AE18" s="101"/>
    </row>
    <row r="19" spans="1:31" s="98" customFormat="1" ht="95.1" customHeight="1" x14ac:dyDescent="0.25">
      <c r="A19" s="121"/>
      <c r="B19" s="122" t="s">
        <v>199</v>
      </c>
      <c r="C19" s="122" t="s">
        <v>120</v>
      </c>
      <c r="D19" s="206" t="s">
        <v>185</v>
      </c>
      <c r="E19" s="140" t="s">
        <v>186</v>
      </c>
      <c r="F19" s="124">
        <v>15</v>
      </c>
      <c r="G19" s="141">
        <f t="shared" ref="G19" si="34">H19/F19</f>
        <v>292.36666666666667</v>
      </c>
      <c r="H19" s="125">
        <v>4385.5</v>
      </c>
      <c r="I19" s="126">
        <v>0</v>
      </c>
      <c r="J19" s="127">
        <f t="shared" ref="J19" si="35">SUM(H19:I19)</f>
        <v>4385.5</v>
      </c>
      <c r="K19" s="128">
        <f t="shared" ref="K19" si="36">IF(H19/15&lt;=SMG,0,I19/2)</f>
        <v>0</v>
      </c>
      <c r="L19" s="128">
        <f t="shared" ref="L19" si="37">H19+K19</f>
        <v>4385.5</v>
      </c>
      <c r="M19" s="128">
        <f t="shared" ref="M19" si="38">VLOOKUP(L19,Tarifa1,1)</f>
        <v>2699.41</v>
      </c>
      <c r="N19" s="128">
        <f t="shared" ref="N19" si="39">L19-M19</f>
        <v>1686.0900000000001</v>
      </c>
      <c r="O19" s="129">
        <f t="shared" ref="O19" si="40">VLOOKUP(L19,Tarifa1,3)</f>
        <v>0.10879999999999999</v>
      </c>
      <c r="P19" s="128">
        <f t="shared" ref="P19" si="41">N19*O19</f>
        <v>183.44659200000001</v>
      </c>
      <c r="Q19" s="130">
        <f t="shared" ref="Q19" si="42">VLOOKUP(L19,Tarifa1,2)</f>
        <v>158.55000000000001</v>
      </c>
      <c r="R19" s="128">
        <f t="shared" ref="R19" si="43">P19+Q19</f>
        <v>341.99659200000002</v>
      </c>
      <c r="S19" s="144">
        <f t="shared" ref="S19" si="44">VLOOKUP(L19,Credito1,2)</f>
        <v>0</v>
      </c>
      <c r="T19" s="128">
        <f t="shared" ref="T19" si="45">ROUND(R19-S19,2)</f>
        <v>342</v>
      </c>
      <c r="U19" s="127">
        <f t="shared" si="20"/>
        <v>0</v>
      </c>
      <c r="V19" s="127">
        <f t="shared" ref="V19" si="46">IF(T19&lt;0,0,T19)</f>
        <v>342</v>
      </c>
      <c r="W19" s="127">
        <f>SUM(V19:V19)</f>
        <v>342</v>
      </c>
      <c r="X19" s="127">
        <f>J19+U19-W19</f>
        <v>4043.5</v>
      </c>
      <c r="Y19" s="136"/>
      <c r="AE19" s="101"/>
    </row>
    <row r="20" spans="1:31" s="53" customFormat="1" ht="39" customHeight="1" thickBot="1" x14ac:dyDescent="0.3">
      <c r="A20" s="255" t="s">
        <v>45</v>
      </c>
      <c r="B20" s="256"/>
      <c r="C20" s="256"/>
      <c r="D20" s="256"/>
      <c r="E20" s="256"/>
      <c r="F20" s="256"/>
      <c r="G20" s="257"/>
      <c r="H20" s="133">
        <f t="shared" ref="H20:X20" si="47">SUM(H9:H19)</f>
        <v>74505.95</v>
      </c>
      <c r="I20" s="133">
        <f t="shared" si="47"/>
        <v>0</v>
      </c>
      <c r="J20" s="133">
        <f t="shared" si="47"/>
        <v>74505.95</v>
      </c>
      <c r="K20" s="134">
        <f t="shared" si="47"/>
        <v>0</v>
      </c>
      <c r="L20" s="134">
        <f t="shared" si="47"/>
        <v>74505.95</v>
      </c>
      <c r="M20" s="134">
        <f t="shared" si="47"/>
        <v>58930.010000000009</v>
      </c>
      <c r="N20" s="134">
        <f t="shared" si="47"/>
        <v>15575.939999999999</v>
      </c>
      <c r="O20" s="134">
        <f t="shared" si="47"/>
        <v>1.9640000000000002</v>
      </c>
      <c r="P20" s="134">
        <f t="shared" si="47"/>
        <v>2825.1941999999999</v>
      </c>
      <c r="Q20" s="134">
        <f t="shared" si="47"/>
        <v>5584.2000000000007</v>
      </c>
      <c r="R20" s="134">
        <f t="shared" si="47"/>
        <v>8409.3941999999988</v>
      </c>
      <c r="S20" s="134">
        <f t="shared" si="47"/>
        <v>0</v>
      </c>
      <c r="T20" s="134">
        <f t="shared" si="47"/>
        <v>8409.4</v>
      </c>
      <c r="U20" s="133">
        <f t="shared" si="47"/>
        <v>0</v>
      </c>
      <c r="V20" s="133">
        <f t="shared" si="47"/>
        <v>8409.4</v>
      </c>
      <c r="W20" s="133">
        <f t="shared" si="47"/>
        <v>8409.4</v>
      </c>
      <c r="X20" s="133">
        <f t="shared" si="47"/>
        <v>66096.549999999988</v>
      </c>
      <c r="Y20" s="137"/>
    </row>
    <row r="21" spans="1:31" s="53" customFormat="1" ht="39" customHeight="1" thickTop="1" x14ac:dyDescent="0.25">
      <c r="A21" s="118"/>
      <c r="B21" s="118"/>
      <c r="C21" s="118"/>
      <c r="D21" s="118"/>
      <c r="E21" s="118"/>
      <c r="F21" s="118"/>
      <c r="G21" s="118"/>
      <c r="H21" s="119"/>
      <c r="I21" s="119"/>
      <c r="J21" s="11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19"/>
      <c r="V21" s="119"/>
      <c r="W21" s="119"/>
      <c r="X21" s="119"/>
    </row>
    <row r="22" spans="1:31" s="53" customFormat="1" ht="39" customHeight="1" x14ac:dyDescent="0.25">
      <c r="A22" s="118"/>
      <c r="B22" s="118"/>
      <c r="C22" s="118"/>
      <c r="D22" s="118"/>
      <c r="E22" s="118"/>
      <c r="F22" s="118"/>
      <c r="G22" s="118"/>
      <c r="H22" s="119"/>
      <c r="I22" s="119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19"/>
      <c r="V22" s="119"/>
      <c r="W22" s="119"/>
      <c r="X22" s="119"/>
    </row>
    <row r="23" spans="1:31" s="53" customFormat="1" ht="39" customHeight="1" x14ac:dyDescent="0.25">
      <c r="A23" s="118"/>
      <c r="B23" s="118"/>
      <c r="C23" s="118"/>
      <c r="D23" s="118"/>
      <c r="E23" s="118"/>
      <c r="F23" s="118"/>
      <c r="G23" s="118"/>
      <c r="H23" s="119"/>
      <c r="I23" s="119"/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19"/>
      <c r="V23" s="119"/>
      <c r="W23" s="119"/>
      <c r="X23" s="119"/>
    </row>
    <row r="24" spans="1:31" s="53" customFormat="1" ht="12" x14ac:dyDescent="0.2"/>
    <row r="25" spans="1:31" s="53" customFormat="1" ht="12" x14ac:dyDescent="0.2"/>
    <row r="26" spans="1:31" s="53" customFormat="1" ht="14.25" x14ac:dyDescent="0.2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</row>
    <row r="27" spans="1:31" s="53" customFormat="1" ht="15" x14ac:dyDescent="0.25">
      <c r="B27" s="98"/>
      <c r="C27" s="98"/>
      <c r="D27" s="102" t="s">
        <v>264</v>
      </c>
      <c r="E27" s="102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102" t="s">
        <v>167</v>
      </c>
      <c r="W27" s="98"/>
      <c r="X27" s="98"/>
    </row>
    <row r="28" spans="1:31" s="53" customFormat="1" ht="15" x14ac:dyDescent="0.25">
      <c r="B28" s="98"/>
      <c r="C28" s="98"/>
      <c r="D28" s="102" t="s">
        <v>262</v>
      </c>
      <c r="E28" s="102"/>
      <c r="F28" s="102"/>
      <c r="G28" s="102"/>
      <c r="H28" s="102"/>
      <c r="I28" s="102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102" t="s">
        <v>305</v>
      </c>
      <c r="W28" s="102"/>
      <c r="X28" s="102"/>
      <c r="Y28" s="62"/>
    </row>
    <row r="29" spans="1:31" s="53" customFormat="1" ht="14.25" x14ac:dyDescent="0.2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</row>
  </sheetData>
  <mergeCells count="8">
    <mergeCell ref="A20:G20"/>
    <mergeCell ref="C5:C7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1:D12 D17:D19 D16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0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8"/>
  <sheetViews>
    <sheetView topLeftCell="B16" zoomScale="82" zoomScaleNormal="82" workbookViewId="0">
      <selection activeCell="W16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41" customWidth="1"/>
    <col min="5" max="5" width="33.85546875" customWidth="1"/>
    <col min="6" max="6" width="7.85546875" customWidth="1"/>
    <col min="7" max="7" width="2.5703125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140625" customWidth="1"/>
    <col min="23" max="23" width="10.7109375" customWidth="1"/>
    <col min="24" max="24" width="12.7109375" customWidth="1"/>
    <col min="25" max="25" width="47.28515625" customWidth="1"/>
  </cols>
  <sheetData>
    <row r="1" spans="1:25" ht="18" x14ac:dyDescent="0.25">
      <c r="A1" s="266" t="s">
        <v>83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</row>
    <row r="2" spans="1:25" ht="18" x14ac:dyDescent="0.25">
      <c r="A2" s="266" t="s">
        <v>67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25" ht="18" x14ac:dyDescent="0.25">
      <c r="A3" s="267" t="s">
        <v>270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3" customFormat="1" ht="12" x14ac:dyDescent="0.2">
      <c r="A6" s="49"/>
      <c r="B6" s="49"/>
      <c r="C6" s="49"/>
      <c r="D6" s="49"/>
      <c r="E6" s="49"/>
      <c r="F6" s="50" t="s">
        <v>23</v>
      </c>
      <c r="G6" s="50" t="s">
        <v>6</v>
      </c>
      <c r="H6" s="280" t="s">
        <v>1</v>
      </c>
      <c r="I6" s="281"/>
      <c r="J6" s="282"/>
      <c r="K6" s="51" t="s">
        <v>26</v>
      </c>
      <c r="L6" s="52"/>
      <c r="M6" s="283" t="s">
        <v>9</v>
      </c>
      <c r="N6" s="284"/>
      <c r="O6" s="284"/>
      <c r="P6" s="284"/>
      <c r="Q6" s="284"/>
      <c r="R6" s="285"/>
      <c r="S6" s="51" t="s">
        <v>30</v>
      </c>
      <c r="T6" s="51" t="s">
        <v>10</v>
      </c>
      <c r="U6" s="50" t="s">
        <v>54</v>
      </c>
      <c r="V6" s="286" t="s">
        <v>2</v>
      </c>
      <c r="W6" s="287"/>
      <c r="X6" s="50" t="s">
        <v>0</v>
      </c>
      <c r="Y6" s="49"/>
    </row>
    <row r="7" spans="1:25" s="53" customFormat="1" ht="24" x14ac:dyDescent="0.2">
      <c r="A7" s="54" t="s">
        <v>111</v>
      </c>
      <c r="B7" s="48" t="s">
        <v>106</v>
      </c>
      <c r="C7" s="48" t="s">
        <v>129</v>
      </c>
      <c r="D7" s="54" t="s">
        <v>22</v>
      </c>
      <c r="E7" s="54"/>
      <c r="F7" s="55" t="s">
        <v>24</v>
      </c>
      <c r="G7" s="54" t="s">
        <v>25</v>
      </c>
      <c r="H7" s="50" t="s">
        <v>6</v>
      </c>
      <c r="I7" s="50" t="s">
        <v>60</v>
      </c>
      <c r="J7" s="50" t="s">
        <v>28</v>
      </c>
      <c r="K7" s="56" t="s">
        <v>27</v>
      </c>
      <c r="L7" s="52" t="s">
        <v>32</v>
      </c>
      <c r="M7" s="52" t="s">
        <v>12</v>
      </c>
      <c r="N7" s="52" t="s">
        <v>34</v>
      </c>
      <c r="O7" s="52" t="s">
        <v>36</v>
      </c>
      <c r="P7" s="52" t="s">
        <v>37</v>
      </c>
      <c r="Q7" s="90" t="s">
        <v>14</v>
      </c>
      <c r="R7" s="52" t="s">
        <v>10</v>
      </c>
      <c r="S7" s="56" t="s">
        <v>40</v>
      </c>
      <c r="T7" s="56" t="s">
        <v>41</v>
      </c>
      <c r="U7" s="54" t="s">
        <v>31</v>
      </c>
      <c r="V7" s="50" t="s">
        <v>3</v>
      </c>
      <c r="W7" s="50" t="s">
        <v>7</v>
      </c>
      <c r="X7" s="54" t="s">
        <v>4</v>
      </c>
      <c r="Y7" s="54" t="s">
        <v>59</v>
      </c>
    </row>
    <row r="8" spans="1:25" s="53" customFormat="1" ht="12" x14ac:dyDescent="0.2">
      <c r="A8" s="54"/>
      <c r="B8" s="54"/>
      <c r="C8" s="54"/>
      <c r="D8" s="54"/>
      <c r="E8" s="54"/>
      <c r="F8" s="54"/>
      <c r="G8" s="54"/>
      <c r="H8" s="54" t="s">
        <v>47</v>
      </c>
      <c r="I8" s="54" t="s">
        <v>61</v>
      </c>
      <c r="J8" s="54" t="s">
        <v>29</v>
      </c>
      <c r="K8" s="56" t="s">
        <v>43</v>
      </c>
      <c r="L8" s="51" t="s">
        <v>33</v>
      </c>
      <c r="M8" s="51" t="s">
        <v>13</v>
      </c>
      <c r="N8" s="51" t="s">
        <v>35</v>
      </c>
      <c r="O8" s="51" t="s">
        <v>35</v>
      </c>
      <c r="P8" s="51" t="s">
        <v>38</v>
      </c>
      <c r="Q8" s="91" t="s">
        <v>15</v>
      </c>
      <c r="R8" s="51" t="s">
        <v>39</v>
      </c>
      <c r="S8" s="56" t="s">
        <v>19</v>
      </c>
      <c r="T8" s="57" t="s">
        <v>130</v>
      </c>
      <c r="U8" s="54" t="s">
        <v>53</v>
      </c>
      <c r="V8" s="54"/>
      <c r="W8" s="54" t="s">
        <v>44</v>
      </c>
      <c r="X8" s="54" t="s">
        <v>5</v>
      </c>
      <c r="Y8" s="58"/>
    </row>
    <row r="9" spans="1:25" s="4" customFormat="1" ht="39.75" customHeight="1" x14ac:dyDescent="0.25">
      <c r="A9" s="103"/>
      <c r="B9" s="149"/>
      <c r="C9" s="149"/>
      <c r="D9" s="149" t="s">
        <v>74</v>
      </c>
      <c r="E9" s="149" t="s">
        <v>63</v>
      </c>
      <c r="F9" s="149"/>
      <c r="G9" s="149"/>
      <c r="H9" s="150">
        <f>SUM(H10:H20)</f>
        <v>34964.020000000004</v>
      </c>
      <c r="I9" s="150">
        <f>SUM(I10:I20)</f>
        <v>0</v>
      </c>
      <c r="J9" s="150">
        <f>SUM(J10:J20)</f>
        <v>34964.020000000004</v>
      </c>
      <c r="K9" s="149"/>
      <c r="L9" s="149"/>
      <c r="M9" s="149"/>
      <c r="N9" s="149"/>
      <c r="O9" s="149"/>
      <c r="P9" s="149"/>
      <c r="Q9" s="151"/>
      <c r="R9" s="149"/>
      <c r="S9" s="149"/>
      <c r="T9" s="149"/>
      <c r="U9" s="150">
        <f>SUM(U10:U20)</f>
        <v>80.14</v>
      </c>
      <c r="V9" s="150">
        <f>SUM(V10:V20)</f>
        <v>1066.21</v>
      </c>
      <c r="W9" s="150">
        <f>SUM(W10:W20)</f>
        <v>1066.21</v>
      </c>
      <c r="X9" s="150">
        <f>SUM(X10:X20)</f>
        <v>33977.950000000004</v>
      </c>
      <c r="Y9" s="104"/>
    </row>
    <row r="10" spans="1:25" s="4" customFormat="1" ht="75" customHeight="1" x14ac:dyDescent="0.2">
      <c r="A10" s="45"/>
      <c r="B10" s="122" t="s">
        <v>200</v>
      </c>
      <c r="C10" s="122" t="s">
        <v>120</v>
      </c>
      <c r="D10" s="123" t="s">
        <v>194</v>
      </c>
      <c r="E10" s="123" t="s">
        <v>193</v>
      </c>
      <c r="F10" s="124">
        <v>15</v>
      </c>
      <c r="G10" s="141">
        <f>H10/F10</f>
        <v>220.2</v>
      </c>
      <c r="H10" s="125">
        <v>3303</v>
      </c>
      <c r="I10" s="126">
        <v>0</v>
      </c>
      <c r="J10" s="127">
        <f t="shared" ref="J10" si="0">SUM(H10:I10)</f>
        <v>3303</v>
      </c>
      <c r="K10" s="128">
        <f t="shared" ref="K10:K14" si="1">IF(H10/15&lt;=SMG,0,I10/2)</f>
        <v>0</v>
      </c>
      <c r="L10" s="128">
        <f t="shared" ref="L10" si="2">H10+K10</f>
        <v>3303</v>
      </c>
      <c r="M10" s="128">
        <f t="shared" ref="M10:M14" si="3">VLOOKUP(L10,Tarifa1,1)</f>
        <v>2699.41</v>
      </c>
      <c r="N10" s="128">
        <f t="shared" ref="N10" si="4">L10-M10</f>
        <v>603.59000000000015</v>
      </c>
      <c r="O10" s="129">
        <f t="shared" ref="O10:O14" si="5">VLOOKUP(L10,Tarifa1,3)</f>
        <v>0.10879999999999999</v>
      </c>
      <c r="P10" s="128">
        <f t="shared" ref="P10" si="6">N10*O10</f>
        <v>65.670592000000013</v>
      </c>
      <c r="Q10" s="130">
        <f t="shared" ref="Q10:Q14" si="7">VLOOKUP(L10,Tarifa1,2)</f>
        <v>158.55000000000001</v>
      </c>
      <c r="R10" s="128">
        <f t="shared" ref="R10" si="8">P10+Q10</f>
        <v>224.22059200000001</v>
      </c>
      <c r="S10" s="144">
        <f t="shared" ref="S10:S14" si="9">VLOOKUP(L10,Credito1,2)</f>
        <v>125.1</v>
      </c>
      <c r="T10" s="128">
        <f t="shared" ref="T10" si="10">ROUND(R10-S10,2)</f>
        <v>99.12</v>
      </c>
      <c r="U10" s="127">
        <f t="shared" ref="U10" si="11">-IF(T10&gt;0,0,T10)</f>
        <v>0</v>
      </c>
      <c r="V10" s="127">
        <f t="shared" ref="V10" si="12">IF(T10&lt;0,0,T10)</f>
        <v>99.12</v>
      </c>
      <c r="W10" s="127">
        <f>SUM(V10:V10)</f>
        <v>99.12</v>
      </c>
      <c r="X10" s="127">
        <f>J10+U10-W10</f>
        <v>3203.88</v>
      </c>
      <c r="Y10" s="94"/>
    </row>
    <row r="11" spans="1:25" s="4" customFormat="1" ht="75" customHeight="1" x14ac:dyDescent="0.2">
      <c r="A11" s="45"/>
      <c r="B11" s="122" t="s">
        <v>108</v>
      </c>
      <c r="C11" s="122" t="s">
        <v>120</v>
      </c>
      <c r="D11" s="123" t="s">
        <v>75</v>
      </c>
      <c r="E11" s="123" t="s">
        <v>76</v>
      </c>
      <c r="F11" s="124">
        <v>15</v>
      </c>
      <c r="G11" s="141">
        <f>H11/F11</f>
        <v>223.8</v>
      </c>
      <c r="H11" s="125">
        <v>3357</v>
      </c>
      <c r="I11" s="126">
        <v>0</v>
      </c>
      <c r="J11" s="127">
        <f t="shared" ref="J11" si="13">SUM(H11:I11)</f>
        <v>3357</v>
      </c>
      <c r="K11" s="128">
        <f t="shared" si="1"/>
        <v>0</v>
      </c>
      <c r="L11" s="128">
        <f t="shared" ref="L11:L17" si="14">H11+K11</f>
        <v>3357</v>
      </c>
      <c r="M11" s="128">
        <f t="shared" si="3"/>
        <v>2699.41</v>
      </c>
      <c r="N11" s="128">
        <f t="shared" ref="N11:N17" si="15">L11-M11</f>
        <v>657.59000000000015</v>
      </c>
      <c r="O11" s="129">
        <f t="shared" si="5"/>
        <v>0.10879999999999999</v>
      </c>
      <c r="P11" s="128">
        <f t="shared" ref="P11:P17" si="16">N11*O11</f>
        <v>71.545792000000006</v>
      </c>
      <c r="Q11" s="130">
        <f t="shared" si="7"/>
        <v>158.55000000000001</v>
      </c>
      <c r="R11" s="128">
        <f t="shared" ref="R11:R17" si="17">P11+Q11</f>
        <v>230.09579200000002</v>
      </c>
      <c r="S11" s="144">
        <f t="shared" si="9"/>
        <v>125.1</v>
      </c>
      <c r="T11" s="128">
        <f t="shared" ref="T11:T17" si="18">ROUND(R11-S11,2)</f>
        <v>105</v>
      </c>
      <c r="U11" s="127">
        <f t="shared" ref="U11:U12" si="19">-IF(T11&gt;0,0,T11)</f>
        <v>0</v>
      </c>
      <c r="V11" s="127">
        <f t="shared" ref="V11:V12" si="20">IF(T11&lt;0,0,T11)</f>
        <v>105</v>
      </c>
      <c r="W11" s="127">
        <f>SUM(V11:V11)</f>
        <v>105</v>
      </c>
      <c r="X11" s="127">
        <f>J11+U11-W11</f>
        <v>3252</v>
      </c>
      <c r="Y11" s="94"/>
    </row>
    <row r="12" spans="1:25" s="4" customFormat="1" ht="75" customHeight="1" x14ac:dyDescent="0.2">
      <c r="A12" s="45"/>
      <c r="B12" s="122" t="s">
        <v>233</v>
      </c>
      <c r="C12" s="122" t="s">
        <v>120</v>
      </c>
      <c r="D12" s="123" t="s">
        <v>234</v>
      </c>
      <c r="E12" s="123" t="s">
        <v>193</v>
      </c>
      <c r="F12" s="124">
        <v>15</v>
      </c>
      <c r="G12" s="141"/>
      <c r="H12" s="125">
        <v>3303</v>
      </c>
      <c r="I12" s="126">
        <v>0</v>
      </c>
      <c r="J12" s="127">
        <f t="shared" ref="J12" si="21">SUM(H12:I12)</f>
        <v>3303</v>
      </c>
      <c r="K12" s="128">
        <f t="shared" si="1"/>
        <v>0</v>
      </c>
      <c r="L12" s="128">
        <f t="shared" si="14"/>
        <v>3303</v>
      </c>
      <c r="M12" s="128">
        <f t="shared" si="3"/>
        <v>2699.41</v>
      </c>
      <c r="N12" s="128">
        <f t="shared" si="15"/>
        <v>603.59000000000015</v>
      </c>
      <c r="O12" s="129">
        <f t="shared" si="5"/>
        <v>0.10879999999999999</v>
      </c>
      <c r="P12" s="128">
        <f t="shared" si="16"/>
        <v>65.670592000000013</v>
      </c>
      <c r="Q12" s="130">
        <f t="shared" si="7"/>
        <v>158.55000000000001</v>
      </c>
      <c r="R12" s="128">
        <f t="shared" si="17"/>
        <v>224.22059200000001</v>
      </c>
      <c r="S12" s="144">
        <f t="shared" si="9"/>
        <v>125.1</v>
      </c>
      <c r="T12" s="128">
        <f t="shared" si="18"/>
        <v>99.12</v>
      </c>
      <c r="U12" s="127">
        <f t="shared" si="19"/>
        <v>0</v>
      </c>
      <c r="V12" s="127">
        <f t="shared" si="20"/>
        <v>99.12</v>
      </c>
      <c r="W12" s="127">
        <f>SUM(V12:V12)</f>
        <v>99.12</v>
      </c>
      <c r="X12" s="127">
        <f>J12+U12-W12</f>
        <v>3203.88</v>
      </c>
      <c r="Y12" s="94"/>
    </row>
    <row r="13" spans="1:25" s="4" customFormat="1" ht="75" customHeight="1" x14ac:dyDescent="0.2">
      <c r="A13" s="45"/>
      <c r="B13" s="122" t="s">
        <v>137</v>
      </c>
      <c r="C13" s="122" t="s">
        <v>120</v>
      </c>
      <c r="D13" s="225" t="s">
        <v>136</v>
      </c>
      <c r="E13" s="123" t="s">
        <v>107</v>
      </c>
      <c r="F13" s="124">
        <v>15</v>
      </c>
      <c r="G13" s="141">
        <f>H13/F13</f>
        <v>240.36666666666667</v>
      </c>
      <c r="H13" s="125">
        <v>3605.5</v>
      </c>
      <c r="I13" s="126">
        <v>0</v>
      </c>
      <c r="J13" s="127">
        <f t="shared" ref="J13" si="22">SUM(H13:I13)</f>
        <v>3605.5</v>
      </c>
      <c r="K13" s="128">
        <f t="shared" si="1"/>
        <v>0</v>
      </c>
      <c r="L13" s="128">
        <f t="shared" si="14"/>
        <v>3605.5</v>
      </c>
      <c r="M13" s="128">
        <f t="shared" si="3"/>
        <v>2699.41</v>
      </c>
      <c r="N13" s="128">
        <f t="shared" si="15"/>
        <v>906.09000000000015</v>
      </c>
      <c r="O13" s="129">
        <f t="shared" si="5"/>
        <v>0.10879999999999999</v>
      </c>
      <c r="P13" s="128">
        <f t="shared" si="16"/>
        <v>98.582592000000005</v>
      </c>
      <c r="Q13" s="130">
        <f t="shared" si="7"/>
        <v>158.55000000000001</v>
      </c>
      <c r="R13" s="128">
        <f t="shared" si="17"/>
        <v>257.13259200000005</v>
      </c>
      <c r="S13" s="144">
        <f t="shared" si="9"/>
        <v>107.4</v>
      </c>
      <c r="T13" s="128">
        <f t="shared" si="18"/>
        <v>149.72999999999999</v>
      </c>
      <c r="U13" s="127">
        <f>-IF(T13&gt;0,0,T13)</f>
        <v>0</v>
      </c>
      <c r="V13" s="127">
        <f>IF(T13&lt;0,0,T13)</f>
        <v>149.72999999999999</v>
      </c>
      <c r="W13" s="127">
        <f>SUM(V13:V13)</f>
        <v>149.72999999999999</v>
      </c>
      <c r="X13" s="127">
        <f>J13+U13-W13</f>
        <v>3455.77</v>
      </c>
      <c r="Y13" s="94"/>
    </row>
    <row r="14" spans="1:25" s="4" customFormat="1" ht="75" customHeight="1" x14ac:dyDescent="0.2">
      <c r="A14" s="45"/>
      <c r="B14" s="122" t="s">
        <v>215</v>
      </c>
      <c r="C14" s="122" t="s">
        <v>120</v>
      </c>
      <c r="D14" s="145" t="s">
        <v>216</v>
      </c>
      <c r="E14" s="140" t="s">
        <v>309</v>
      </c>
      <c r="F14" s="124">
        <v>15</v>
      </c>
      <c r="G14" s="141"/>
      <c r="H14" s="125">
        <v>3207</v>
      </c>
      <c r="I14" s="126">
        <v>0</v>
      </c>
      <c r="J14" s="127">
        <f t="shared" ref="J14" si="23">SUM(H14:I14)</f>
        <v>3207</v>
      </c>
      <c r="K14" s="128">
        <f t="shared" si="1"/>
        <v>0</v>
      </c>
      <c r="L14" s="128">
        <f t="shared" si="14"/>
        <v>3207</v>
      </c>
      <c r="M14" s="128">
        <f t="shared" si="3"/>
        <v>2699.41</v>
      </c>
      <c r="N14" s="128">
        <f t="shared" si="15"/>
        <v>507.59000000000015</v>
      </c>
      <c r="O14" s="129">
        <f t="shared" si="5"/>
        <v>0.10879999999999999</v>
      </c>
      <c r="P14" s="128">
        <f t="shared" si="16"/>
        <v>55.225792000000013</v>
      </c>
      <c r="Q14" s="130">
        <f t="shared" si="7"/>
        <v>158.55000000000001</v>
      </c>
      <c r="R14" s="128">
        <f t="shared" si="17"/>
        <v>213.77579200000002</v>
      </c>
      <c r="S14" s="144">
        <f t="shared" si="9"/>
        <v>125.1</v>
      </c>
      <c r="T14" s="128">
        <f t="shared" si="18"/>
        <v>88.68</v>
      </c>
      <c r="U14" s="127">
        <f t="shared" ref="U14" si="24">-IF(T14&gt;0,0,T14)</f>
        <v>0</v>
      </c>
      <c r="V14" s="127">
        <f t="shared" ref="V14" si="25">IF(T14&lt;0,0,T14)</f>
        <v>88.68</v>
      </c>
      <c r="W14" s="127">
        <f>SUM(V14:V14)</f>
        <v>88.68</v>
      </c>
      <c r="X14" s="127">
        <f>J14+U14-W14</f>
        <v>3118.32</v>
      </c>
      <c r="Y14" s="94"/>
    </row>
    <row r="15" spans="1:25" s="4" customFormat="1" ht="75" customHeight="1" x14ac:dyDescent="0.2">
      <c r="A15" s="45"/>
      <c r="B15" s="122" t="s">
        <v>323</v>
      </c>
      <c r="C15" s="122" t="s">
        <v>120</v>
      </c>
      <c r="D15" s="225" t="s">
        <v>325</v>
      </c>
      <c r="E15" s="140" t="s">
        <v>324</v>
      </c>
      <c r="F15" s="124">
        <v>15</v>
      </c>
      <c r="G15" s="141"/>
      <c r="H15" s="125">
        <v>2237.23</v>
      </c>
      <c r="I15" s="126">
        <v>0</v>
      </c>
      <c r="J15" s="127">
        <f>SUM(H15:I15)</f>
        <v>2237.23</v>
      </c>
      <c r="K15" s="128">
        <f>IF(H15/15&lt;=SMG,0,I15/2)</f>
        <v>0</v>
      </c>
      <c r="L15" s="128">
        <f t="shared" si="14"/>
        <v>2237.23</v>
      </c>
      <c r="M15" s="128">
        <f>VLOOKUP(L15,Tarifa1,1)</f>
        <v>318.01</v>
      </c>
      <c r="N15" s="128">
        <f t="shared" si="15"/>
        <v>1919.22</v>
      </c>
      <c r="O15" s="129">
        <f>VLOOKUP(L15,Tarifa1,3)</f>
        <v>6.4000000000000001E-2</v>
      </c>
      <c r="P15" s="128">
        <f t="shared" si="16"/>
        <v>122.83008000000001</v>
      </c>
      <c r="Q15" s="130">
        <f>VLOOKUP(L15,Tarifa1,2)</f>
        <v>6.15</v>
      </c>
      <c r="R15" s="128">
        <f t="shared" si="17"/>
        <v>128.98008000000002</v>
      </c>
      <c r="S15" s="128">
        <f>VLOOKUP(L15,Credito1,2)</f>
        <v>174.75</v>
      </c>
      <c r="T15" s="128">
        <f t="shared" si="18"/>
        <v>-45.77</v>
      </c>
      <c r="U15" s="127">
        <f>-IF(T15&gt;0,0,T15)</f>
        <v>45.77</v>
      </c>
      <c r="V15" s="127">
        <f>IF(T15&lt;0,0,T15)</f>
        <v>0</v>
      </c>
      <c r="W15" s="127">
        <f>SUM(V15:V15)</f>
        <v>0</v>
      </c>
      <c r="X15" s="127">
        <f>J15+U15-W15</f>
        <v>2283</v>
      </c>
      <c r="Y15" s="94"/>
    </row>
    <row r="16" spans="1:25" s="4" customFormat="1" ht="75" customHeight="1" x14ac:dyDescent="0.2">
      <c r="A16" s="45"/>
      <c r="B16" s="147" t="s">
        <v>274</v>
      </c>
      <c r="C16" s="122" t="s">
        <v>120</v>
      </c>
      <c r="D16" s="123" t="s">
        <v>295</v>
      </c>
      <c r="E16" s="123" t="s">
        <v>77</v>
      </c>
      <c r="F16" s="124">
        <v>15</v>
      </c>
      <c r="G16" s="141">
        <f>H16/F16</f>
        <v>305.76666666666665</v>
      </c>
      <c r="H16" s="125">
        <v>4586.5</v>
      </c>
      <c r="I16" s="126">
        <v>0</v>
      </c>
      <c r="J16" s="127">
        <f t="shared" ref="J16" si="26">SUM(H16:I16)</f>
        <v>4586.5</v>
      </c>
      <c r="K16" s="128">
        <f t="shared" ref="K16" si="27">IF(H16/15&lt;=SMG,0,I16/2)</f>
        <v>0</v>
      </c>
      <c r="L16" s="128">
        <f t="shared" si="14"/>
        <v>4586.5</v>
      </c>
      <c r="M16" s="128">
        <f t="shared" ref="M16" si="28">VLOOKUP(L16,Tarifa1,1)</f>
        <v>2699.41</v>
      </c>
      <c r="N16" s="128">
        <f t="shared" si="15"/>
        <v>1887.0900000000001</v>
      </c>
      <c r="O16" s="129">
        <f t="shared" ref="O16" si="29">VLOOKUP(L16,Tarifa1,3)</f>
        <v>0.10879999999999999</v>
      </c>
      <c r="P16" s="128">
        <f t="shared" si="16"/>
        <v>205.315392</v>
      </c>
      <c r="Q16" s="130">
        <f t="shared" ref="Q16" si="30">VLOOKUP(L16,Tarifa1,2)</f>
        <v>158.55000000000001</v>
      </c>
      <c r="R16" s="128">
        <f t="shared" si="17"/>
        <v>363.86539200000004</v>
      </c>
      <c r="S16" s="144">
        <f t="shared" ref="S16" si="31">VLOOKUP(L16,Credito1,2)</f>
        <v>0</v>
      </c>
      <c r="T16" s="128">
        <f t="shared" si="18"/>
        <v>363.87</v>
      </c>
      <c r="U16" s="127">
        <f t="shared" ref="U16" si="32">-IF(T16&gt;0,0,T16)</f>
        <v>0</v>
      </c>
      <c r="V16" s="127">
        <f t="shared" ref="V16" si="33">IF(T16&lt;0,0,T16)</f>
        <v>363.87</v>
      </c>
      <c r="W16" s="127">
        <f>SUM(V16:V16)</f>
        <v>363.87</v>
      </c>
      <c r="X16" s="127">
        <f>J16+U16-W16</f>
        <v>4222.63</v>
      </c>
      <c r="Y16" s="94"/>
    </row>
    <row r="17" spans="1:31" s="4" customFormat="1" ht="75" customHeight="1" x14ac:dyDescent="0.2">
      <c r="A17" s="45"/>
      <c r="B17" s="147" t="s">
        <v>275</v>
      </c>
      <c r="C17" s="122" t="s">
        <v>120</v>
      </c>
      <c r="D17" s="123" t="s">
        <v>294</v>
      </c>
      <c r="E17" s="123" t="s">
        <v>192</v>
      </c>
      <c r="F17" s="124">
        <v>12</v>
      </c>
      <c r="G17" s="141"/>
      <c r="H17" s="125">
        <v>2551.9699999999998</v>
      </c>
      <c r="I17" s="126">
        <v>0</v>
      </c>
      <c r="J17" s="127">
        <f>SUM(H17:I17)</f>
        <v>2551.9699999999998</v>
      </c>
      <c r="K17" s="128">
        <f>IF(H17/15&lt;=SMG,0,I17/2)</f>
        <v>0</v>
      </c>
      <c r="L17" s="128">
        <f t="shared" si="14"/>
        <v>2551.9699999999998</v>
      </c>
      <c r="M17" s="128">
        <f>VLOOKUP(L17,Tarifa1,1)</f>
        <v>318.01</v>
      </c>
      <c r="N17" s="128">
        <f t="shared" si="15"/>
        <v>2233.96</v>
      </c>
      <c r="O17" s="129">
        <f>VLOOKUP(L17,Tarifa1,3)</f>
        <v>6.4000000000000001E-2</v>
      </c>
      <c r="P17" s="128">
        <f t="shared" si="16"/>
        <v>142.97344000000001</v>
      </c>
      <c r="Q17" s="130">
        <f>VLOOKUP(L17,Tarifa1,2)</f>
        <v>6.15</v>
      </c>
      <c r="R17" s="128">
        <f t="shared" si="17"/>
        <v>149.12344000000002</v>
      </c>
      <c r="S17" s="128">
        <f>VLOOKUP(L17,Credito1,2)</f>
        <v>160.35</v>
      </c>
      <c r="T17" s="128">
        <f t="shared" si="18"/>
        <v>-11.23</v>
      </c>
      <c r="U17" s="127">
        <f>-IF(T17&gt;0,0,T17)</f>
        <v>11.23</v>
      </c>
      <c r="V17" s="127">
        <f>IF(T17&lt;0,0,T17)</f>
        <v>0</v>
      </c>
      <c r="W17" s="127">
        <f>SUM(V17:V17)</f>
        <v>0</v>
      </c>
      <c r="X17" s="127">
        <f>J17+U17-W17</f>
        <v>2563.1999999999998</v>
      </c>
      <c r="Y17" s="94"/>
    </row>
    <row r="18" spans="1:31" s="4" customFormat="1" ht="75" customHeight="1" x14ac:dyDescent="0.2">
      <c r="A18" s="138"/>
      <c r="B18" s="147" t="s">
        <v>231</v>
      </c>
      <c r="C18" s="122" t="s">
        <v>120</v>
      </c>
      <c r="D18" s="140" t="s">
        <v>86</v>
      </c>
      <c r="E18" s="140" t="s">
        <v>210</v>
      </c>
      <c r="F18" s="124">
        <v>15</v>
      </c>
      <c r="G18" s="141">
        <f>H18/F18</f>
        <v>202.4</v>
      </c>
      <c r="H18" s="125">
        <v>3036</v>
      </c>
      <c r="I18" s="126">
        <v>0</v>
      </c>
      <c r="J18" s="127">
        <f>SUM(H18:I18)</f>
        <v>3036</v>
      </c>
      <c r="K18" s="128">
        <f>IF(H18/15&lt;=SMG,0,I18/2)</f>
        <v>0</v>
      </c>
      <c r="L18" s="128">
        <f t="shared" ref="L18:L19" si="34">H18+K18</f>
        <v>3036</v>
      </c>
      <c r="M18" s="128">
        <f>VLOOKUP(L18,Tarifa1,1)</f>
        <v>2699.41</v>
      </c>
      <c r="N18" s="128">
        <f t="shared" ref="N18:N19" si="35">L18-M18</f>
        <v>336.59000000000015</v>
      </c>
      <c r="O18" s="129">
        <f>VLOOKUP(L18,Tarifa1,3)</f>
        <v>0.10879999999999999</v>
      </c>
      <c r="P18" s="128">
        <f t="shared" ref="P18:P19" si="36">N18*O18</f>
        <v>36.620992000000015</v>
      </c>
      <c r="Q18" s="130">
        <f>VLOOKUP(L18,Tarifa1,2)</f>
        <v>158.55000000000001</v>
      </c>
      <c r="R18" s="128">
        <f t="shared" ref="R18:R19" si="37">P18+Q18</f>
        <v>195.17099200000001</v>
      </c>
      <c r="S18" s="144">
        <f>VLOOKUP(L18,Credito1,2)</f>
        <v>145.35</v>
      </c>
      <c r="T18" s="128">
        <f t="shared" ref="T18:T19" si="38">ROUND(R18-S18,2)</f>
        <v>49.82</v>
      </c>
      <c r="U18" s="127">
        <f>-IF(T18&gt;0,0,T18)</f>
        <v>0</v>
      </c>
      <c r="V18" s="127">
        <f>IF(T18&lt;0,0,T18)</f>
        <v>49.82</v>
      </c>
      <c r="W18" s="127">
        <f>SUM(V18:V18)</f>
        <v>49.82</v>
      </c>
      <c r="X18" s="127">
        <f>J18+U18-W18</f>
        <v>2986.18</v>
      </c>
      <c r="Y18" s="94"/>
      <c r="Z18" s="92"/>
    </row>
    <row r="19" spans="1:31" s="4" customFormat="1" ht="75" customHeight="1" x14ac:dyDescent="0.2">
      <c r="A19" s="138"/>
      <c r="B19" s="147" t="s">
        <v>276</v>
      </c>
      <c r="C19" s="122"/>
      <c r="D19" s="140" t="s">
        <v>290</v>
      </c>
      <c r="E19" s="123" t="s">
        <v>152</v>
      </c>
      <c r="F19" s="124">
        <v>15</v>
      </c>
      <c r="G19" s="141"/>
      <c r="H19" s="125">
        <v>3411</v>
      </c>
      <c r="I19" s="126">
        <v>0</v>
      </c>
      <c r="J19" s="127">
        <f t="shared" ref="J19" si="39">SUM(H19:I19)</f>
        <v>3411</v>
      </c>
      <c r="K19" s="128">
        <f t="shared" ref="K19" si="40">IF(H19/15&lt;=SMG,0,I19/2)</f>
        <v>0</v>
      </c>
      <c r="L19" s="128">
        <f t="shared" si="34"/>
        <v>3411</v>
      </c>
      <c r="M19" s="128">
        <f t="shared" ref="M19" si="41">VLOOKUP(L19,Tarifa1,1)</f>
        <v>2699.41</v>
      </c>
      <c r="N19" s="128">
        <f t="shared" si="35"/>
        <v>711.59000000000015</v>
      </c>
      <c r="O19" s="129">
        <f t="shared" ref="O19" si="42">VLOOKUP(L19,Tarifa1,3)</f>
        <v>0.10879999999999999</v>
      </c>
      <c r="P19" s="128">
        <f t="shared" si="36"/>
        <v>77.420992000000012</v>
      </c>
      <c r="Q19" s="130">
        <f t="shared" ref="Q19" si="43">VLOOKUP(L19,Tarifa1,2)</f>
        <v>158.55000000000001</v>
      </c>
      <c r="R19" s="128">
        <f t="shared" si="37"/>
        <v>235.97099200000002</v>
      </c>
      <c r="S19" s="144">
        <f t="shared" ref="S19" si="44">VLOOKUP(L19,Credito1,2)</f>
        <v>125.1</v>
      </c>
      <c r="T19" s="128">
        <f t="shared" si="38"/>
        <v>110.87</v>
      </c>
      <c r="U19" s="127">
        <f t="shared" ref="U19" si="45">-IF(T19&gt;0,0,T19)</f>
        <v>0</v>
      </c>
      <c r="V19" s="127">
        <f t="shared" ref="V19" si="46">IF(T19&lt;0,0,T19)</f>
        <v>110.87</v>
      </c>
      <c r="W19" s="127">
        <f>SUM(V19:V19)</f>
        <v>110.87</v>
      </c>
      <c r="X19" s="127">
        <f>J19+U19-W19</f>
        <v>3300.13</v>
      </c>
      <c r="Y19" s="94"/>
      <c r="Z19" s="92"/>
    </row>
    <row r="20" spans="1:31" s="4" customFormat="1" ht="75" customHeight="1" x14ac:dyDescent="0.2">
      <c r="A20" s="138"/>
      <c r="B20" s="147" t="s">
        <v>277</v>
      </c>
      <c r="C20" s="122"/>
      <c r="D20" s="123" t="s">
        <v>292</v>
      </c>
      <c r="E20" s="123" t="s">
        <v>152</v>
      </c>
      <c r="F20" s="124">
        <v>12</v>
      </c>
      <c r="G20" s="141"/>
      <c r="H20" s="125">
        <v>2365.8200000000002</v>
      </c>
      <c r="I20" s="126">
        <v>0</v>
      </c>
      <c r="J20" s="127">
        <f>SUM(H20:I20)</f>
        <v>2365.8200000000002</v>
      </c>
      <c r="K20" s="128">
        <f>IF(H20/15&lt;=SMG,0,I20/2)</f>
        <v>0</v>
      </c>
      <c r="L20" s="128">
        <f t="shared" ref="L20" si="47">H20+K20</f>
        <v>2365.8200000000002</v>
      </c>
      <c r="M20" s="128">
        <f>VLOOKUP(L20,Tarifa1,1)</f>
        <v>318.01</v>
      </c>
      <c r="N20" s="128">
        <f t="shared" ref="N20" si="48">L20-M20</f>
        <v>2047.8100000000002</v>
      </c>
      <c r="O20" s="129">
        <f>VLOOKUP(L20,Tarifa1,3)</f>
        <v>6.4000000000000001E-2</v>
      </c>
      <c r="P20" s="128">
        <f t="shared" ref="P20" si="49">N20*O20</f>
        <v>131.05984000000001</v>
      </c>
      <c r="Q20" s="130">
        <f>VLOOKUP(L20,Tarifa1,2)</f>
        <v>6.15</v>
      </c>
      <c r="R20" s="128">
        <f t="shared" ref="R20" si="50">P20+Q20</f>
        <v>137.20984000000001</v>
      </c>
      <c r="S20" s="144">
        <f>VLOOKUP(L20,Credito1,2)</f>
        <v>160.35</v>
      </c>
      <c r="T20" s="128">
        <f t="shared" ref="T20" si="51">ROUND(R20-S20,2)</f>
        <v>-23.14</v>
      </c>
      <c r="U20" s="127">
        <f>-IF(T20&gt;0,0,T20)</f>
        <v>23.14</v>
      </c>
      <c r="V20" s="127">
        <f>IF(T20&lt;0,0,T20)</f>
        <v>0</v>
      </c>
      <c r="W20" s="127">
        <f>SUM(V20:V20)</f>
        <v>0</v>
      </c>
      <c r="X20" s="127">
        <f>J20+U20-W20</f>
        <v>2388.96</v>
      </c>
      <c r="Y20" s="94"/>
      <c r="Z20" s="92"/>
    </row>
    <row r="21" spans="1:31" s="4" customFormat="1" ht="75" customHeight="1" x14ac:dyDescent="0.2">
      <c r="A21" s="138"/>
      <c r="B21" s="215"/>
      <c r="C21" s="138"/>
      <c r="D21" s="241"/>
      <c r="E21" s="241"/>
      <c r="F21" s="216"/>
      <c r="G21" s="217"/>
      <c r="H21" s="218"/>
      <c r="I21" s="219"/>
      <c r="J21" s="220"/>
      <c r="K21" s="221"/>
      <c r="L21" s="221"/>
      <c r="M21" s="221"/>
      <c r="N21" s="221"/>
      <c r="O21" s="222"/>
      <c r="P21" s="221"/>
      <c r="Q21" s="223"/>
      <c r="R21" s="221"/>
      <c r="S21" s="224"/>
      <c r="T21" s="221"/>
      <c r="U21" s="220"/>
      <c r="V21" s="220"/>
      <c r="W21" s="220"/>
      <c r="X21" s="220"/>
      <c r="Z21" s="92"/>
    </row>
    <row r="22" spans="1:31" s="4" customFormat="1" ht="24" customHeight="1" x14ac:dyDescent="0.25">
      <c r="A22" s="138"/>
      <c r="B22" s="266" t="s">
        <v>83</v>
      </c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</row>
    <row r="23" spans="1:31" s="4" customFormat="1" ht="24" customHeight="1" x14ac:dyDescent="0.25">
      <c r="A23" s="138"/>
      <c r="B23" s="266" t="s">
        <v>67</v>
      </c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</row>
    <row r="24" spans="1:31" s="4" customFormat="1" ht="25.5" customHeight="1" x14ac:dyDescent="0.25">
      <c r="A24" s="138"/>
      <c r="B24" s="267" t="s">
        <v>270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</row>
    <row r="25" spans="1:31" s="4" customFormat="1" ht="24" customHeight="1" x14ac:dyDescent="0.2">
      <c r="A25" s="138"/>
      <c r="B25" s="215"/>
      <c r="C25" s="138"/>
      <c r="D25" s="241"/>
      <c r="E25" s="241"/>
      <c r="F25" s="216"/>
      <c r="G25" s="217"/>
      <c r="H25" s="218"/>
      <c r="I25" s="219"/>
      <c r="J25" s="220"/>
      <c r="K25" s="221"/>
      <c r="L25" s="221"/>
      <c r="M25" s="221"/>
      <c r="N25" s="221"/>
      <c r="O25" s="222"/>
      <c r="P25" s="221"/>
      <c r="Q25" s="223"/>
      <c r="R25" s="221"/>
      <c r="S25" s="224"/>
      <c r="T25" s="221"/>
      <c r="U25" s="220"/>
      <c r="V25" s="220"/>
      <c r="W25" s="220"/>
      <c r="X25" s="220"/>
      <c r="Z25" s="92"/>
    </row>
    <row r="26" spans="1:31" s="4" customFormat="1" ht="21.75" customHeight="1" x14ac:dyDescent="0.2">
      <c r="A26" s="138"/>
      <c r="B26" s="215"/>
      <c r="C26" s="138"/>
      <c r="D26" s="241"/>
      <c r="E26" s="241"/>
      <c r="F26" s="216"/>
      <c r="G26" s="217"/>
      <c r="H26" s="218"/>
      <c r="I26" s="219"/>
      <c r="J26" s="220"/>
      <c r="K26" s="221"/>
      <c r="L26" s="221"/>
      <c r="M26" s="221"/>
      <c r="N26" s="221"/>
      <c r="O26" s="222"/>
      <c r="P26" s="221"/>
      <c r="Q26" s="223"/>
      <c r="R26" s="221"/>
      <c r="S26" s="224"/>
      <c r="T26" s="221"/>
      <c r="U26" s="220"/>
      <c r="V26" s="220"/>
      <c r="W26" s="220"/>
      <c r="X26" s="220"/>
      <c r="Z26" s="92"/>
    </row>
    <row r="27" spans="1:31" s="4" customFormat="1" ht="57.75" customHeight="1" x14ac:dyDescent="0.25">
      <c r="A27" s="121"/>
      <c r="B27" s="148" t="s">
        <v>106</v>
      </c>
      <c r="C27" s="148" t="s">
        <v>129</v>
      </c>
      <c r="D27" s="149" t="s">
        <v>128</v>
      </c>
      <c r="E27" s="149" t="s">
        <v>63</v>
      </c>
      <c r="F27" s="149"/>
      <c r="G27" s="149"/>
      <c r="H27" s="150">
        <f>SUM(H28:H29)</f>
        <v>9231</v>
      </c>
      <c r="I27" s="150">
        <f>SUM(I28:I29)</f>
        <v>0</v>
      </c>
      <c r="J27" s="150">
        <f>SUM(J28:J29)</f>
        <v>9231</v>
      </c>
      <c r="K27" s="149"/>
      <c r="L27" s="149"/>
      <c r="M27" s="149"/>
      <c r="N27" s="149"/>
      <c r="O27" s="149"/>
      <c r="P27" s="149"/>
      <c r="Q27" s="151"/>
      <c r="R27" s="149"/>
      <c r="S27" s="149"/>
      <c r="T27" s="149"/>
      <c r="U27" s="150">
        <f>SUM(U28:U29)</f>
        <v>0</v>
      </c>
      <c r="V27" s="150">
        <f>SUM(V28:V29)</f>
        <v>739.23</v>
      </c>
      <c r="W27" s="150">
        <f>SUM(W28:W29)</f>
        <v>739.23</v>
      </c>
      <c r="X27" s="150">
        <f>SUM(X28:X29)</f>
        <v>8491.77</v>
      </c>
      <c r="Y27" s="104"/>
    </row>
    <row r="28" spans="1:31" s="4" customFormat="1" ht="75" customHeight="1" x14ac:dyDescent="0.2">
      <c r="A28" s="121" t="s">
        <v>89</v>
      </c>
      <c r="B28" s="147" t="s">
        <v>176</v>
      </c>
      <c r="C28" s="122" t="s">
        <v>120</v>
      </c>
      <c r="D28" s="140" t="s">
        <v>154</v>
      </c>
      <c r="E28" s="140" t="s">
        <v>153</v>
      </c>
      <c r="F28" s="124">
        <v>15</v>
      </c>
      <c r="G28" s="141">
        <f>H28/F28</f>
        <v>323.03333333333336</v>
      </c>
      <c r="H28" s="125">
        <v>4845.5</v>
      </c>
      <c r="I28" s="126">
        <v>0</v>
      </c>
      <c r="J28" s="127">
        <f>SUM(H28:I28)</f>
        <v>4845.5</v>
      </c>
      <c r="K28" s="128">
        <f>IF(H28/15&lt;=SMG,0,I28/2)</f>
        <v>0</v>
      </c>
      <c r="L28" s="128">
        <f t="shared" ref="L28:L29" si="52">H28+K28</f>
        <v>4845.5</v>
      </c>
      <c r="M28" s="128">
        <f>VLOOKUP(L28,Tarifa1,1)</f>
        <v>4744.0600000000004</v>
      </c>
      <c r="N28" s="128">
        <f t="shared" ref="N28:N29" si="53">L28-M28</f>
        <v>101.4399999999996</v>
      </c>
      <c r="O28" s="129">
        <f>VLOOKUP(L28,Tarifa1,3)</f>
        <v>0.16</v>
      </c>
      <c r="P28" s="128">
        <f t="shared" ref="P28:P29" si="54">N28*O28</f>
        <v>16.230399999999936</v>
      </c>
      <c r="Q28" s="130">
        <f>VLOOKUP(L28,Tarifa1,2)</f>
        <v>381</v>
      </c>
      <c r="R28" s="128">
        <f t="shared" ref="R28:R29" si="55">P28+Q28</f>
        <v>397.23039999999992</v>
      </c>
      <c r="S28" s="144">
        <f>VLOOKUP(L28,Credito1,2)</f>
        <v>0</v>
      </c>
      <c r="T28" s="128">
        <f t="shared" ref="T28:T29" si="56">ROUND(R28-S28,2)</f>
        <v>397.23</v>
      </c>
      <c r="U28" s="127">
        <f>-IF(T28&gt;0,0,T28)</f>
        <v>0</v>
      </c>
      <c r="V28" s="127">
        <f>IF(T28&lt;0,0,T28)</f>
        <v>397.23</v>
      </c>
      <c r="W28" s="127">
        <f>SUM(V28:V28)</f>
        <v>397.23</v>
      </c>
      <c r="X28" s="127">
        <f>J28+U28-W28</f>
        <v>4448.2700000000004</v>
      </c>
      <c r="Y28" s="94"/>
      <c r="AE28" s="99"/>
    </row>
    <row r="29" spans="1:31" s="4" customFormat="1" ht="75" customHeight="1" x14ac:dyDescent="0.2">
      <c r="A29" s="121"/>
      <c r="B29" s="147" t="s">
        <v>201</v>
      </c>
      <c r="C29" s="122" t="s">
        <v>120</v>
      </c>
      <c r="D29" s="123" t="s">
        <v>190</v>
      </c>
      <c r="E29" s="140" t="s">
        <v>191</v>
      </c>
      <c r="F29" s="124">
        <v>15</v>
      </c>
      <c r="G29" s="141"/>
      <c r="H29" s="125">
        <v>4385.5</v>
      </c>
      <c r="I29" s="126">
        <v>0</v>
      </c>
      <c r="J29" s="127">
        <f>SUM(H29:I29)</f>
        <v>4385.5</v>
      </c>
      <c r="K29" s="128">
        <f>IF(H29/15&lt;=SMG,0,I29/2)</f>
        <v>0</v>
      </c>
      <c r="L29" s="128">
        <f t="shared" si="52"/>
        <v>4385.5</v>
      </c>
      <c r="M29" s="128">
        <f>VLOOKUP(L29,Tarifa1,1)</f>
        <v>2699.41</v>
      </c>
      <c r="N29" s="128">
        <f t="shared" si="53"/>
        <v>1686.0900000000001</v>
      </c>
      <c r="O29" s="129">
        <f>VLOOKUP(L29,Tarifa1,3)</f>
        <v>0.10879999999999999</v>
      </c>
      <c r="P29" s="128">
        <f t="shared" si="54"/>
        <v>183.44659200000001</v>
      </c>
      <c r="Q29" s="130">
        <f>VLOOKUP(L29,Tarifa1,2)</f>
        <v>158.55000000000001</v>
      </c>
      <c r="R29" s="128">
        <f t="shared" si="55"/>
        <v>341.99659200000002</v>
      </c>
      <c r="S29" s="144">
        <f>VLOOKUP(L29,Credito1,2)</f>
        <v>0</v>
      </c>
      <c r="T29" s="128">
        <f t="shared" si="56"/>
        <v>342</v>
      </c>
      <c r="U29" s="127">
        <f>-IF(T29&gt;0,0,T29)</f>
        <v>0</v>
      </c>
      <c r="V29" s="127">
        <f>IF(T29&lt;0,0,T29)</f>
        <v>342</v>
      </c>
      <c r="W29" s="127">
        <f>SUM(V29:V29)</f>
        <v>342</v>
      </c>
      <c r="X29" s="127">
        <f>J29+U29-W29</f>
        <v>4043.5</v>
      </c>
      <c r="Y29" s="94"/>
      <c r="AE29" s="99"/>
    </row>
    <row r="30" spans="1:31" s="4" customFormat="1" ht="61.5" customHeight="1" x14ac:dyDescent="0.25">
      <c r="A30" s="138"/>
      <c r="B30" s="148" t="s">
        <v>106</v>
      </c>
      <c r="C30" s="148" t="s">
        <v>129</v>
      </c>
      <c r="D30" s="149" t="s">
        <v>315</v>
      </c>
      <c r="E30" s="149" t="s">
        <v>63</v>
      </c>
      <c r="F30" s="149"/>
      <c r="G30" s="149"/>
      <c r="H30" s="150">
        <f t="shared" ref="H30:X30" si="57">SUM(H31:H31)</f>
        <v>2983</v>
      </c>
      <c r="I30" s="150">
        <f t="shared" si="57"/>
        <v>0</v>
      </c>
      <c r="J30" s="150">
        <f t="shared" si="57"/>
        <v>2983</v>
      </c>
      <c r="K30" s="150">
        <f t="shared" si="57"/>
        <v>0</v>
      </c>
      <c r="L30" s="150">
        <f t="shared" si="57"/>
        <v>2983</v>
      </c>
      <c r="M30" s="150">
        <f t="shared" si="57"/>
        <v>2699.41</v>
      </c>
      <c r="N30" s="150">
        <f t="shared" si="57"/>
        <v>283.59000000000015</v>
      </c>
      <c r="O30" s="150">
        <f t="shared" si="57"/>
        <v>0.10879999999999999</v>
      </c>
      <c r="P30" s="150">
        <f t="shared" si="57"/>
        <v>30.854592000000014</v>
      </c>
      <c r="Q30" s="150">
        <f t="shared" si="57"/>
        <v>158.55000000000001</v>
      </c>
      <c r="R30" s="150">
        <f t="shared" si="57"/>
        <v>189.40459200000004</v>
      </c>
      <c r="S30" s="150">
        <f t="shared" si="57"/>
        <v>145.35</v>
      </c>
      <c r="T30" s="150">
        <f t="shared" si="57"/>
        <v>44.05</v>
      </c>
      <c r="U30" s="150">
        <f t="shared" si="57"/>
        <v>0</v>
      </c>
      <c r="V30" s="150">
        <f t="shared" si="57"/>
        <v>44.05</v>
      </c>
      <c r="W30" s="150">
        <f t="shared" si="57"/>
        <v>44.05</v>
      </c>
      <c r="X30" s="150" t="e">
        <f t="shared" si="57"/>
        <v>#REF!</v>
      </c>
      <c r="Y30" s="104"/>
      <c r="AE30" s="99"/>
    </row>
    <row r="31" spans="1:31" s="4" customFormat="1" ht="75" customHeight="1" x14ac:dyDescent="0.2">
      <c r="A31" s="138"/>
      <c r="B31" s="122" t="s">
        <v>316</v>
      </c>
      <c r="C31" s="122" t="s">
        <v>120</v>
      </c>
      <c r="D31" s="123" t="s">
        <v>317</v>
      </c>
      <c r="E31" s="140" t="s">
        <v>318</v>
      </c>
      <c r="F31" s="124">
        <v>15</v>
      </c>
      <c r="G31" s="141">
        <f>H31/F31</f>
        <v>198.86666666666667</v>
      </c>
      <c r="H31" s="125">
        <v>2983</v>
      </c>
      <c r="I31" s="126">
        <v>0</v>
      </c>
      <c r="J31" s="127">
        <f>SUM(H31:I31)</f>
        <v>2983</v>
      </c>
      <c r="K31" s="128">
        <f>IF(H31/15&lt;=SMG,0,I31/2)</f>
        <v>0</v>
      </c>
      <c r="L31" s="128">
        <f t="shared" ref="L31" si="58">H31+K31</f>
        <v>2983</v>
      </c>
      <c r="M31" s="128">
        <f>VLOOKUP(L31,Tarifa1,1)</f>
        <v>2699.41</v>
      </c>
      <c r="N31" s="128">
        <f t="shared" ref="N31" si="59">L31-M31</f>
        <v>283.59000000000015</v>
      </c>
      <c r="O31" s="129">
        <f>VLOOKUP(L31,Tarifa1,3)</f>
        <v>0.10879999999999999</v>
      </c>
      <c r="P31" s="128">
        <f t="shared" ref="P31" si="60">N31*O31</f>
        <v>30.854592000000014</v>
      </c>
      <c r="Q31" s="130">
        <f>VLOOKUP(L31,Tarifa1,2)</f>
        <v>158.55000000000001</v>
      </c>
      <c r="R31" s="128">
        <f t="shared" ref="R31" si="61">P31+Q31</f>
        <v>189.40459200000004</v>
      </c>
      <c r="S31" s="144">
        <f>VLOOKUP(L31,Credito1,2)</f>
        <v>145.35</v>
      </c>
      <c r="T31" s="128">
        <f t="shared" ref="T31" si="62">ROUND(R31-S31,2)</f>
        <v>44.05</v>
      </c>
      <c r="U31" s="127">
        <f>-IF(T31&gt;0,0,T31)</f>
        <v>0</v>
      </c>
      <c r="V31" s="127">
        <f>IF(T31&lt;0,0,T31)</f>
        <v>44.05</v>
      </c>
      <c r="W31" s="127">
        <f>SUM(V31:V31)</f>
        <v>44.05</v>
      </c>
      <c r="X31" s="127" t="e">
        <f>J31+U31-W31-#REF!</f>
        <v>#REF!</v>
      </c>
      <c r="Y31" s="94"/>
      <c r="AE31" s="99"/>
    </row>
    <row r="32" spans="1:31" s="4" customFormat="1" ht="54.75" customHeight="1" x14ac:dyDescent="0.25">
      <c r="A32" s="138"/>
      <c r="B32" s="148" t="s">
        <v>106</v>
      </c>
      <c r="C32" s="148" t="s">
        <v>129</v>
      </c>
      <c r="D32" s="149" t="s">
        <v>319</v>
      </c>
      <c r="E32" s="149" t="s">
        <v>63</v>
      </c>
      <c r="F32" s="149"/>
      <c r="G32" s="149"/>
      <c r="H32" s="150">
        <f>SUM(H33)</f>
        <v>2983</v>
      </c>
      <c r="I32" s="150">
        <f>SUM(I33)</f>
        <v>0</v>
      </c>
      <c r="J32" s="150">
        <f>SUM(J33)</f>
        <v>2983</v>
      </c>
      <c r="K32" s="149"/>
      <c r="L32" s="149"/>
      <c r="M32" s="149"/>
      <c r="N32" s="149"/>
      <c r="O32" s="149"/>
      <c r="P32" s="149"/>
      <c r="Q32" s="151"/>
      <c r="R32" s="149"/>
      <c r="S32" s="149"/>
      <c r="T32" s="149"/>
      <c r="U32" s="150">
        <f>SUM(U33)</f>
        <v>0</v>
      </c>
      <c r="V32" s="150">
        <f>SUM(V33)</f>
        <v>44.05</v>
      </c>
      <c r="W32" s="150">
        <f>SUM(W33)</f>
        <v>44.05</v>
      </c>
      <c r="X32" s="150" t="e">
        <f>SUM(X33)</f>
        <v>#REF!</v>
      </c>
      <c r="Y32" s="104"/>
      <c r="AE32" s="99"/>
    </row>
    <row r="33" spans="1:37" s="4" customFormat="1" ht="75" customHeight="1" x14ac:dyDescent="0.2">
      <c r="A33" s="138"/>
      <c r="B33" s="122" t="s">
        <v>320</v>
      </c>
      <c r="C33" s="122" t="s">
        <v>120</v>
      </c>
      <c r="D33" s="123" t="s">
        <v>321</v>
      </c>
      <c r="E33" s="140" t="s">
        <v>322</v>
      </c>
      <c r="F33" s="124">
        <v>15</v>
      </c>
      <c r="G33" s="141">
        <f>H33/F33</f>
        <v>198.86666666666667</v>
      </c>
      <c r="H33" s="125">
        <v>2983</v>
      </c>
      <c r="I33" s="126">
        <v>0</v>
      </c>
      <c r="J33" s="127">
        <f>SUM(H33:I33)</f>
        <v>2983</v>
      </c>
      <c r="K33" s="128">
        <f>IF(H33/15&lt;=SMG,0,I33/2)</f>
        <v>0</v>
      </c>
      <c r="L33" s="128">
        <f t="shared" ref="L33" si="63">H33+K33</f>
        <v>2983</v>
      </c>
      <c r="M33" s="128">
        <f>VLOOKUP(L33,Tarifa1,1)</f>
        <v>2699.41</v>
      </c>
      <c r="N33" s="128">
        <f t="shared" ref="N33" si="64">L33-M33</f>
        <v>283.59000000000015</v>
      </c>
      <c r="O33" s="129">
        <f>VLOOKUP(L33,Tarifa1,3)</f>
        <v>0.10879999999999999</v>
      </c>
      <c r="P33" s="128">
        <f t="shared" ref="P33" si="65">N33*O33</f>
        <v>30.854592000000014</v>
      </c>
      <c r="Q33" s="130">
        <f>VLOOKUP(L33,Tarifa1,2)</f>
        <v>158.55000000000001</v>
      </c>
      <c r="R33" s="128">
        <f t="shared" ref="R33" si="66">P33+Q33</f>
        <v>189.40459200000004</v>
      </c>
      <c r="S33" s="144">
        <f>VLOOKUP(L33,Credito1,2)</f>
        <v>145.35</v>
      </c>
      <c r="T33" s="128">
        <f t="shared" ref="T33" si="67">ROUND(R33-S33,2)</f>
        <v>44.05</v>
      </c>
      <c r="U33" s="127">
        <f>-IF(T33&gt;0,0,T33)</f>
        <v>0</v>
      </c>
      <c r="V33" s="127">
        <f>IF(T33&lt;0,0,T33)</f>
        <v>44.05</v>
      </c>
      <c r="W33" s="127">
        <f>SUM(V33:V33)</f>
        <v>44.05</v>
      </c>
      <c r="X33" s="127" t="e">
        <f>J33+U33-W33-#REF!</f>
        <v>#REF!</v>
      </c>
      <c r="Y33" s="94"/>
      <c r="AE33" s="99"/>
    </row>
    <row r="34" spans="1:37" s="4" customFormat="1" ht="27.75" customHeight="1" x14ac:dyDescent="0.25">
      <c r="A34" s="152"/>
      <c r="B34" s="152"/>
      <c r="C34" s="152"/>
      <c r="D34" s="152"/>
      <c r="E34" s="152"/>
      <c r="F34" s="152"/>
      <c r="G34" s="152"/>
      <c r="H34" s="153"/>
      <c r="I34" s="153"/>
      <c r="J34" s="153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</row>
    <row r="35" spans="1:37" s="4" customFormat="1" ht="75" customHeight="1" thickBot="1" x14ac:dyDescent="0.3">
      <c r="A35" s="255" t="s">
        <v>45</v>
      </c>
      <c r="B35" s="256"/>
      <c r="C35" s="256"/>
      <c r="D35" s="256"/>
      <c r="E35" s="256"/>
      <c r="F35" s="256"/>
      <c r="G35" s="257"/>
      <c r="H35" s="133">
        <f>H9+H27+H30+H32</f>
        <v>50161.020000000004</v>
      </c>
      <c r="I35" s="133">
        <f>I9+I27+I30+I32</f>
        <v>0</v>
      </c>
      <c r="J35" s="133">
        <f>J9+J27+J30+J32</f>
        <v>50161.020000000004</v>
      </c>
      <c r="K35" s="134">
        <f t="shared" ref="K35:T35" si="68">SUM(K10:K34)</f>
        <v>0</v>
      </c>
      <c r="L35" s="134">
        <f t="shared" si="68"/>
        <v>53144.020000000004</v>
      </c>
      <c r="M35" s="134">
        <f t="shared" si="68"/>
        <v>38091.009999999995</v>
      </c>
      <c r="N35" s="134">
        <f t="shared" si="68"/>
        <v>15053.010000000002</v>
      </c>
      <c r="O35" s="134">
        <f t="shared" si="68"/>
        <v>1.6576</v>
      </c>
      <c r="P35" s="134">
        <f t="shared" si="68"/>
        <v>1365.1568639999996</v>
      </c>
      <c r="Q35" s="134">
        <f t="shared" si="68"/>
        <v>2302.0500000000002</v>
      </c>
      <c r="R35" s="134">
        <f t="shared" si="68"/>
        <v>3667.2068639999998</v>
      </c>
      <c r="S35" s="134">
        <f t="shared" si="68"/>
        <v>1809.7499999999995</v>
      </c>
      <c r="T35" s="134">
        <f t="shared" si="68"/>
        <v>1857.45</v>
      </c>
      <c r="U35" s="133">
        <f>U9+U27+U30+U32</f>
        <v>80.14</v>
      </c>
      <c r="V35" s="133">
        <f>V9+V27+V30+V32</f>
        <v>1893.54</v>
      </c>
      <c r="W35" s="133">
        <f>W9+W27+W30+W32</f>
        <v>1893.54</v>
      </c>
      <c r="X35" s="133" t="e">
        <f>X9+X27+X30+X32</f>
        <v>#REF!</v>
      </c>
    </row>
    <row r="36" spans="1:37" s="4" customFormat="1" ht="18" customHeight="1" thickTop="1" x14ac:dyDescent="0.25">
      <c r="A36" s="242"/>
      <c r="B36" s="242"/>
      <c r="C36" s="242"/>
      <c r="D36" s="242"/>
      <c r="E36" s="242"/>
      <c r="F36" s="242"/>
      <c r="G36" s="242"/>
      <c r="H36" s="243"/>
      <c r="I36" s="243"/>
      <c r="J36" s="243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3"/>
      <c r="V36" s="243"/>
      <c r="W36" s="243"/>
      <c r="X36" s="243"/>
    </row>
    <row r="37" spans="1:37" s="4" customFormat="1" ht="18" customHeight="1" x14ac:dyDescent="0.25">
      <c r="A37" s="242"/>
      <c r="B37" s="242"/>
      <c r="C37" s="242"/>
      <c r="D37" s="242"/>
      <c r="E37" s="242"/>
      <c r="F37" s="242"/>
      <c r="G37" s="242"/>
      <c r="H37" s="243"/>
      <c r="I37" s="243"/>
      <c r="J37" s="243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3"/>
      <c r="V37" s="243"/>
      <c r="W37" s="243"/>
      <c r="X37" s="243"/>
    </row>
    <row r="38" spans="1:37" s="4" customFormat="1" ht="18" customHeight="1" x14ac:dyDescent="0.25">
      <c r="A38" s="242"/>
      <c r="B38" s="242"/>
      <c r="C38" s="242"/>
      <c r="D38" s="242"/>
      <c r="E38" s="242"/>
      <c r="F38" s="242"/>
      <c r="G38" s="242"/>
      <c r="H38" s="243"/>
      <c r="I38" s="243"/>
      <c r="J38" s="243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3"/>
      <c r="V38" s="243"/>
      <c r="W38" s="243"/>
      <c r="X38" s="243"/>
    </row>
    <row r="39" spans="1:37" s="4" customFormat="1" ht="18" customHeight="1" x14ac:dyDescent="0.25">
      <c r="A39" s="242"/>
      <c r="B39" s="242"/>
      <c r="C39" s="242"/>
      <c r="D39" s="242"/>
      <c r="E39" s="242"/>
      <c r="F39" s="242"/>
      <c r="G39" s="242"/>
      <c r="H39" s="243"/>
      <c r="I39" s="243"/>
      <c r="J39" s="243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3"/>
      <c r="V39" s="243"/>
      <c r="W39" s="243"/>
      <c r="X39" s="243"/>
    </row>
    <row r="40" spans="1:37" s="4" customFormat="1" ht="18" customHeight="1" x14ac:dyDescent="0.25">
      <c r="A40" s="242"/>
      <c r="B40" s="242"/>
      <c r="C40" s="242"/>
      <c r="D40" s="242"/>
      <c r="E40" s="242"/>
      <c r="F40" s="242"/>
      <c r="G40" s="242"/>
      <c r="H40" s="243"/>
      <c r="I40" s="243"/>
      <c r="J40" s="243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3"/>
      <c r="V40" s="243"/>
      <c r="W40" s="243"/>
      <c r="X40" s="243"/>
    </row>
    <row r="41" spans="1:37" s="4" customFormat="1" x14ac:dyDescent="0.2"/>
    <row r="42" spans="1:37" s="4" customFormat="1" x14ac:dyDescent="0.2"/>
    <row r="43" spans="1:37" s="4" customFormat="1" x14ac:dyDescent="0.2"/>
    <row r="44" spans="1:37" s="4" customFormat="1" ht="15" x14ac:dyDescent="0.25">
      <c r="D44" s="102" t="s">
        <v>264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102" t="s">
        <v>167</v>
      </c>
      <c r="W44" s="98"/>
      <c r="X44" s="98"/>
    </row>
    <row r="45" spans="1:37" s="4" customFormat="1" ht="15" x14ac:dyDescent="0.25">
      <c r="D45" s="102" t="s">
        <v>263</v>
      </c>
      <c r="E45" s="102"/>
      <c r="F45" s="102"/>
      <c r="G45" s="102"/>
      <c r="H45" s="102"/>
      <c r="I45" s="102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102" t="s">
        <v>305</v>
      </c>
      <c r="W45" s="102"/>
      <c r="X45" s="102"/>
      <c r="Y45" s="43"/>
      <c r="Z45" s="43"/>
      <c r="AA45" s="43"/>
      <c r="AB45" s="43"/>
      <c r="AC45" s="43"/>
      <c r="AD45" s="43"/>
      <c r="AE45" s="43"/>
      <c r="AF45" s="43"/>
      <c r="AG45" s="43"/>
      <c r="AJ45" s="43"/>
      <c r="AK45" s="43"/>
    </row>
    <row r="46" spans="1:37" s="4" customFormat="1" x14ac:dyDescent="0.2"/>
    <row r="47" spans="1:37" s="4" customFormat="1" x14ac:dyDescent="0.2"/>
    <row r="48" spans="1:37" s="4" customFormat="1" x14ac:dyDescent="0.2"/>
  </sheetData>
  <mergeCells count="10">
    <mergeCell ref="A35:G35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36"/>
  <sheetViews>
    <sheetView topLeftCell="B15" zoomScale="86" zoomScaleNormal="86" workbookViewId="0">
      <selection activeCell="W15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9.7109375" customWidth="1"/>
    <col min="5" max="5" width="29" customWidth="1"/>
    <col min="6" max="6" width="7.42578125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3" width="11.42578125" customWidth="1"/>
    <col min="24" max="24" width="12.7109375" customWidth="1"/>
    <col min="25" max="25" width="68.140625" customWidth="1"/>
    <col min="26" max="26" width="1.28515625" customWidth="1"/>
  </cols>
  <sheetData>
    <row r="1" spans="1:31" ht="18" x14ac:dyDescent="0.25">
      <c r="A1" s="266" t="s">
        <v>83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</row>
    <row r="2" spans="1:31" ht="18" x14ac:dyDescent="0.25">
      <c r="A2" s="266" t="s">
        <v>67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31" ht="18" x14ac:dyDescent="0.25">
      <c r="A3" s="267" t="s">
        <v>270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3" customFormat="1" ht="12.75" customHeight="1" x14ac:dyDescent="0.2">
      <c r="A5" s="49"/>
      <c r="B5" s="49"/>
      <c r="C5" s="277" t="s">
        <v>129</v>
      </c>
      <c r="D5" s="49"/>
      <c r="E5" s="49"/>
      <c r="F5" s="50" t="s">
        <v>23</v>
      </c>
      <c r="G5" s="50" t="s">
        <v>6</v>
      </c>
      <c r="H5" s="280" t="s">
        <v>1</v>
      </c>
      <c r="I5" s="281"/>
      <c r="J5" s="282"/>
      <c r="K5" s="51" t="s">
        <v>26</v>
      </c>
      <c r="L5" s="52"/>
      <c r="M5" s="283" t="s">
        <v>9</v>
      </c>
      <c r="N5" s="284"/>
      <c r="O5" s="284"/>
      <c r="P5" s="284"/>
      <c r="Q5" s="284"/>
      <c r="R5" s="285"/>
      <c r="S5" s="51" t="s">
        <v>30</v>
      </c>
      <c r="T5" s="51" t="s">
        <v>10</v>
      </c>
      <c r="U5" s="50" t="s">
        <v>54</v>
      </c>
      <c r="V5" s="286" t="s">
        <v>2</v>
      </c>
      <c r="W5" s="287"/>
      <c r="X5" s="50" t="s">
        <v>0</v>
      </c>
      <c r="Y5" s="49"/>
    </row>
    <row r="6" spans="1:31" s="53" customFormat="1" ht="24" x14ac:dyDescent="0.2">
      <c r="A6" s="54" t="s">
        <v>21</v>
      </c>
      <c r="B6" s="48" t="s">
        <v>106</v>
      </c>
      <c r="C6" s="278"/>
      <c r="D6" s="54" t="s">
        <v>22</v>
      </c>
      <c r="E6" s="54"/>
      <c r="F6" s="55" t="s">
        <v>24</v>
      </c>
      <c r="G6" s="54" t="s">
        <v>25</v>
      </c>
      <c r="H6" s="50" t="s">
        <v>6</v>
      </c>
      <c r="I6" s="50" t="s">
        <v>60</v>
      </c>
      <c r="J6" s="50" t="s">
        <v>28</v>
      </c>
      <c r="K6" s="56" t="s">
        <v>27</v>
      </c>
      <c r="L6" s="52" t="s">
        <v>32</v>
      </c>
      <c r="M6" s="52" t="s">
        <v>12</v>
      </c>
      <c r="N6" s="52" t="s">
        <v>34</v>
      </c>
      <c r="O6" s="52" t="s">
        <v>36</v>
      </c>
      <c r="P6" s="52" t="s">
        <v>37</v>
      </c>
      <c r="Q6" s="90" t="s">
        <v>14</v>
      </c>
      <c r="R6" s="52" t="s">
        <v>10</v>
      </c>
      <c r="S6" s="56" t="s">
        <v>40</v>
      </c>
      <c r="T6" s="56" t="s">
        <v>41</v>
      </c>
      <c r="U6" s="54" t="s">
        <v>31</v>
      </c>
      <c r="V6" s="50" t="s">
        <v>3</v>
      </c>
      <c r="W6" s="50" t="s">
        <v>7</v>
      </c>
      <c r="X6" s="54" t="s">
        <v>4</v>
      </c>
      <c r="Y6" s="54" t="s">
        <v>59</v>
      </c>
    </row>
    <row r="7" spans="1:31" s="53" customFormat="1" ht="12" x14ac:dyDescent="0.2">
      <c r="A7" s="54"/>
      <c r="B7" s="54"/>
      <c r="C7" s="279"/>
      <c r="D7" s="54"/>
      <c r="E7" s="54"/>
      <c r="F7" s="54"/>
      <c r="G7" s="54"/>
      <c r="H7" s="54" t="s">
        <v>47</v>
      </c>
      <c r="I7" s="54" t="s">
        <v>61</v>
      </c>
      <c r="J7" s="54" t="s">
        <v>29</v>
      </c>
      <c r="K7" s="56" t="s">
        <v>43</v>
      </c>
      <c r="L7" s="51" t="s">
        <v>33</v>
      </c>
      <c r="M7" s="51" t="s">
        <v>13</v>
      </c>
      <c r="N7" s="51" t="s">
        <v>35</v>
      </c>
      <c r="O7" s="51" t="s">
        <v>35</v>
      </c>
      <c r="P7" s="51" t="s">
        <v>38</v>
      </c>
      <c r="Q7" s="91" t="s">
        <v>15</v>
      </c>
      <c r="R7" s="51" t="s">
        <v>39</v>
      </c>
      <c r="S7" s="56" t="s">
        <v>19</v>
      </c>
      <c r="T7" s="57" t="s">
        <v>130</v>
      </c>
      <c r="U7" s="54" t="s">
        <v>53</v>
      </c>
      <c r="V7" s="54"/>
      <c r="W7" s="54" t="s">
        <v>44</v>
      </c>
      <c r="X7" s="54" t="s">
        <v>5</v>
      </c>
      <c r="Y7" s="58"/>
    </row>
    <row r="8" spans="1:31" s="53" customFormat="1" ht="46.5" customHeight="1" x14ac:dyDescent="0.25">
      <c r="A8" s="37"/>
      <c r="B8" s="108" t="s">
        <v>106</v>
      </c>
      <c r="C8" s="108" t="s">
        <v>129</v>
      </c>
      <c r="D8" s="37" t="s">
        <v>158</v>
      </c>
      <c r="E8" s="37" t="s">
        <v>63</v>
      </c>
      <c r="F8" s="37"/>
      <c r="G8" s="37"/>
      <c r="H8" s="105">
        <f>SUM(H9:H9)</f>
        <v>3826.75</v>
      </c>
      <c r="I8" s="105">
        <f>SUM(I9:I9)</f>
        <v>0</v>
      </c>
      <c r="J8" s="105">
        <f>SUM(J9:J9)</f>
        <v>3826.75</v>
      </c>
      <c r="K8" s="37"/>
      <c r="L8" s="37"/>
      <c r="M8" s="37"/>
      <c r="N8" s="37"/>
      <c r="O8" s="37"/>
      <c r="P8" s="37"/>
      <c r="Q8" s="106"/>
      <c r="R8" s="37"/>
      <c r="S8" s="37"/>
      <c r="T8" s="37"/>
      <c r="U8" s="105">
        <f>SUM(U9:U9)</f>
        <v>0</v>
      </c>
      <c r="V8" s="105">
        <f>SUM(V9:V9)</f>
        <v>281.2</v>
      </c>
      <c r="W8" s="105">
        <f>SUM(W9:W9)</f>
        <v>281.2</v>
      </c>
      <c r="X8" s="105">
        <f>SUM(X9:X9)</f>
        <v>3545.55</v>
      </c>
      <c r="Y8" s="107"/>
    </row>
    <row r="9" spans="1:31" s="53" customFormat="1" ht="50.25" customHeight="1" x14ac:dyDescent="0.25">
      <c r="A9" s="37"/>
      <c r="B9" s="227">
        <v>275</v>
      </c>
      <c r="C9" s="239" t="s">
        <v>120</v>
      </c>
      <c r="D9" s="240" t="s">
        <v>308</v>
      </c>
      <c r="E9" s="229" t="s">
        <v>271</v>
      </c>
      <c r="F9" s="228">
        <v>9</v>
      </c>
      <c r="G9" s="228"/>
      <c r="H9" s="230">
        <v>3826.75</v>
      </c>
      <c r="I9" s="231">
        <v>0</v>
      </c>
      <c r="J9" s="232">
        <f t="shared" ref="J9" si="0">SUM(H9:I9)</f>
        <v>3826.75</v>
      </c>
      <c r="K9" s="233">
        <f>IF(H9/15&lt;=SMG,0,I9/2)</f>
        <v>0</v>
      </c>
      <c r="L9" s="233">
        <f t="shared" ref="L9" si="1">H9+K9</f>
        <v>3826.75</v>
      </c>
      <c r="M9" s="233">
        <f>VLOOKUP(L9,Tarifa1,1)</f>
        <v>2699.41</v>
      </c>
      <c r="N9" s="233">
        <f t="shared" ref="N9" si="2">L9-M9</f>
        <v>1127.3400000000001</v>
      </c>
      <c r="O9" s="234">
        <f>VLOOKUP(L9,Tarifa1,3)</f>
        <v>0.10879999999999999</v>
      </c>
      <c r="P9" s="233">
        <f t="shared" ref="P9" si="3">N9*O9</f>
        <v>122.65459200000001</v>
      </c>
      <c r="Q9" s="235">
        <f>VLOOKUP(L9,Tarifa1,2)</f>
        <v>158.55000000000001</v>
      </c>
      <c r="R9" s="233">
        <f t="shared" ref="R9" si="4">P9+Q9</f>
        <v>281.20459200000005</v>
      </c>
      <c r="S9" s="236">
        <f>VLOOKUP(L9,Credito1,2)</f>
        <v>0</v>
      </c>
      <c r="T9" s="233">
        <f t="shared" ref="T9" si="5">ROUND(R9-S9,2)</f>
        <v>281.2</v>
      </c>
      <c r="U9" s="232">
        <f t="shared" ref="U9" si="6">-IF(T9&gt;0,0,T9)</f>
        <v>0</v>
      </c>
      <c r="V9" s="232">
        <f t="shared" ref="V9" si="7">IF(T9&lt;0,0,T9)</f>
        <v>281.2</v>
      </c>
      <c r="W9" s="232">
        <f>SUM(V9:V9)</f>
        <v>281.2</v>
      </c>
      <c r="X9" s="232">
        <f>J9+U9-W9</f>
        <v>3545.55</v>
      </c>
      <c r="Y9" s="226"/>
    </row>
    <row r="10" spans="1:31" s="53" customFormat="1" ht="42.75" customHeight="1" x14ac:dyDescent="0.25">
      <c r="A10" s="47"/>
      <c r="B10" s="108" t="s">
        <v>106</v>
      </c>
      <c r="C10" s="108" t="s">
        <v>129</v>
      </c>
      <c r="D10" s="37" t="s">
        <v>220</v>
      </c>
      <c r="E10" s="37" t="s">
        <v>63</v>
      </c>
      <c r="F10" s="37"/>
      <c r="G10" s="37"/>
      <c r="H10" s="105">
        <f>SUM(H11)</f>
        <v>6610</v>
      </c>
      <c r="I10" s="105">
        <f>SUM(I11)</f>
        <v>0</v>
      </c>
      <c r="J10" s="105">
        <f>SUM(J11)</f>
        <v>6610</v>
      </c>
      <c r="K10" s="37"/>
      <c r="L10" s="37"/>
      <c r="M10" s="37"/>
      <c r="N10" s="37"/>
      <c r="O10" s="37"/>
      <c r="P10" s="37"/>
      <c r="Q10" s="106"/>
      <c r="R10" s="37"/>
      <c r="S10" s="37"/>
      <c r="T10" s="37"/>
      <c r="U10" s="105">
        <f>SUM(U11)</f>
        <v>0</v>
      </c>
      <c r="V10" s="105">
        <f>SUM(V11)</f>
        <v>700.86</v>
      </c>
      <c r="W10" s="105">
        <f>SUM(W11)</f>
        <v>700.86</v>
      </c>
      <c r="X10" s="105">
        <f>SUM(X11)</f>
        <v>5909.14</v>
      </c>
      <c r="Y10" s="107"/>
      <c r="AE10" s="61"/>
    </row>
    <row r="11" spans="1:31" s="53" customFormat="1" ht="58.5" customHeight="1" x14ac:dyDescent="0.2">
      <c r="A11" s="47"/>
      <c r="B11" s="147" t="s">
        <v>221</v>
      </c>
      <c r="C11" s="122" t="s">
        <v>120</v>
      </c>
      <c r="D11" s="174" t="s">
        <v>219</v>
      </c>
      <c r="E11" s="140" t="s">
        <v>310</v>
      </c>
      <c r="F11" s="124">
        <v>15</v>
      </c>
      <c r="G11" s="141">
        <f>H11/F11</f>
        <v>440.66666666666669</v>
      </c>
      <c r="H11" s="125">
        <v>6610</v>
      </c>
      <c r="I11" s="126">
        <v>0</v>
      </c>
      <c r="J11" s="127">
        <f>SUM(H11:I11)</f>
        <v>6610</v>
      </c>
      <c r="K11" s="128">
        <f>IF(H11/15&lt;=SMG,0,I11/2)</f>
        <v>0</v>
      </c>
      <c r="L11" s="128">
        <f t="shared" ref="L11" si="8">H11+K11</f>
        <v>6610</v>
      </c>
      <c r="M11" s="128">
        <f>VLOOKUP(L11,Tarifa1,1)</f>
        <v>6602.71</v>
      </c>
      <c r="N11" s="128">
        <f t="shared" ref="N11" si="9">L11-M11</f>
        <v>7.2899999999999636</v>
      </c>
      <c r="O11" s="129">
        <f>VLOOKUP(L11,Tarifa1,3)</f>
        <v>0.21360000000000001</v>
      </c>
      <c r="P11" s="128">
        <f t="shared" ref="P11" si="10">N11*O11</f>
        <v>1.5571439999999923</v>
      </c>
      <c r="Q11" s="130">
        <f>VLOOKUP(L11,Tarifa1,2)</f>
        <v>699.3</v>
      </c>
      <c r="R11" s="128">
        <f t="shared" ref="R11" si="11">P11+Q11</f>
        <v>700.85714399999995</v>
      </c>
      <c r="S11" s="144">
        <f>VLOOKUP(L11,Credito1,2)</f>
        <v>0</v>
      </c>
      <c r="T11" s="128">
        <f t="shared" ref="T11" si="12">ROUND(R11-S11,2)</f>
        <v>700.86</v>
      </c>
      <c r="U11" s="127">
        <f>-IF(T11&gt;0,0,T11)</f>
        <v>0</v>
      </c>
      <c r="V11" s="127">
        <f>IF(T11&lt;0,0,T11)</f>
        <v>700.86</v>
      </c>
      <c r="W11" s="127">
        <f>SUM(V11:V11)</f>
        <v>700.86</v>
      </c>
      <c r="X11" s="127">
        <f>J11+U11-W11</f>
        <v>5909.14</v>
      </c>
      <c r="Y11" s="97"/>
      <c r="AE11" s="61"/>
    </row>
    <row r="12" spans="1:31" s="53" customFormat="1" ht="45.75" customHeight="1" x14ac:dyDescent="0.25">
      <c r="A12" s="47"/>
      <c r="B12" s="108" t="s">
        <v>106</v>
      </c>
      <c r="C12" s="108" t="s">
        <v>129</v>
      </c>
      <c r="D12" s="37" t="s">
        <v>132</v>
      </c>
      <c r="E12" s="37" t="s">
        <v>63</v>
      </c>
      <c r="F12" s="37"/>
      <c r="G12" s="37"/>
      <c r="H12" s="105">
        <f>SUM(H13:H15)</f>
        <v>13697</v>
      </c>
      <c r="I12" s="105">
        <f>SUM(I13:I15)</f>
        <v>0</v>
      </c>
      <c r="J12" s="105">
        <f>SUM(J13:J15)</f>
        <v>13697</v>
      </c>
      <c r="K12" s="37"/>
      <c r="L12" s="37"/>
      <c r="M12" s="37"/>
      <c r="N12" s="37"/>
      <c r="O12" s="37"/>
      <c r="P12" s="37"/>
      <c r="Q12" s="106"/>
      <c r="R12" s="37"/>
      <c r="S12" s="37"/>
      <c r="T12" s="37"/>
      <c r="U12" s="105">
        <f>SUM(U13:U15)</f>
        <v>0</v>
      </c>
      <c r="V12" s="105">
        <f>SUM(V13:V15)</f>
        <v>1171.4299999999998</v>
      </c>
      <c r="W12" s="105">
        <f>SUM(W13:W15)</f>
        <v>1171.4299999999998</v>
      </c>
      <c r="X12" s="105">
        <f>SUM(X13:X15)</f>
        <v>12525.57</v>
      </c>
      <c r="Y12" s="107"/>
      <c r="AE12" s="61"/>
    </row>
    <row r="13" spans="1:31" s="53" customFormat="1" ht="60" customHeight="1" x14ac:dyDescent="0.2">
      <c r="A13" s="47" t="s">
        <v>92</v>
      </c>
      <c r="B13" s="47" t="s">
        <v>119</v>
      </c>
      <c r="C13" s="47" t="s">
        <v>120</v>
      </c>
      <c r="D13" s="237" t="s">
        <v>98</v>
      </c>
      <c r="E13" s="140" t="s">
        <v>99</v>
      </c>
      <c r="F13" s="124">
        <v>15</v>
      </c>
      <c r="G13" s="141">
        <f t="shared" ref="G13:G21" si="13">H13/F13</f>
        <v>412.33333333333331</v>
      </c>
      <c r="H13" s="125">
        <v>6185</v>
      </c>
      <c r="I13" s="126">
        <v>0</v>
      </c>
      <c r="J13" s="127">
        <f>H13</f>
        <v>6185</v>
      </c>
      <c r="K13" s="128">
        <f>IF(H13/15&lt;=SMG,0,I13/2)</f>
        <v>0</v>
      </c>
      <c r="L13" s="128">
        <f t="shared" ref="L13:L15" si="14">H13+K13</f>
        <v>6185</v>
      </c>
      <c r="M13" s="128">
        <f>VLOOKUP(L13,Tarifa1,1)</f>
        <v>5514.76</v>
      </c>
      <c r="N13" s="128">
        <f t="shared" ref="N13:N15" si="15">L13-M13</f>
        <v>670.23999999999978</v>
      </c>
      <c r="O13" s="129">
        <f>VLOOKUP(L13,Tarifa1,3)</f>
        <v>0.1792</v>
      </c>
      <c r="P13" s="128">
        <f t="shared" ref="P13:P15" si="16">N13*O13</f>
        <v>120.10700799999996</v>
      </c>
      <c r="Q13" s="130">
        <f>VLOOKUP(L13,Tarifa1,2)</f>
        <v>504.3</v>
      </c>
      <c r="R13" s="128">
        <f t="shared" ref="R13:R15" si="17">P13+Q13</f>
        <v>624.40700800000002</v>
      </c>
      <c r="S13" s="144">
        <f>VLOOKUP(L13,Credito1,2)</f>
        <v>0</v>
      </c>
      <c r="T13" s="128">
        <f t="shared" ref="T13:T15" si="18">ROUND(R13-S13,2)</f>
        <v>624.41</v>
      </c>
      <c r="U13" s="127">
        <f>-IF(T13&gt;0,0,T13)</f>
        <v>0</v>
      </c>
      <c r="V13" s="127">
        <f>IF(T13&lt;0,0,T13)</f>
        <v>624.41</v>
      </c>
      <c r="W13" s="127">
        <f>SUM(V13:V13)</f>
        <v>624.41</v>
      </c>
      <c r="X13" s="127">
        <f>J13+U13-W13</f>
        <v>5560.59</v>
      </c>
      <c r="Y13" s="97"/>
      <c r="AE13" s="67"/>
    </row>
    <row r="14" spans="1:31" s="53" customFormat="1" ht="58.5" customHeight="1" x14ac:dyDescent="0.2">
      <c r="A14" s="47"/>
      <c r="B14" s="147" t="s">
        <v>202</v>
      </c>
      <c r="C14" s="122" t="s">
        <v>120</v>
      </c>
      <c r="D14" s="174" t="s">
        <v>187</v>
      </c>
      <c r="E14" s="140" t="s">
        <v>188</v>
      </c>
      <c r="F14" s="124">
        <v>15</v>
      </c>
      <c r="G14" s="141"/>
      <c r="H14" s="125">
        <v>3756</v>
      </c>
      <c r="I14" s="126">
        <v>0</v>
      </c>
      <c r="J14" s="127">
        <f>SUM(H14:I14)</f>
        <v>3756</v>
      </c>
      <c r="K14" s="128">
        <f>IF(H14/15&lt;=SMG,0,I14/2)</f>
        <v>0</v>
      </c>
      <c r="L14" s="128">
        <f t="shared" si="14"/>
        <v>3756</v>
      </c>
      <c r="M14" s="128">
        <f>VLOOKUP(L14,Tarifa1,1)</f>
        <v>2699.41</v>
      </c>
      <c r="N14" s="128">
        <f t="shared" si="15"/>
        <v>1056.5900000000001</v>
      </c>
      <c r="O14" s="129">
        <f>VLOOKUP(L14,Tarifa1,3)</f>
        <v>0.10879999999999999</v>
      </c>
      <c r="P14" s="128">
        <f t="shared" si="16"/>
        <v>114.95699200000001</v>
      </c>
      <c r="Q14" s="130">
        <f>VLOOKUP(L14,Tarifa1,2)</f>
        <v>158.55000000000001</v>
      </c>
      <c r="R14" s="128">
        <f t="shared" si="17"/>
        <v>273.50699200000003</v>
      </c>
      <c r="S14" s="144">
        <f>VLOOKUP(L14,Credito1,2)</f>
        <v>0</v>
      </c>
      <c r="T14" s="128">
        <f t="shared" si="18"/>
        <v>273.51</v>
      </c>
      <c r="U14" s="127">
        <f>-IF(T14&gt;0,0,T14)</f>
        <v>0</v>
      </c>
      <c r="V14" s="172">
        <f>IF(T14&lt;0,0,T14)</f>
        <v>273.51</v>
      </c>
      <c r="W14" s="127">
        <f>SUM(V14:V14)</f>
        <v>273.51</v>
      </c>
      <c r="X14" s="127">
        <f>J14+U14-W14</f>
        <v>3482.49</v>
      </c>
      <c r="Y14" s="97"/>
      <c r="AE14" s="67"/>
    </row>
    <row r="15" spans="1:31" s="53" customFormat="1" ht="58.5" customHeight="1" x14ac:dyDescent="0.2">
      <c r="A15" s="47"/>
      <c r="B15" s="147" t="s">
        <v>226</v>
      </c>
      <c r="C15" s="122" t="s">
        <v>166</v>
      </c>
      <c r="D15" s="174" t="s">
        <v>222</v>
      </c>
      <c r="E15" s="140" t="s">
        <v>188</v>
      </c>
      <c r="F15" s="124">
        <v>15</v>
      </c>
      <c r="G15" s="141"/>
      <c r="H15" s="125">
        <v>3756</v>
      </c>
      <c r="I15" s="126">
        <v>0</v>
      </c>
      <c r="J15" s="127">
        <f>SUM(H15:I15)</f>
        <v>3756</v>
      </c>
      <c r="K15" s="128">
        <f>IF(H15/15&lt;=SMG,0,I15/2)</f>
        <v>0</v>
      </c>
      <c r="L15" s="128">
        <f t="shared" si="14"/>
        <v>3756</v>
      </c>
      <c r="M15" s="128">
        <f>VLOOKUP(L15,Tarifa1,1)</f>
        <v>2699.41</v>
      </c>
      <c r="N15" s="128">
        <f t="shared" si="15"/>
        <v>1056.5900000000001</v>
      </c>
      <c r="O15" s="129">
        <f>VLOOKUP(L15,Tarifa1,3)</f>
        <v>0.10879999999999999</v>
      </c>
      <c r="P15" s="128">
        <f t="shared" si="16"/>
        <v>114.95699200000001</v>
      </c>
      <c r="Q15" s="130">
        <f>VLOOKUP(L15,Tarifa1,2)</f>
        <v>158.55000000000001</v>
      </c>
      <c r="R15" s="128">
        <f t="shared" si="17"/>
        <v>273.50699200000003</v>
      </c>
      <c r="S15" s="144">
        <f>VLOOKUP(L15,Credito1,2)</f>
        <v>0</v>
      </c>
      <c r="T15" s="128">
        <f t="shared" si="18"/>
        <v>273.51</v>
      </c>
      <c r="U15" s="127">
        <f>-IF(T15&gt;0,0,T15)</f>
        <v>0</v>
      </c>
      <c r="V15" s="172">
        <f>IF(T15&lt;0,0,T15)</f>
        <v>273.51</v>
      </c>
      <c r="W15" s="127">
        <f>SUM(V15:V15)</f>
        <v>273.51</v>
      </c>
      <c r="X15" s="127">
        <f>J15+U15-W15</f>
        <v>3482.49</v>
      </c>
      <c r="Y15" s="97"/>
      <c r="AE15" s="67"/>
    </row>
    <row r="16" spans="1:31" s="53" customFormat="1" ht="50.25" customHeight="1" x14ac:dyDescent="0.25">
      <c r="A16" s="47"/>
      <c r="B16" s="108" t="s">
        <v>106</v>
      </c>
      <c r="C16" s="108" t="s">
        <v>129</v>
      </c>
      <c r="D16" s="37" t="s">
        <v>133</v>
      </c>
      <c r="E16" s="37" t="s">
        <v>63</v>
      </c>
      <c r="F16" s="37"/>
      <c r="G16" s="37"/>
      <c r="H16" s="105">
        <f>SUM(H17:H19)</f>
        <v>15219.23</v>
      </c>
      <c r="I16" s="105">
        <f>SUM(I17:I19)</f>
        <v>0</v>
      </c>
      <c r="J16" s="105">
        <f>SUM(J17:J19)</f>
        <v>15219.23</v>
      </c>
      <c r="K16" s="37"/>
      <c r="L16" s="37"/>
      <c r="M16" s="37"/>
      <c r="N16" s="37"/>
      <c r="O16" s="37"/>
      <c r="P16" s="37"/>
      <c r="Q16" s="106"/>
      <c r="R16" s="37"/>
      <c r="S16" s="37"/>
      <c r="T16" s="37"/>
      <c r="U16" s="105">
        <f>SUM(U17:U19)</f>
        <v>0</v>
      </c>
      <c r="V16" s="105">
        <f>SUM(V17:V19)</f>
        <v>1303.4199999999998</v>
      </c>
      <c r="W16" s="105">
        <f>SUM(W17:W19)</f>
        <v>1303.4199999999998</v>
      </c>
      <c r="X16" s="105">
        <f>SUM(X17:X19)</f>
        <v>13915.810000000001</v>
      </c>
      <c r="Y16" s="107"/>
      <c r="AE16" s="67"/>
    </row>
    <row r="17" spans="1:31" s="53" customFormat="1" ht="52.5" customHeight="1" x14ac:dyDescent="0.2">
      <c r="A17" s="47" t="s">
        <v>93</v>
      </c>
      <c r="B17" s="208">
        <v>185</v>
      </c>
      <c r="C17" s="122" t="s">
        <v>120</v>
      </c>
      <c r="D17" s="209" t="s">
        <v>163</v>
      </c>
      <c r="E17" s="140" t="s">
        <v>100</v>
      </c>
      <c r="F17" s="124">
        <v>15</v>
      </c>
      <c r="G17" s="141">
        <f t="shared" si="13"/>
        <v>469.03333333333336</v>
      </c>
      <c r="H17" s="125">
        <v>7035.5</v>
      </c>
      <c r="I17" s="126">
        <v>0</v>
      </c>
      <c r="J17" s="127">
        <f t="shared" ref="J17" si="19">SUM(H17:I17)</f>
        <v>7035.5</v>
      </c>
      <c r="K17" s="128">
        <f>IF(H17/15&lt;=SMG,0,I17/2)</f>
        <v>0</v>
      </c>
      <c r="L17" s="128">
        <f t="shared" ref="L17:L18" si="20">H17+K17</f>
        <v>7035.5</v>
      </c>
      <c r="M17" s="128">
        <f>VLOOKUP(L17,Tarifa1,1)</f>
        <v>6602.71</v>
      </c>
      <c r="N17" s="128">
        <f t="shared" ref="N17:N18" si="21">L17-M17</f>
        <v>432.78999999999996</v>
      </c>
      <c r="O17" s="129">
        <f>VLOOKUP(L17,Tarifa1,3)</f>
        <v>0.21360000000000001</v>
      </c>
      <c r="P17" s="128">
        <f t="shared" ref="P17:P18" si="22">N17*O17</f>
        <v>92.443944000000002</v>
      </c>
      <c r="Q17" s="130">
        <f>VLOOKUP(L17,Tarifa1,2)</f>
        <v>699.3</v>
      </c>
      <c r="R17" s="128">
        <f t="shared" ref="R17:R18" si="23">P17+Q17</f>
        <v>791.74394399999994</v>
      </c>
      <c r="S17" s="144">
        <f>VLOOKUP(L17,Credito1,2)</f>
        <v>0</v>
      </c>
      <c r="T17" s="128">
        <f t="shared" ref="T17:T18" si="24">ROUND(R17-S17,2)</f>
        <v>791.74</v>
      </c>
      <c r="U17" s="127">
        <f t="shared" ref="U17" si="25">-IF(T17&gt;0,0,T17)</f>
        <v>0</v>
      </c>
      <c r="V17" s="127">
        <f t="shared" ref="V17" si="26">IF(T17&lt;0,0,T17)</f>
        <v>791.74</v>
      </c>
      <c r="W17" s="127">
        <f>SUM(V17:V17)</f>
        <v>791.74</v>
      </c>
      <c r="X17" s="127">
        <f>J17+U17-W17</f>
        <v>6243.76</v>
      </c>
      <c r="Y17" s="97"/>
      <c r="AE17" s="67"/>
    </row>
    <row r="18" spans="1:31" s="53" customFormat="1" ht="53.25" customHeight="1" x14ac:dyDescent="0.2">
      <c r="A18" s="47"/>
      <c r="B18" s="147" t="s">
        <v>177</v>
      </c>
      <c r="C18" s="122" t="s">
        <v>120</v>
      </c>
      <c r="D18" s="145" t="s">
        <v>156</v>
      </c>
      <c r="E18" s="140" t="s">
        <v>155</v>
      </c>
      <c r="F18" s="124">
        <v>15</v>
      </c>
      <c r="G18" s="141">
        <f>H18/F18</f>
        <v>338</v>
      </c>
      <c r="H18" s="125">
        <v>5070</v>
      </c>
      <c r="I18" s="126">
        <v>0</v>
      </c>
      <c r="J18" s="127">
        <f>SUM(H18:I18)</f>
        <v>5070</v>
      </c>
      <c r="K18" s="128">
        <f>IF(H18/15&lt;=SMG,0,I18/2)</f>
        <v>0</v>
      </c>
      <c r="L18" s="128">
        <f t="shared" si="20"/>
        <v>5070</v>
      </c>
      <c r="M18" s="128">
        <f>VLOOKUP(L18,Tarifa1,1)</f>
        <v>4744.0600000000004</v>
      </c>
      <c r="N18" s="128">
        <f t="shared" si="21"/>
        <v>325.9399999999996</v>
      </c>
      <c r="O18" s="129">
        <f>VLOOKUP(L18,Tarifa1,3)</f>
        <v>0.16</v>
      </c>
      <c r="P18" s="128">
        <f t="shared" si="22"/>
        <v>52.150399999999934</v>
      </c>
      <c r="Q18" s="130">
        <f>VLOOKUP(L18,Tarifa1,2)</f>
        <v>381</v>
      </c>
      <c r="R18" s="128">
        <f t="shared" si="23"/>
        <v>433.15039999999993</v>
      </c>
      <c r="S18" s="144">
        <f>VLOOKUP(L18,Credito1,2)</f>
        <v>0</v>
      </c>
      <c r="T18" s="128">
        <f t="shared" si="24"/>
        <v>433.15</v>
      </c>
      <c r="U18" s="127">
        <f>-IF(T18&gt;0,0,T18)</f>
        <v>0</v>
      </c>
      <c r="V18" s="127">
        <f>IF(T18&lt;0,0,T18)</f>
        <v>433.15</v>
      </c>
      <c r="W18" s="127">
        <f>SUM(V18:V18)</f>
        <v>433.15</v>
      </c>
      <c r="X18" s="127">
        <f>J18+U18-W18</f>
        <v>4636.8500000000004</v>
      </c>
      <c r="Y18" s="97"/>
      <c r="AE18" s="67"/>
    </row>
    <row r="19" spans="1:31" s="53" customFormat="1" ht="57.75" customHeight="1" x14ac:dyDescent="0.2">
      <c r="A19" s="47"/>
      <c r="B19" s="147" t="s">
        <v>214</v>
      </c>
      <c r="C19" s="122" t="s">
        <v>120</v>
      </c>
      <c r="D19" s="145" t="s">
        <v>211</v>
      </c>
      <c r="E19" s="140" t="s">
        <v>212</v>
      </c>
      <c r="F19" s="124">
        <v>14</v>
      </c>
      <c r="G19" s="141"/>
      <c r="H19" s="125">
        <v>3113.73</v>
      </c>
      <c r="I19" s="126">
        <v>0</v>
      </c>
      <c r="J19" s="127">
        <f t="shared" ref="J19" si="27">SUM(H19:I19)</f>
        <v>3113.73</v>
      </c>
      <c r="K19" s="128">
        <f>IF(H19/15&lt;=SMG,0,I19/2)</f>
        <v>0</v>
      </c>
      <c r="L19" s="128">
        <f t="shared" ref="L19" si="28">H19+K19</f>
        <v>3113.73</v>
      </c>
      <c r="M19" s="128">
        <f>VLOOKUP(L19,Tarifa1,1)</f>
        <v>2699.41</v>
      </c>
      <c r="N19" s="128">
        <f t="shared" ref="N19" si="29">L19-M19</f>
        <v>414.32000000000016</v>
      </c>
      <c r="O19" s="129">
        <f>VLOOKUP(L19,Tarifa1,3)</f>
        <v>0.10879999999999999</v>
      </c>
      <c r="P19" s="128">
        <f t="shared" ref="P19" si="30">N19*O19</f>
        <v>45.078016000000012</v>
      </c>
      <c r="Q19" s="130">
        <f>VLOOKUP(L19,Tarifa1,2)</f>
        <v>158.55000000000001</v>
      </c>
      <c r="R19" s="128">
        <f t="shared" ref="R19" si="31">P19+Q19</f>
        <v>203.62801600000003</v>
      </c>
      <c r="S19" s="144">
        <f>VLOOKUP(L19,Credito1,2)</f>
        <v>125.1</v>
      </c>
      <c r="T19" s="128">
        <f t="shared" ref="T19" si="32">ROUND(R19-S19,2)</f>
        <v>78.53</v>
      </c>
      <c r="U19" s="127">
        <f t="shared" ref="U19" si="33">-IF(T19&gt;0,0,T19)</f>
        <v>0</v>
      </c>
      <c r="V19" s="127">
        <f t="shared" ref="V19" si="34">IF(T19&lt;0,0,T19)</f>
        <v>78.53</v>
      </c>
      <c r="W19" s="127">
        <f>SUM(V19:V19)</f>
        <v>78.53</v>
      </c>
      <c r="X19" s="127">
        <f>J19+U19-W19</f>
        <v>3035.2</v>
      </c>
      <c r="Y19" s="97"/>
      <c r="AE19" s="67"/>
    </row>
    <row r="20" spans="1:31" s="53" customFormat="1" ht="52.5" customHeight="1" x14ac:dyDescent="0.25">
      <c r="A20" s="47"/>
      <c r="B20" s="108" t="s">
        <v>106</v>
      </c>
      <c r="C20" s="108" t="s">
        <v>129</v>
      </c>
      <c r="D20" s="37" t="s">
        <v>134</v>
      </c>
      <c r="E20" s="37" t="s">
        <v>63</v>
      </c>
      <c r="F20" s="37"/>
      <c r="G20" s="37"/>
      <c r="H20" s="105">
        <f>SUM(H21)</f>
        <v>4659</v>
      </c>
      <c r="I20" s="105">
        <f>SUM(I21)</f>
        <v>0</v>
      </c>
      <c r="J20" s="105">
        <f>SUM(J21)</f>
        <v>4659</v>
      </c>
      <c r="K20" s="37"/>
      <c r="L20" s="37"/>
      <c r="M20" s="37"/>
      <c r="N20" s="37"/>
      <c r="O20" s="37"/>
      <c r="P20" s="37"/>
      <c r="Q20" s="106"/>
      <c r="R20" s="37"/>
      <c r="S20" s="37"/>
      <c r="T20" s="37"/>
      <c r="U20" s="105">
        <f>SUM(U21)</f>
        <v>0</v>
      </c>
      <c r="V20" s="105">
        <f>SUM(V21)</f>
        <v>371.75</v>
      </c>
      <c r="W20" s="105">
        <f>SUM(W21)</f>
        <v>371.75</v>
      </c>
      <c r="X20" s="105">
        <f>SUM(X21)</f>
        <v>4287.25</v>
      </c>
      <c r="Y20" s="107"/>
      <c r="AE20" s="67"/>
    </row>
    <row r="21" spans="1:31" s="53" customFormat="1" ht="60.75" customHeight="1" x14ac:dyDescent="0.2">
      <c r="A21" s="47" t="s">
        <v>94</v>
      </c>
      <c r="B21" s="147" t="s">
        <v>179</v>
      </c>
      <c r="C21" s="122" t="s">
        <v>120</v>
      </c>
      <c r="D21" s="123" t="s">
        <v>261</v>
      </c>
      <c r="E21" s="140" t="s">
        <v>105</v>
      </c>
      <c r="F21" s="124">
        <v>15</v>
      </c>
      <c r="G21" s="141">
        <f t="shared" si="13"/>
        <v>310.60000000000002</v>
      </c>
      <c r="H21" s="125">
        <v>4659</v>
      </c>
      <c r="I21" s="126">
        <v>0</v>
      </c>
      <c r="J21" s="127">
        <f>SUM(H21:I21)</f>
        <v>4659</v>
      </c>
      <c r="K21" s="128">
        <f>IF(H21/15&lt;=SMG,0,I21/2)</f>
        <v>0</v>
      </c>
      <c r="L21" s="128">
        <f t="shared" ref="L21" si="35">H21+K21</f>
        <v>4659</v>
      </c>
      <c r="M21" s="128">
        <f>VLOOKUP(L21,Tarifa1,1)</f>
        <v>2699.41</v>
      </c>
      <c r="N21" s="128">
        <f t="shared" ref="N21" si="36">L21-M21</f>
        <v>1959.5900000000001</v>
      </c>
      <c r="O21" s="129">
        <f>VLOOKUP(L21,Tarifa1,3)</f>
        <v>0.10879999999999999</v>
      </c>
      <c r="P21" s="128">
        <f t="shared" ref="P21" si="37">N21*O21</f>
        <v>213.20339200000001</v>
      </c>
      <c r="Q21" s="130">
        <f>VLOOKUP(L21,Tarifa1,2)</f>
        <v>158.55000000000001</v>
      </c>
      <c r="R21" s="128">
        <f t="shared" ref="R21" si="38">P21+Q21</f>
        <v>371.75339200000002</v>
      </c>
      <c r="S21" s="144">
        <f>VLOOKUP(L21,Credito1,2)</f>
        <v>0</v>
      </c>
      <c r="T21" s="128">
        <f t="shared" ref="T21" si="39">ROUND(R21-S21,2)</f>
        <v>371.75</v>
      </c>
      <c r="U21" s="127">
        <f>-IF(T21&gt;0,0,T21)</f>
        <v>0</v>
      </c>
      <c r="V21" s="127">
        <f>IF(T21&lt;0,0,T21)</f>
        <v>371.75</v>
      </c>
      <c r="W21" s="127">
        <f>SUM(V21:V21)</f>
        <v>371.75</v>
      </c>
      <c r="X21" s="127">
        <f>J21+U21-W21</f>
        <v>4287.25</v>
      </c>
      <c r="Y21" s="97"/>
      <c r="AE21" s="67"/>
    </row>
    <row r="22" spans="1:31" s="53" customFormat="1" ht="42.75" customHeight="1" x14ac:dyDescent="0.25">
      <c r="A22" s="109"/>
      <c r="B22" s="108" t="s">
        <v>106</v>
      </c>
      <c r="C22" s="108" t="s">
        <v>129</v>
      </c>
      <c r="D22" s="37" t="s">
        <v>157</v>
      </c>
      <c r="E22" s="37" t="s">
        <v>63</v>
      </c>
      <c r="F22" s="37"/>
      <c r="G22" s="37"/>
      <c r="H22" s="105">
        <f>SUM(H23)</f>
        <v>5060.7299999999996</v>
      </c>
      <c r="I22" s="105">
        <f>SUM(I23)</f>
        <v>0</v>
      </c>
      <c r="J22" s="105">
        <f>SUM(J23)</f>
        <v>5060.7299999999996</v>
      </c>
      <c r="K22" s="37"/>
      <c r="L22" s="37"/>
      <c r="M22" s="37"/>
      <c r="N22" s="37"/>
      <c r="O22" s="37"/>
      <c r="P22" s="37"/>
      <c r="Q22" s="106"/>
      <c r="R22" s="37"/>
      <c r="S22" s="37"/>
      <c r="T22" s="37"/>
      <c r="U22" s="105">
        <f>SUM(U23)</f>
        <v>0</v>
      </c>
      <c r="V22" s="105">
        <f>SUM(V23)</f>
        <v>431.67</v>
      </c>
      <c r="W22" s="105">
        <f>SUM(W23)</f>
        <v>431.67</v>
      </c>
      <c r="X22" s="105">
        <f>SUM(X23)</f>
        <v>4629.0599999999995</v>
      </c>
      <c r="Y22" s="107"/>
    </row>
    <row r="23" spans="1:31" s="53" customFormat="1" ht="62.25" customHeight="1" x14ac:dyDescent="0.2">
      <c r="A23" s="109"/>
      <c r="B23" s="147" t="s">
        <v>178</v>
      </c>
      <c r="C23" s="122" t="s">
        <v>120</v>
      </c>
      <c r="D23" s="123" t="s">
        <v>160</v>
      </c>
      <c r="E23" s="140" t="s">
        <v>161</v>
      </c>
      <c r="F23" s="124">
        <v>15</v>
      </c>
      <c r="G23" s="141">
        <f>H23/F23</f>
        <v>337.38199999999995</v>
      </c>
      <c r="H23" s="125">
        <v>5060.7299999999996</v>
      </c>
      <c r="I23" s="126">
        <v>0</v>
      </c>
      <c r="J23" s="127">
        <f>SUM(H23:I23)</f>
        <v>5060.7299999999996</v>
      </c>
      <c r="K23" s="128">
        <f>IF(H23/15&lt;=SMG,0,I23/2)</f>
        <v>0</v>
      </c>
      <c r="L23" s="128">
        <f t="shared" ref="L23" si="40">H23+K23</f>
        <v>5060.7299999999996</v>
      </c>
      <c r="M23" s="128">
        <f>VLOOKUP(L23,Tarifa1,1)</f>
        <v>4744.0600000000004</v>
      </c>
      <c r="N23" s="128">
        <f t="shared" ref="N23" si="41">L23-M23</f>
        <v>316.66999999999916</v>
      </c>
      <c r="O23" s="129">
        <f>VLOOKUP(L23,Tarifa1,3)</f>
        <v>0.16</v>
      </c>
      <c r="P23" s="128">
        <f t="shared" ref="P23" si="42">N23*O23</f>
        <v>50.667199999999866</v>
      </c>
      <c r="Q23" s="130">
        <f>VLOOKUP(L23,Tarifa1,2)</f>
        <v>381</v>
      </c>
      <c r="R23" s="128">
        <f t="shared" ref="R23" si="43">P23+Q23</f>
        <v>431.66719999999987</v>
      </c>
      <c r="S23" s="144">
        <f>VLOOKUP(L23,Credito1,2)</f>
        <v>0</v>
      </c>
      <c r="T23" s="128">
        <f t="shared" ref="T23" si="44">ROUND(R23-S23,2)</f>
        <v>431.67</v>
      </c>
      <c r="U23" s="127">
        <f>-IF(T23&gt;0,0,T23)</f>
        <v>0</v>
      </c>
      <c r="V23" s="127">
        <f>IF(T23&lt;0,0,T23)</f>
        <v>431.67</v>
      </c>
      <c r="W23" s="127">
        <f>SUM(V23:V23)</f>
        <v>431.67</v>
      </c>
      <c r="X23" s="127">
        <f>J23+U23-W23</f>
        <v>4629.0599999999995</v>
      </c>
      <c r="Y23" s="97"/>
    </row>
    <row r="24" spans="1:31" s="53" customFormat="1" ht="15" x14ac:dyDescent="0.25">
      <c r="A24" s="109"/>
      <c r="B24" s="109"/>
      <c r="C24" s="109"/>
      <c r="D24" s="109"/>
      <c r="E24" s="109"/>
      <c r="F24" s="109"/>
      <c r="G24" s="109"/>
      <c r="H24" s="110"/>
      <c r="I24" s="110"/>
      <c r="J24" s="110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97"/>
    </row>
    <row r="25" spans="1:31" s="53" customFormat="1" ht="39.75" customHeight="1" x14ac:dyDescent="0.25">
      <c r="A25" s="288" t="s">
        <v>45</v>
      </c>
      <c r="B25" s="288"/>
      <c r="C25" s="288"/>
      <c r="D25" s="288"/>
      <c r="E25" s="288"/>
      <c r="F25" s="288"/>
      <c r="G25" s="288"/>
      <c r="H25" s="112">
        <f>H8+H10+H12+H16+H20+H22</f>
        <v>49072.709999999992</v>
      </c>
      <c r="I25" s="112">
        <f>I8+I10+I12+I16+I20+I22</f>
        <v>0</v>
      </c>
      <c r="J25" s="112">
        <f>J8+J10+J12+J16+J20+J22</f>
        <v>49072.709999999992</v>
      </c>
      <c r="K25" s="113">
        <f t="shared" ref="K25:T25" si="45">SUM(K10:K24)</f>
        <v>0</v>
      </c>
      <c r="L25" s="113">
        <f t="shared" si="45"/>
        <v>45245.960000000006</v>
      </c>
      <c r="M25" s="113">
        <f t="shared" si="45"/>
        <v>39005.94</v>
      </c>
      <c r="N25" s="113">
        <f t="shared" si="45"/>
        <v>6240.0199999999995</v>
      </c>
      <c r="O25" s="113">
        <f t="shared" si="45"/>
        <v>1.3615999999999999</v>
      </c>
      <c r="P25" s="113">
        <f t="shared" si="45"/>
        <v>805.12108799999976</v>
      </c>
      <c r="Q25" s="113">
        <f t="shared" si="45"/>
        <v>3299.1000000000004</v>
      </c>
      <c r="R25" s="113">
        <f t="shared" si="45"/>
        <v>4104.2210880000002</v>
      </c>
      <c r="S25" s="113">
        <f t="shared" si="45"/>
        <v>125.1</v>
      </c>
      <c r="T25" s="113">
        <f t="shared" si="45"/>
        <v>3979.13</v>
      </c>
      <c r="U25" s="112">
        <f>U8+U10+U12+U16+U20+U22</f>
        <v>0</v>
      </c>
      <c r="V25" s="112">
        <f>V8+V10+V12+V16+V20+V22</f>
        <v>4260.33</v>
      </c>
      <c r="W25" s="112">
        <f>W8+W10+W12+W16+W20+W22</f>
        <v>4260.33</v>
      </c>
      <c r="X25" s="112">
        <f>X8+X10+X12+X16+X20+X22</f>
        <v>44812.380000000005</v>
      </c>
      <c r="Y25" s="97"/>
    </row>
    <row r="26" spans="1:31" s="53" customFormat="1" ht="12" x14ac:dyDescent="0.2"/>
    <row r="27" spans="1:31" s="53" customFormat="1" ht="12" x14ac:dyDescent="0.2"/>
    <row r="28" spans="1:31" s="53" customFormat="1" ht="12" x14ac:dyDescent="0.2"/>
    <row r="29" spans="1:31" s="53" customFormat="1" ht="12" x14ac:dyDescent="0.2"/>
    <row r="30" spans="1:31" s="53" customFormat="1" ht="12" x14ac:dyDescent="0.2"/>
    <row r="31" spans="1:31" s="53" customFormat="1" x14ac:dyDescent="0.2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31" s="53" customFormat="1" ht="15" x14ac:dyDescent="0.25">
      <c r="D32" s="102" t="s">
        <v>264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102" t="s">
        <v>167</v>
      </c>
      <c r="W32" s="98"/>
      <c r="X32" s="98"/>
    </row>
    <row r="33" spans="4:37" s="53" customFormat="1" ht="15" x14ac:dyDescent="0.25">
      <c r="D33" s="102" t="s">
        <v>263</v>
      </c>
      <c r="E33" s="102"/>
      <c r="F33" s="102"/>
      <c r="G33" s="102"/>
      <c r="H33" s="102"/>
      <c r="I33" s="102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102" t="s">
        <v>305</v>
      </c>
      <c r="W33" s="102"/>
      <c r="X33" s="102"/>
      <c r="Y33" s="62"/>
      <c r="Z33" s="62"/>
      <c r="AA33" s="62"/>
      <c r="AB33" s="62"/>
      <c r="AC33" s="62"/>
      <c r="AD33" s="62"/>
      <c r="AE33" s="62"/>
      <c r="AF33" s="62"/>
      <c r="AG33" s="62"/>
      <c r="AJ33" s="62"/>
      <c r="AK33" s="62"/>
    </row>
    <row r="34" spans="4:37" s="53" customFormat="1" x14ac:dyDescent="0.2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4:37" s="53" customFormat="1" ht="12" x14ac:dyDescent="0.2"/>
    <row r="36" spans="4:37" s="53" customFormat="1" ht="12" x14ac:dyDescent="0.2"/>
  </sheetData>
  <mergeCells count="8">
    <mergeCell ref="A25:G25"/>
    <mergeCell ref="A1:Y1"/>
    <mergeCell ref="A2:Y2"/>
    <mergeCell ref="A3:Y3"/>
    <mergeCell ref="H5:J5"/>
    <mergeCell ref="M5:R5"/>
    <mergeCell ref="V5:W5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D15 D11" xr:uid="{00000000-0002-0000-0600-000000000000}"/>
  </dataValidations>
  <pageMargins left="0.43307086614173229" right="7.874015748031496E-2" top="0.74803149606299213" bottom="0.35433070866141736" header="0.31496062992125984" footer="0.31496062992125984"/>
  <pageSetup scale="4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0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8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5703125" customWidth="1"/>
    <col min="23" max="23" width="11.28515625" customWidth="1"/>
    <col min="24" max="24" width="12.140625" customWidth="1"/>
    <col min="25" max="25" width="50.42578125" customWidth="1"/>
  </cols>
  <sheetData>
    <row r="1" spans="1:25" ht="18" x14ac:dyDescent="0.25">
      <c r="A1" s="266" t="s">
        <v>83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</row>
    <row r="2" spans="1:25" ht="18" x14ac:dyDescent="0.25">
      <c r="A2" s="266" t="s">
        <v>67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25" ht="15" x14ac:dyDescent="0.2">
      <c r="A3" s="289" t="s">
        <v>270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8" t="s">
        <v>1</v>
      </c>
      <c r="I6" s="269"/>
      <c r="J6" s="270"/>
      <c r="K6" s="24" t="s">
        <v>26</v>
      </c>
      <c r="L6" s="25"/>
      <c r="M6" s="271" t="s">
        <v>9</v>
      </c>
      <c r="N6" s="272"/>
      <c r="O6" s="272"/>
      <c r="P6" s="272"/>
      <c r="Q6" s="272"/>
      <c r="R6" s="273"/>
      <c r="S6" s="24" t="s">
        <v>30</v>
      </c>
      <c r="T6" s="24" t="s">
        <v>10</v>
      </c>
      <c r="U6" s="23" t="s">
        <v>54</v>
      </c>
      <c r="V6" s="274" t="s">
        <v>2</v>
      </c>
      <c r="W6" s="276"/>
      <c r="X6" s="23" t="s">
        <v>0</v>
      </c>
      <c r="Y6" s="34"/>
    </row>
    <row r="7" spans="1:25" ht="33.75" x14ac:dyDescent="0.2">
      <c r="A7" s="26" t="s">
        <v>21</v>
      </c>
      <c r="B7" s="46" t="s">
        <v>106</v>
      </c>
      <c r="C7" s="46" t="s">
        <v>121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60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59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61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s="4" customFormat="1" ht="36" customHeight="1" x14ac:dyDescent="0.25">
      <c r="A9" s="169"/>
      <c r="B9" s="169"/>
      <c r="C9" s="169"/>
      <c r="D9" s="168" t="s">
        <v>117</v>
      </c>
      <c r="E9" s="169" t="s">
        <v>63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71"/>
      <c r="U9" s="169"/>
      <c r="V9" s="169"/>
      <c r="W9" s="169"/>
      <c r="X9" s="169"/>
      <c r="Y9" s="114"/>
    </row>
    <row r="10" spans="1:25" s="4" customFormat="1" ht="75" customHeight="1" x14ac:dyDescent="0.2">
      <c r="A10" s="121" t="s">
        <v>88</v>
      </c>
      <c r="B10" s="122" t="s">
        <v>115</v>
      </c>
      <c r="C10" s="122" t="s">
        <v>120</v>
      </c>
      <c r="D10" s="123" t="s">
        <v>104</v>
      </c>
      <c r="E10" s="140" t="s">
        <v>267</v>
      </c>
      <c r="F10" s="124">
        <v>15</v>
      </c>
      <c r="G10" s="141">
        <f>H10/F10</f>
        <v>1046.3333333333333</v>
      </c>
      <c r="H10" s="125">
        <v>15695</v>
      </c>
      <c r="I10" s="126">
        <v>0</v>
      </c>
      <c r="J10" s="127">
        <f>SUM(H10:I10)</f>
        <v>15695</v>
      </c>
      <c r="K10" s="128">
        <f>IF(H10/15&lt;=SMG,0,I10/2)</f>
        <v>0</v>
      </c>
      <c r="L10" s="128">
        <f t="shared" ref="L10" si="0">H10+K10</f>
        <v>15695</v>
      </c>
      <c r="M10" s="128">
        <f>VLOOKUP(L10,Tarifa1,1)</f>
        <v>13316.71</v>
      </c>
      <c r="N10" s="128">
        <f t="shared" ref="N10" si="1">L10-M10</f>
        <v>2378.2900000000009</v>
      </c>
      <c r="O10" s="129">
        <f>VLOOKUP(L10,Tarifa1,3)</f>
        <v>0.23519999999999999</v>
      </c>
      <c r="P10" s="128">
        <f t="shared" ref="P10" si="2">N10*O10</f>
        <v>559.37380800000017</v>
      </c>
      <c r="Q10" s="130">
        <f>VLOOKUP(L10,Tarifa1,2)</f>
        <v>2133.3000000000002</v>
      </c>
      <c r="R10" s="128">
        <f t="shared" ref="R10" si="3">P10+Q10</f>
        <v>2692.6738080000005</v>
      </c>
      <c r="S10" s="144">
        <f>VLOOKUP(L10,Credito1,2)</f>
        <v>0</v>
      </c>
      <c r="T10" s="128">
        <f t="shared" ref="T10" si="4">ROUND(R10-S10,2)</f>
        <v>2692.67</v>
      </c>
      <c r="U10" s="127">
        <f>-IF(T10&gt;0,0,T10)</f>
        <v>0</v>
      </c>
      <c r="V10" s="172">
        <f>IF(T10&lt;0,0,T10)</f>
        <v>2692.67</v>
      </c>
      <c r="W10" s="127">
        <f>SUM(V10:V10)</f>
        <v>2692.67</v>
      </c>
      <c r="X10" s="127">
        <f>J10+U10-W10</f>
        <v>13002.33</v>
      </c>
      <c r="Y10" s="94"/>
    </row>
    <row r="11" spans="1:25" s="4" customFormat="1" ht="75" customHeight="1" x14ac:dyDescent="0.2">
      <c r="A11" s="121" t="s">
        <v>90</v>
      </c>
      <c r="B11" s="122" t="s">
        <v>109</v>
      </c>
      <c r="C11" s="122" t="s">
        <v>120</v>
      </c>
      <c r="D11" s="123" t="s">
        <v>78</v>
      </c>
      <c r="E11" s="140" t="s">
        <v>268</v>
      </c>
      <c r="F11" s="124">
        <v>15</v>
      </c>
      <c r="G11" s="141">
        <f>H11/F11</f>
        <v>633</v>
      </c>
      <c r="H11" s="125">
        <v>9495</v>
      </c>
      <c r="I11" s="126">
        <v>0</v>
      </c>
      <c r="J11" s="127">
        <f>H11</f>
        <v>9495</v>
      </c>
      <c r="K11" s="128">
        <f>IF(H11/15&lt;=SMG,0,I11/2)</f>
        <v>0</v>
      </c>
      <c r="L11" s="128">
        <f t="shared" ref="L11:L12" si="5">H11+K11</f>
        <v>9495</v>
      </c>
      <c r="M11" s="128">
        <f>VLOOKUP(L11,Tarifa1,1)</f>
        <v>6602.71</v>
      </c>
      <c r="N11" s="128">
        <f t="shared" ref="N11:N12" si="6">L11-M11</f>
        <v>2892.29</v>
      </c>
      <c r="O11" s="129">
        <f>VLOOKUP(L11,Tarifa1,3)</f>
        <v>0.21360000000000001</v>
      </c>
      <c r="P11" s="128">
        <f t="shared" ref="P11:P12" si="7">N11*O11</f>
        <v>617.79314399999998</v>
      </c>
      <c r="Q11" s="130">
        <f>VLOOKUP(L11,Tarifa1,2)</f>
        <v>699.3</v>
      </c>
      <c r="R11" s="128">
        <f t="shared" ref="R11:R12" si="8">P11+Q11</f>
        <v>1317.0931439999999</v>
      </c>
      <c r="S11" s="144">
        <f>VLOOKUP(L11,Credito1,2)</f>
        <v>0</v>
      </c>
      <c r="T11" s="128">
        <f t="shared" ref="T11:T12" si="9">ROUND(R11-S11,2)</f>
        <v>1317.09</v>
      </c>
      <c r="U11" s="127">
        <f>-IF(T11&gt;0,0,T11)</f>
        <v>0</v>
      </c>
      <c r="V11" s="127">
        <f>IF(T11&lt;0,0,T11)</f>
        <v>1317.09</v>
      </c>
      <c r="W11" s="127">
        <f>SUM(V11:V11)</f>
        <v>1317.09</v>
      </c>
      <c r="X11" s="127">
        <f>J11+U11-W11</f>
        <v>8177.91</v>
      </c>
      <c r="Y11" s="94"/>
    </row>
    <row r="12" spans="1:25" s="4" customFormat="1" ht="75" customHeight="1" x14ac:dyDescent="0.2">
      <c r="A12" s="121" t="s">
        <v>91</v>
      </c>
      <c r="B12" s="122" t="s">
        <v>116</v>
      </c>
      <c r="C12" s="122" t="s">
        <v>120</v>
      </c>
      <c r="D12" s="123" t="s">
        <v>101</v>
      </c>
      <c r="E12" s="140" t="s">
        <v>268</v>
      </c>
      <c r="F12" s="124">
        <v>15</v>
      </c>
      <c r="G12" s="141">
        <f>H12/F12</f>
        <v>388.06666666666666</v>
      </c>
      <c r="H12" s="125">
        <v>5821</v>
      </c>
      <c r="I12" s="126">
        <v>0</v>
      </c>
      <c r="J12" s="127">
        <f>SUM(H12:I12)</f>
        <v>5821</v>
      </c>
      <c r="K12" s="128">
        <f>IF(H12/15&lt;=SMG,0,I12/2)</f>
        <v>0</v>
      </c>
      <c r="L12" s="128">
        <f t="shared" si="5"/>
        <v>5821</v>
      </c>
      <c r="M12" s="128">
        <f>VLOOKUP(L12,Tarifa1,1)</f>
        <v>5514.76</v>
      </c>
      <c r="N12" s="128">
        <f t="shared" si="6"/>
        <v>306.23999999999978</v>
      </c>
      <c r="O12" s="129">
        <f>VLOOKUP(L12,Tarifa1,3)</f>
        <v>0.1792</v>
      </c>
      <c r="P12" s="128">
        <f t="shared" si="7"/>
        <v>54.878207999999958</v>
      </c>
      <c r="Q12" s="130">
        <f>VLOOKUP(L12,Tarifa1,2)</f>
        <v>504.3</v>
      </c>
      <c r="R12" s="128">
        <f t="shared" si="8"/>
        <v>559.17820799999993</v>
      </c>
      <c r="S12" s="144">
        <f>VLOOKUP(L12,Credito1,2)</f>
        <v>0</v>
      </c>
      <c r="T12" s="128">
        <f t="shared" si="9"/>
        <v>559.17999999999995</v>
      </c>
      <c r="U12" s="127">
        <f>-IF(T12&gt;0,0,T12)</f>
        <v>0</v>
      </c>
      <c r="V12" s="127">
        <f>IF(T12&lt;0,0,T12)</f>
        <v>559.17999999999995</v>
      </c>
      <c r="W12" s="127">
        <f>SUM(V12:V12)</f>
        <v>559.17999999999995</v>
      </c>
      <c r="X12" s="127">
        <f>J12+U12-W12</f>
        <v>5261.82</v>
      </c>
      <c r="Y12" s="94"/>
    </row>
    <row r="13" spans="1:25" s="4" customFormat="1" ht="36" customHeight="1" x14ac:dyDescent="0.25">
      <c r="A13" s="152"/>
      <c r="B13" s="152"/>
      <c r="C13" s="152"/>
      <c r="D13" s="152"/>
      <c r="E13" s="152"/>
      <c r="F13" s="152"/>
      <c r="G13" s="152"/>
      <c r="H13" s="153"/>
      <c r="I13" s="153"/>
      <c r="J13" s="153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</row>
    <row r="14" spans="1:25" s="4" customFormat="1" ht="60" customHeight="1" thickBot="1" x14ac:dyDescent="0.3">
      <c r="A14" s="255" t="s">
        <v>45</v>
      </c>
      <c r="B14" s="256"/>
      <c r="C14" s="256"/>
      <c r="D14" s="256"/>
      <c r="E14" s="256"/>
      <c r="F14" s="256"/>
      <c r="G14" s="257"/>
      <c r="H14" s="133">
        <f>SUM(H10:H13)</f>
        <v>31011</v>
      </c>
      <c r="I14" s="133">
        <f>SUM(I10:I13)</f>
        <v>0</v>
      </c>
      <c r="J14" s="133">
        <f>SUM(J10:J13)</f>
        <v>31011</v>
      </c>
      <c r="K14" s="134">
        <f t="shared" ref="K14:T14" si="10">SUM(K10:K13)</f>
        <v>0</v>
      </c>
      <c r="L14" s="134">
        <f t="shared" si="10"/>
        <v>31011</v>
      </c>
      <c r="M14" s="134">
        <f t="shared" si="10"/>
        <v>25434.18</v>
      </c>
      <c r="N14" s="134">
        <f t="shared" si="10"/>
        <v>5576.8200000000006</v>
      </c>
      <c r="O14" s="134">
        <f t="shared" si="10"/>
        <v>0.628</v>
      </c>
      <c r="P14" s="134">
        <f t="shared" si="10"/>
        <v>1232.0451599999999</v>
      </c>
      <c r="Q14" s="134">
        <f t="shared" si="10"/>
        <v>3336.9000000000005</v>
      </c>
      <c r="R14" s="134">
        <f t="shared" si="10"/>
        <v>4568.9451600000002</v>
      </c>
      <c r="S14" s="134">
        <f t="shared" si="10"/>
        <v>0</v>
      </c>
      <c r="T14" s="134">
        <f t="shared" si="10"/>
        <v>4568.9400000000005</v>
      </c>
      <c r="U14" s="133">
        <f>SUM(U10:U13)</f>
        <v>0</v>
      </c>
      <c r="V14" s="133">
        <f>SUM(V10:V13)</f>
        <v>4568.9400000000005</v>
      </c>
      <c r="W14" s="133">
        <f>SUM(W10:W13)</f>
        <v>4568.9400000000005</v>
      </c>
      <c r="X14" s="133">
        <f>SUM(X10:X12)</f>
        <v>26442.059999999998</v>
      </c>
    </row>
    <row r="15" spans="1:25" ht="35.1" customHeight="1" thickTop="1" x14ac:dyDescent="0.2"/>
    <row r="16" spans="1:25" ht="35.1" customHeight="1" x14ac:dyDescent="0.2"/>
    <row r="19" spans="4:37" x14ac:dyDescent="0.2">
      <c r="Y19" s="44"/>
    </row>
    <row r="21" spans="4:37" x14ac:dyDescent="0.2">
      <c r="D21" s="4"/>
    </row>
    <row r="22" spans="4:37" x14ac:dyDescent="0.2">
      <c r="D22" s="62" t="s">
        <v>265</v>
      </c>
      <c r="H22" s="4"/>
      <c r="V22" s="62" t="s">
        <v>169</v>
      </c>
    </row>
    <row r="23" spans="4:37" x14ac:dyDescent="0.2">
      <c r="D23" s="62" t="s">
        <v>263</v>
      </c>
      <c r="E23" s="43"/>
      <c r="F23" s="43"/>
      <c r="G23" s="43"/>
      <c r="H23" s="43"/>
      <c r="I23" s="43"/>
      <c r="V23" s="43" t="s">
        <v>328</v>
      </c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J23" s="43"/>
      <c r="AK23" s="43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3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9"/>
  <sheetViews>
    <sheetView topLeftCell="D1" workbookViewId="0">
      <selection activeCell="V4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17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customWidth="1"/>
    <col min="21" max="21" width="11.28515625" customWidth="1"/>
    <col min="22" max="22" width="12.42578125" customWidth="1"/>
    <col min="23" max="23" width="12.7109375" customWidth="1"/>
    <col min="24" max="24" width="67.85546875" customWidth="1"/>
    <col min="25" max="25" width="0.85546875" customWidth="1"/>
  </cols>
  <sheetData>
    <row r="1" spans="1:25" ht="18" x14ac:dyDescent="0.25">
      <c r="A1" s="266" t="s">
        <v>83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</row>
    <row r="2" spans="1:25" ht="18" x14ac:dyDescent="0.25">
      <c r="A2" s="266" t="s">
        <v>67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</row>
    <row r="3" spans="1:25" ht="15" x14ac:dyDescent="0.2">
      <c r="A3" s="289" t="s">
        <v>270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8" t="s">
        <v>1</v>
      </c>
      <c r="I6" s="270"/>
      <c r="J6" s="24" t="s">
        <v>26</v>
      </c>
      <c r="K6" s="25"/>
      <c r="L6" s="271" t="s">
        <v>9</v>
      </c>
      <c r="M6" s="272"/>
      <c r="N6" s="272"/>
      <c r="O6" s="272"/>
      <c r="P6" s="272"/>
      <c r="Q6" s="273"/>
      <c r="R6" s="24" t="s">
        <v>30</v>
      </c>
      <c r="S6" s="24" t="s">
        <v>10</v>
      </c>
      <c r="T6" s="23" t="s">
        <v>54</v>
      </c>
      <c r="U6" s="274" t="s">
        <v>2</v>
      </c>
      <c r="V6" s="276"/>
      <c r="W6" s="23" t="s">
        <v>0</v>
      </c>
      <c r="X6" s="34"/>
    </row>
    <row r="7" spans="1:25" ht="33.75" customHeight="1" x14ac:dyDescent="0.2">
      <c r="A7" s="26" t="s">
        <v>21</v>
      </c>
      <c r="B7" s="46" t="s">
        <v>106</v>
      </c>
      <c r="C7" s="46" t="s">
        <v>121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36" t="s">
        <v>59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35"/>
    </row>
    <row r="9" spans="1:25" ht="15" x14ac:dyDescent="0.25">
      <c r="A9" s="39"/>
      <c r="B9" s="39"/>
      <c r="C9" s="39"/>
      <c r="D9" s="95" t="s">
        <v>62</v>
      </c>
      <c r="E9" s="38" t="s">
        <v>63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96"/>
    </row>
    <row r="10" spans="1:25" ht="65.25" customHeight="1" x14ac:dyDescent="0.2">
      <c r="A10" s="121" t="s">
        <v>88</v>
      </c>
      <c r="B10" s="147" t="s">
        <v>298</v>
      </c>
      <c r="C10" s="122" t="s">
        <v>120</v>
      </c>
      <c r="D10" s="123" t="s">
        <v>280</v>
      </c>
      <c r="E10" s="123" t="s">
        <v>80</v>
      </c>
      <c r="F10" s="124">
        <v>15</v>
      </c>
      <c r="G10" s="210">
        <f>H10/F10</f>
        <v>556.13333333333333</v>
      </c>
      <c r="H10" s="125">
        <v>8342</v>
      </c>
      <c r="I10" s="127">
        <f t="shared" ref="I10:I18" si="0">SUM(H10:H10)</f>
        <v>8342</v>
      </c>
      <c r="J10" s="128">
        <v>0</v>
      </c>
      <c r="K10" s="128">
        <f>I10+J10</f>
        <v>8342</v>
      </c>
      <c r="L10" s="128">
        <f t="shared" ref="L10" si="1">VLOOKUP(K10,Tarifa1,1)</f>
        <v>6602.71</v>
      </c>
      <c r="M10" s="128">
        <f>K10-L10</f>
        <v>1739.29</v>
      </c>
      <c r="N10" s="129">
        <f t="shared" ref="N10" si="2">VLOOKUP(K10,Tarifa1,3)</f>
        <v>0.21360000000000001</v>
      </c>
      <c r="O10" s="128">
        <f>M10*N10</f>
        <v>371.51234400000004</v>
      </c>
      <c r="P10" s="130">
        <f t="shared" ref="P10" si="3">VLOOKUP(K10,Tarifa1,2)</f>
        <v>699.3</v>
      </c>
      <c r="Q10" s="128">
        <f>O10+P10</f>
        <v>1070.8123439999999</v>
      </c>
      <c r="R10" s="128">
        <f t="shared" ref="R10" si="4">VLOOKUP(K10,Credito1,2)</f>
        <v>0</v>
      </c>
      <c r="S10" s="128">
        <f>ROUND(Q10-R10,2)</f>
        <v>1070.81</v>
      </c>
      <c r="T10" s="127">
        <f t="shared" ref="T10:T18" si="5">-IF(S10&gt;0,0,S10)</f>
        <v>0</v>
      </c>
      <c r="U10" s="127">
        <f t="shared" ref="U10:U18" si="6">IF(S10&lt;0,0,S10)</f>
        <v>1070.81</v>
      </c>
      <c r="V10" s="127">
        <f>SUM(U10:U10)</f>
        <v>1070.81</v>
      </c>
      <c r="W10" s="127">
        <f>I10+T10-V10</f>
        <v>7271.1900000000005</v>
      </c>
      <c r="X10" s="33"/>
    </row>
    <row r="11" spans="1:25" ht="65.25" customHeight="1" x14ac:dyDescent="0.2">
      <c r="A11" s="121" t="s">
        <v>89</v>
      </c>
      <c r="B11" s="147" t="s">
        <v>278</v>
      </c>
      <c r="C11" s="122" t="s">
        <v>120</v>
      </c>
      <c r="D11" s="123" t="s">
        <v>281</v>
      </c>
      <c r="E11" s="123" t="s">
        <v>80</v>
      </c>
      <c r="F11" s="124">
        <v>15</v>
      </c>
      <c r="G11" s="210">
        <f t="shared" ref="G11:G18" si="7">H11/F11</f>
        <v>556.13333333333333</v>
      </c>
      <c r="H11" s="125">
        <v>8342</v>
      </c>
      <c r="I11" s="127">
        <f t="shared" si="0"/>
        <v>8342</v>
      </c>
      <c r="J11" s="128">
        <v>0</v>
      </c>
      <c r="K11" s="128">
        <f t="shared" ref="K11:K18" si="8">I11+J11</f>
        <v>8342</v>
      </c>
      <c r="L11" s="128">
        <f t="shared" ref="L11:L18" si="9">VLOOKUP(K11,Tarifa1,1)</f>
        <v>6602.71</v>
      </c>
      <c r="M11" s="128">
        <f t="shared" ref="M11:M18" si="10">K11-L11</f>
        <v>1739.29</v>
      </c>
      <c r="N11" s="129">
        <f t="shared" ref="N11:N18" si="11">VLOOKUP(K11,Tarifa1,3)</f>
        <v>0.21360000000000001</v>
      </c>
      <c r="O11" s="128">
        <f t="shared" ref="O11:O18" si="12">M11*N11</f>
        <v>371.51234400000004</v>
      </c>
      <c r="P11" s="130">
        <f t="shared" ref="P11:P18" si="13">VLOOKUP(K11,Tarifa1,2)</f>
        <v>699.3</v>
      </c>
      <c r="Q11" s="128">
        <f t="shared" ref="Q11:Q18" si="14">O11+P11</f>
        <v>1070.8123439999999</v>
      </c>
      <c r="R11" s="128">
        <f t="shared" ref="R11:R18" si="15">VLOOKUP(K11,Credito1,2)</f>
        <v>0</v>
      </c>
      <c r="S11" s="128">
        <f t="shared" ref="S11:S18" si="16">ROUND(Q11-R11,2)</f>
        <v>1070.81</v>
      </c>
      <c r="T11" s="127">
        <f t="shared" si="5"/>
        <v>0</v>
      </c>
      <c r="U11" s="127">
        <f t="shared" si="6"/>
        <v>1070.81</v>
      </c>
      <c r="V11" s="127">
        <f>SUM(U11:U11)</f>
        <v>1070.81</v>
      </c>
      <c r="W11" s="127">
        <f>I11+T11-V11</f>
        <v>7271.1900000000005</v>
      </c>
      <c r="X11" s="33"/>
    </row>
    <row r="12" spans="1:25" ht="65.25" customHeight="1" x14ac:dyDescent="0.2">
      <c r="A12" s="121" t="s">
        <v>90</v>
      </c>
      <c r="B12" s="147" t="s">
        <v>279</v>
      </c>
      <c r="C12" s="122" t="s">
        <v>120</v>
      </c>
      <c r="D12" s="123" t="s">
        <v>282</v>
      </c>
      <c r="E12" s="123" t="s">
        <v>80</v>
      </c>
      <c r="F12" s="124">
        <v>15</v>
      </c>
      <c r="G12" s="210">
        <f t="shared" si="7"/>
        <v>556.13333333333333</v>
      </c>
      <c r="H12" s="125">
        <v>8342</v>
      </c>
      <c r="I12" s="127">
        <f t="shared" si="0"/>
        <v>8342</v>
      </c>
      <c r="J12" s="128">
        <v>0</v>
      </c>
      <c r="K12" s="128">
        <f t="shared" si="8"/>
        <v>8342</v>
      </c>
      <c r="L12" s="128">
        <f t="shared" si="9"/>
        <v>6602.71</v>
      </c>
      <c r="M12" s="128">
        <f t="shared" si="10"/>
        <v>1739.29</v>
      </c>
      <c r="N12" s="129">
        <f t="shared" si="11"/>
        <v>0.21360000000000001</v>
      </c>
      <c r="O12" s="128">
        <f t="shared" si="12"/>
        <v>371.51234400000004</v>
      </c>
      <c r="P12" s="130">
        <f t="shared" si="13"/>
        <v>699.3</v>
      </c>
      <c r="Q12" s="128">
        <f t="shared" si="14"/>
        <v>1070.8123439999999</v>
      </c>
      <c r="R12" s="128">
        <f t="shared" si="15"/>
        <v>0</v>
      </c>
      <c r="S12" s="128">
        <f t="shared" si="16"/>
        <v>1070.81</v>
      </c>
      <c r="T12" s="127">
        <f t="shared" si="5"/>
        <v>0</v>
      </c>
      <c r="U12" s="127">
        <f t="shared" si="6"/>
        <v>1070.81</v>
      </c>
      <c r="V12" s="127">
        <f>SUM(U12:U12)</f>
        <v>1070.81</v>
      </c>
      <c r="W12" s="127">
        <f>I12+T12-V12</f>
        <v>7271.1900000000005</v>
      </c>
      <c r="X12" s="33"/>
    </row>
    <row r="13" spans="1:25" ht="65.25" customHeight="1" x14ac:dyDescent="0.2">
      <c r="A13" s="121" t="s">
        <v>91</v>
      </c>
      <c r="B13" s="147" t="s">
        <v>299</v>
      </c>
      <c r="C13" s="122" t="s">
        <v>120</v>
      </c>
      <c r="D13" s="123" t="s">
        <v>283</v>
      </c>
      <c r="E13" s="123" t="s">
        <v>80</v>
      </c>
      <c r="F13" s="124">
        <v>10</v>
      </c>
      <c r="G13" s="210">
        <f t="shared" si="7"/>
        <v>834.2</v>
      </c>
      <c r="H13" s="125">
        <v>8342</v>
      </c>
      <c r="I13" s="127">
        <f t="shared" ref="I13" si="17">SUM(H13:H13)</f>
        <v>8342</v>
      </c>
      <c r="J13" s="128">
        <v>0</v>
      </c>
      <c r="K13" s="128">
        <f t="shared" ref="K13" si="18">I13+J13</f>
        <v>8342</v>
      </c>
      <c r="L13" s="128">
        <f t="shared" ref="L13" si="19">VLOOKUP(K13,Tarifa1,1)</f>
        <v>6602.71</v>
      </c>
      <c r="M13" s="128">
        <f t="shared" ref="M13" si="20">K13-L13</f>
        <v>1739.29</v>
      </c>
      <c r="N13" s="129">
        <f t="shared" ref="N13" si="21">VLOOKUP(K13,Tarifa1,3)</f>
        <v>0.21360000000000001</v>
      </c>
      <c r="O13" s="128">
        <f t="shared" ref="O13" si="22">M13*N13</f>
        <v>371.51234400000004</v>
      </c>
      <c r="P13" s="130">
        <f t="shared" ref="P13" si="23">VLOOKUP(K13,Tarifa1,2)</f>
        <v>699.3</v>
      </c>
      <c r="Q13" s="128">
        <f t="shared" ref="Q13" si="24">O13+P13</f>
        <v>1070.8123439999999</v>
      </c>
      <c r="R13" s="128">
        <f t="shared" ref="R13" si="25">VLOOKUP(K13,Credito1,2)</f>
        <v>0</v>
      </c>
      <c r="S13" s="128">
        <f t="shared" ref="S13" si="26">ROUND(Q13-R13,2)</f>
        <v>1070.81</v>
      </c>
      <c r="T13" s="127">
        <f t="shared" si="5"/>
        <v>0</v>
      </c>
      <c r="U13" s="127">
        <f t="shared" si="6"/>
        <v>1070.81</v>
      </c>
      <c r="V13" s="127">
        <f>SUM(U13:U13)</f>
        <v>1070.81</v>
      </c>
      <c r="W13" s="127">
        <f>I13+T13-V13</f>
        <v>7271.1900000000005</v>
      </c>
      <c r="X13" s="33"/>
    </row>
    <row r="14" spans="1:25" ht="65.25" customHeight="1" x14ac:dyDescent="0.2">
      <c r="A14" s="121" t="s">
        <v>92</v>
      </c>
      <c r="B14" s="147" t="s">
        <v>300</v>
      </c>
      <c r="C14" s="122" t="s">
        <v>120</v>
      </c>
      <c r="D14" s="225" t="s">
        <v>284</v>
      </c>
      <c r="E14" s="145" t="s">
        <v>80</v>
      </c>
      <c r="F14" s="177">
        <v>15</v>
      </c>
      <c r="G14" s="211">
        <f t="shared" si="7"/>
        <v>556.13333333333333</v>
      </c>
      <c r="H14" s="125">
        <v>8342</v>
      </c>
      <c r="I14" s="127">
        <f t="shared" ref="I14" si="27">SUM(H14:H14)</f>
        <v>8342</v>
      </c>
      <c r="J14" s="128">
        <v>0</v>
      </c>
      <c r="K14" s="128">
        <f t="shared" si="8"/>
        <v>8342</v>
      </c>
      <c r="L14" s="128">
        <f t="shared" si="9"/>
        <v>6602.71</v>
      </c>
      <c r="M14" s="128">
        <f t="shared" si="10"/>
        <v>1739.29</v>
      </c>
      <c r="N14" s="129">
        <f t="shared" si="11"/>
        <v>0.21360000000000001</v>
      </c>
      <c r="O14" s="128">
        <f t="shared" si="12"/>
        <v>371.51234400000004</v>
      </c>
      <c r="P14" s="130">
        <f t="shared" si="13"/>
        <v>699.3</v>
      </c>
      <c r="Q14" s="128">
        <f t="shared" si="14"/>
        <v>1070.8123439999999</v>
      </c>
      <c r="R14" s="128">
        <f t="shared" si="15"/>
        <v>0</v>
      </c>
      <c r="S14" s="128">
        <f t="shared" si="16"/>
        <v>1070.81</v>
      </c>
      <c r="T14" s="127">
        <f t="shared" ref="T14" si="28">-IF(S14&gt;0,0,S14)</f>
        <v>0</v>
      </c>
      <c r="U14" s="127">
        <f t="shared" ref="U14" si="29">IF(S14&lt;0,0,S14)</f>
        <v>1070.81</v>
      </c>
      <c r="V14" s="127">
        <f>SUM(U14:U14)</f>
        <v>1070.81</v>
      </c>
      <c r="W14" s="127">
        <f>I14+T14-V14</f>
        <v>7271.1900000000005</v>
      </c>
      <c r="X14" s="33"/>
    </row>
    <row r="15" spans="1:25" ht="65.25" customHeight="1" x14ac:dyDescent="0.2">
      <c r="A15" s="121" t="s">
        <v>93</v>
      </c>
      <c r="B15" s="147" t="s">
        <v>301</v>
      </c>
      <c r="C15" s="122" t="s">
        <v>120</v>
      </c>
      <c r="D15" s="123" t="s">
        <v>285</v>
      </c>
      <c r="E15" s="123" t="s">
        <v>80</v>
      </c>
      <c r="F15" s="124">
        <v>15</v>
      </c>
      <c r="G15" s="210">
        <f t="shared" si="7"/>
        <v>556.13333333333333</v>
      </c>
      <c r="H15" s="125">
        <v>8342</v>
      </c>
      <c r="I15" s="127">
        <f t="shared" si="0"/>
        <v>8342</v>
      </c>
      <c r="J15" s="128">
        <v>0</v>
      </c>
      <c r="K15" s="128">
        <f t="shared" si="8"/>
        <v>8342</v>
      </c>
      <c r="L15" s="128">
        <f t="shared" si="9"/>
        <v>6602.71</v>
      </c>
      <c r="M15" s="128">
        <f t="shared" si="10"/>
        <v>1739.29</v>
      </c>
      <c r="N15" s="129">
        <f t="shared" si="11"/>
        <v>0.21360000000000001</v>
      </c>
      <c r="O15" s="128">
        <f t="shared" si="12"/>
        <v>371.51234400000004</v>
      </c>
      <c r="P15" s="130">
        <f t="shared" si="13"/>
        <v>699.3</v>
      </c>
      <c r="Q15" s="128">
        <f t="shared" si="14"/>
        <v>1070.8123439999999</v>
      </c>
      <c r="R15" s="128">
        <f t="shared" si="15"/>
        <v>0</v>
      </c>
      <c r="S15" s="128">
        <f t="shared" si="16"/>
        <v>1070.81</v>
      </c>
      <c r="T15" s="127">
        <f t="shared" si="5"/>
        <v>0</v>
      </c>
      <c r="U15" s="127">
        <f t="shared" si="6"/>
        <v>1070.81</v>
      </c>
      <c r="V15" s="127">
        <f>SUM(U15:U15)</f>
        <v>1070.81</v>
      </c>
      <c r="W15" s="127">
        <f>I15+T15-V15</f>
        <v>7271.1900000000005</v>
      </c>
      <c r="X15" s="33"/>
    </row>
    <row r="16" spans="1:25" ht="65.25" customHeight="1" x14ac:dyDescent="0.2">
      <c r="A16" s="121" t="s">
        <v>94</v>
      </c>
      <c r="B16" s="147" t="s">
        <v>287</v>
      </c>
      <c r="C16" s="122" t="s">
        <v>120</v>
      </c>
      <c r="D16" s="140" t="s">
        <v>288</v>
      </c>
      <c r="E16" s="123" t="s">
        <v>80</v>
      </c>
      <c r="F16" s="124">
        <v>15</v>
      </c>
      <c r="G16" s="210">
        <f t="shared" si="7"/>
        <v>556.13333333333333</v>
      </c>
      <c r="H16" s="125">
        <v>8342</v>
      </c>
      <c r="I16" s="127">
        <f t="shared" si="0"/>
        <v>8342</v>
      </c>
      <c r="J16" s="128">
        <v>0</v>
      </c>
      <c r="K16" s="128">
        <f t="shared" si="8"/>
        <v>8342</v>
      </c>
      <c r="L16" s="128">
        <f t="shared" si="9"/>
        <v>6602.71</v>
      </c>
      <c r="M16" s="128">
        <f t="shared" si="10"/>
        <v>1739.29</v>
      </c>
      <c r="N16" s="129">
        <f t="shared" si="11"/>
        <v>0.21360000000000001</v>
      </c>
      <c r="O16" s="128">
        <f t="shared" si="12"/>
        <v>371.51234400000004</v>
      </c>
      <c r="P16" s="130">
        <f t="shared" si="13"/>
        <v>699.3</v>
      </c>
      <c r="Q16" s="128">
        <f t="shared" si="14"/>
        <v>1070.8123439999999</v>
      </c>
      <c r="R16" s="128">
        <f t="shared" si="15"/>
        <v>0</v>
      </c>
      <c r="S16" s="128">
        <f t="shared" si="16"/>
        <v>1070.81</v>
      </c>
      <c r="T16" s="127">
        <f t="shared" si="5"/>
        <v>0</v>
      </c>
      <c r="U16" s="127">
        <f t="shared" si="6"/>
        <v>1070.81</v>
      </c>
      <c r="V16" s="127">
        <f>SUM(U16:U16)</f>
        <v>1070.81</v>
      </c>
      <c r="W16" s="127">
        <f>I16+T16-V16</f>
        <v>7271.1900000000005</v>
      </c>
      <c r="X16" s="33"/>
    </row>
    <row r="17" spans="1:37" ht="65.25" customHeight="1" x14ac:dyDescent="0.2">
      <c r="A17" s="121" t="s">
        <v>95</v>
      </c>
      <c r="B17" s="147" t="s">
        <v>302</v>
      </c>
      <c r="C17" s="122" t="s">
        <v>120</v>
      </c>
      <c r="D17" s="140" t="s">
        <v>289</v>
      </c>
      <c r="E17" s="123" t="s">
        <v>80</v>
      </c>
      <c r="F17" s="124">
        <v>15</v>
      </c>
      <c r="G17" s="210">
        <f t="shared" si="7"/>
        <v>556.13333333333333</v>
      </c>
      <c r="H17" s="125">
        <v>8342</v>
      </c>
      <c r="I17" s="127">
        <f t="shared" si="0"/>
        <v>8342</v>
      </c>
      <c r="J17" s="128">
        <v>0</v>
      </c>
      <c r="K17" s="128">
        <f t="shared" si="8"/>
        <v>8342</v>
      </c>
      <c r="L17" s="128">
        <f t="shared" si="9"/>
        <v>6602.71</v>
      </c>
      <c r="M17" s="128">
        <f t="shared" si="10"/>
        <v>1739.29</v>
      </c>
      <c r="N17" s="129">
        <f t="shared" si="11"/>
        <v>0.21360000000000001</v>
      </c>
      <c r="O17" s="128">
        <f t="shared" si="12"/>
        <v>371.51234400000004</v>
      </c>
      <c r="P17" s="130">
        <f t="shared" si="13"/>
        <v>699.3</v>
      </c>
      <c r="Q17" s="128">
        <f t="shared" si="14"/>
        <v>1070.8123439999999</v>
      </c>
      <c r="R17" s="128">
        <f t="shared" si="15"/>
        <v>0</v>
      </c>
      <c r="S17" s="128">
        <f t="shared" si="16"/>
        <v>1070.81</v>
      </c>
      <c r="T17" s="127">
        <f t="shared" si="5"/>
        <v>0</v>
      </c>
      <c r="U17" s="127">
        <f t="shared" si="6"/>
        <v>1070.81</v>
      </c>
      <c r="V17" s="127">
        <f>SUM(U17:U17)</f>
        <v>1070.81</v>
      </c>
      <c r="W17" s="127">
        <f>I17+T17-V17</f>
        <v>7271.1900000000005</v>
      </c>
      <c r="X17" s="33"/>
    </row>
    <row r="18" spans="1:37" ht="65.25" customHeight="1" x14ac:dyDescent="0.2">
      <c r="A18" s="121" t="s">
        <v>96</v>
      </c>
      <c r="B18" s="147" t="s">
        <v>303</v>
      </c>
      <c r="C18" s="122" t="s">
        <v>120</v>
      </c>
      <c r="D18" s="123" t="s">
        <v>286</v>
      </c>
      <c r="E18" s="123" t="s">
        <v>80</v>
      </c>
      <c r="F18" s="124">
        <v>15</v>
      </c>
      <c r="G18" s="210">
        <f t="shared" si="7"/>
        <v>556.13333333333333</v>
      </c>
      <c r="H18" s="125">
        <v>8342</v>
      </c>
      <c r="I18" s="127">
        <f t="shared" si="0"/>
        <v>8342</v>
      </c>
      <c r="J18" s="128">
        <v>0</v>
      </c>
      <c r="K18" s="128">
        <f t="shared" si="8"/>
        <v>8342</v>
      </c>
      <c r="L18" s="128">
        <f t="shared" si="9"/>
        <v>6602.71</v>
      </c>
      <c r="M18" s="128">
        <f t="shared" si="10"/>
        <v>1739.29</v>
      </c>
      <c r="N18" s="129">
        <f t="shared" si="11"/>
        <v>0.21360000000000001</v>
      </c>
      <c r="O18" s="128">
        <f t="shared" si="12"/>
        <v>371.51234400000004</v>
      </c>
      <c r="P18" s="130">
        <f t="shared" si="13"/>
        <v>699.3</v>
      </c>
      <c r="Q18" s="128">
        <f t="shared" si="14"/>
        <v>1070.8123439999999</v>
      </c>
      <c r="R18" s="128">
        <f t="shared" si="15"/>
        <v>0</v>
      </c>
      <c r="S18" s="128">
        <f t="shared" si="16"/>
        <v>1070.81</v>
      </c>
      <c r="T18" s="127">
        <f t="shared" si="5"/>
        <v>0</v>
      </c>
      <c r="U18" s="127">
        <f t="shared" si="6"/>
        <v>1070.81</v>
      </c>
      <c r="V18" s="127">
        <f>SUM(U18:U18)</f>
        <v>1070.81</v>
      </c>
      <c r="W18" s="127">
        <f>I18+T18-V18</f>
        <v>7271.1900000000005</v>
      </c>
      <c r="X18" s="33"/>
    </row>
    <row r="19" spans="1:37" ht="21.75" customHeight="1" x14ac:dyDescent="0.25">
      <c r="A19" s="152"/>
      <c r="B19" s="152"/>
      <c r="C19" s="152"/>
      <c r="D19" s="152"/>
      <c r="E19" s="152"/>
      <c r="F19" s="152"/>
      <c r="G19" s="152"/>
      <c r="H19" s="153"/>
      <c r="I19" s="153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</row>
    <row r="20" spans="1:37" ht="40.5" customHeight="1" thickBot="1" x14ac:dyDescent="0.3">
      <c r="A20" s="255" t="s">
        <v>45</v>
      </c>
      <c r="B20" s="256"/>
      <c r="C20" s="256"/>
      <c r="D20" s="256"/>
      <c r="E20" s="256"/>
      <c r="F20" s="256"/>
      <c r="G20" s="257"/>
      <c r="H20" s="133">
        <f>SUM(H10:H19)</f>
        <v>75078</v>
      </c>
      <c r="I20" s="133">
        <f>SUM(I10:I19)</f>
        <v>75078</v>
      </c>
      <c r="J20" s="134">
        <f t="shared" ref="J20:S20" si="30">SUM(J10:J19)</f>
        <v>0</v>
      </c>
      <c r="K20" s="134">
        <f t="shared" si="30"/>
        <v>75078</v>
      </c>
      <c r="L20" s="134">
        <f t="shared" si="30"/>
        <v>59424.39</v>
      </c>
      <c r="M20" s="134">
        <f t="shared" si="30"/>
        <v>15653.610000000004</v>
      </c>
      <c r="N20" s="134">
        <f t="shared" si="30"/>
        <v>1.9224000000000001</v>
      </c>
      <c r="O20" s="134">
        <f t="shared" si="30"/>
        <v>3343.611096000001</v>
      </c>
      <c r="P20" s="134">
        <f t="shared" si="30"/>
        <v>6293.7000000000007</v>
      </c>
      <c r="Q20" s="134">
        <f t="shared" si="30"/>
        <v>9637.3110959999995</v>
      </c>
      <c r="R20" s="134">
        <f t="shared" si="30"/>
        <v>0</v>
      </c>
      <c r="S20" s="134">
        <f t="shared" si="30"/>
        <v>9637.2899999999972</v>
      </c>
      <c r="T20" s="133">
        <f>SUM(T10:T19)</f>
        <v>0</v>
      </c>
      <c r="U20" s="133">
        <f>SUM(U10:U19)</f>
        <v>9637.2899999999972</v>
      </c>
      <c r="V20" s="133">
        <f>SUM(V10:V19)</f>
        <v>9637.2899999999972</v>
      </c>
      <c r="W20" s="133">
        <f>SUM(W10:W19)</f>
        <v>65440.710000000014</v>
      </c>
    </row>
    <row r="21" spans="1:37" ht="13.5" thickTop="1" x14ac:dyDescent="0.2"/>
    <row r="28" spans="1:37" ht="15" x14ac:dyDescent="0.25">
      <c r="D28" s="102" t="s">
        <v>264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</row>
    <row r="29" spans="1:37" ht="15" x14ac:dyDescent="0.25">
      <c r="D29" s="102" t="s">
        <v>263</v>
      </c>
      <c r="E29" s="102"/>
      <c r="F29" s="102"/>
      <c r="G29" s="102"/>
      <c r="H29" s="102"/>
      <c r="I29" s="102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102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J29" s="43"/>
      <c r="AK29" s="43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2021-10-18T15:22:41Z</cp:lastPrinted>
  <dcterms:created xsi:type="dcterms:W3CDTF">2000-05-05T04:08:27Z</dcterms:created>
  <dcterms:modified xsi:type="dcterms:W3CDTF">2023-09-14T19:55:47Z</dcterms:modified>
</cp:coreProperties>
</file>