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6F4E7683-8BEE-4DEC-81AB-5AEA8222F3F9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SINDICO!$1:$25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20" l="1"/>
  <c r="L14" i="120" s="1"/>
  <c r="J14" i="120"/>
  <c r="K16" i="121"/>
  <c r="L16" i="121" s="1"/>
  <c r="J16" i="121"/>
  <c r="K10" i="120"/>
  <c r="L10" i="120" s="1"/>
  <c r="J10" i="120"/>
  <c r="G10" i="120"/>
  <c r="K20" i="119"/>
  <c r="L20" i="119" s="1"/>
  <c r="J20" i="119"/>
  <c r="K10" i="134"/>
  <c r="L10" i="134" s="1"/>
  <c r="J10" i="134"/>
  <c r="S14" i="120" l="1"/>
  <c r="O14" i="120"/>
  <c r="Q14" i="120"/>
  <c r="M14" i="120"/>
  <c r="N14" i="120" s="1"/>
  <c r="S16" i="121"/>
  <c r="Q16" i="121"/>
  <c r="M16" i="121"/>
  <c r="N16" i="121" s="1"/>
  <c r="P16" i="121" s="1"/>
  <c r="O16" i="12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20" i="135"/>
  <c r="J20" i="135" s="1"/>
  <c r="H20" i="135"/>
  <c r="I19" i="135"/>
  <c r="J19" i="135" s="1"/>
  <c r="H19" i="135"/>
  <c r="P10" i="120" l="1"/>
  <c r="R10" i="120" s="1"/>
  <c r="T10" i="120" s="1"/>
  <c r="U10" i="120" s="1"/>
  <c r="P14" i="120"/>
  <c r="R14" i="120" s="1"/>
  <c r="T14" i="120" s="1"/>
  <c r="R16" i="121"/>
  <c r="T16" i="121" s="1"/>
  <c r="V16" i="121" s="1"/>
  <c r="W16" i="121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20" i="135"/>
  <c r="K20" i="135"/>
  <c r="L20" i="135" s="1"/>
  <c r="Q20" i="135"/>
  <c r="M20" i="135"/>
  <c r="Q19" i="135"/>
  <c r="M19" i="135"/>
  <c r="O19" i="135"/>
  <c r="K19" i="135"/>
  <c r="L19" i="135" s="1"/>
  <c r="K11" i="132"/>
  <c r="L11" i="132" s="1"/>
  <c r="J11" i="132"/>
  <c r="K17" i="121"/>
  <c r="L17" i="121" s="1"/>
  <c r="J17" i="121"/>
  <c r="U16" i="121" l="1"/>
  <c r="V10" i="120"/>
  <c r="W10" i="120" s="1"/>
  <c r="X10" i="120" s="1"/>
  <c r="U14" i="120"/>
  <c r="V14" i="120"/>
  <c r="W14" i="120" s="1"/>
  <c r="U20" i="119"/>
  <c r="N20" i="135"/>
  <c r="P20" i="135" s="1"/>
  <c r="R20" i="135" s="1"/>
  <c r="S20" i="135" s="1"/>
  <c r="U10" i="134"/>
  <c r="X10" i="134" s="1"/>
  <c r="N19" i="135"/>
  <c r="P19" i="135" s="1"/>
  <c r="R19" i="135" s="1"/>
  <c r="Q11" i="132"/>
  <c r="M11" i="132"/>
  <c r="N11" i="132" s="1"/>
  <c r="S11" i="132"/>
  <c r="O11" i="132"/>
  <c r="Q17" i="121"/>
  <c r="M17" i="121"/>
  <c r="N17" i="121" s="1"/>
  <c r="S17" i="121"/>
  <c r="O17" i="121"/>
  <c r="T20" i="135" l="1"/>
  <c r="U20" i="135" s="1"/>
  <c r="V20" i="135" s="1"/>
  <c r="X14" i="120"/>
  <c r="T19" i="135"/>
  <c r="U19" i="135" s="1"/>
  <c r="S19" i="135"/>
  <c r="P17" i="121"/>
  <c r="R17" i="121" s="1"/>
  <c r="T17" i="121" s="1"/>
  <c r="V17" i="121" s="1"/>
  <c r="W17" i="121" s="1"/>
  <c r="P11" i="132"/>
  <c r="R11" i="132" s="1"/>
  <c r="T11" i="132" s="1"/>
  <c r="V11" i="132" s="1"/>
  <c r="W11" i="132" s="1"/>
  <c r="K11" i="133"/>
  <c r="L11" i="133" s="1"/>
  <c r="S11" i="133" s="1"/>
  <c r="J11" i="133"/>
  <c r="G11" i="133"/>
  <c r="V19" i="135" l="1"/>
  <c r="U17" i="121"/>
  <c r="X17" i="121" s="1"/>
  <c r="U11" i="132"/>
  <c r="X11" i="132" s="1"/>
  <c r="X16" i="121"/>
  <c r="M11" i="133"/>
  <c r="N11" i="133" s="1"/>
  <c r="Q11" i="133"/>
  <c r="O11" i="133"/>
  <c r="K12" i="134"/>
  <c r="L12" i="134" s="1"/>
  <c r="J12" i="134"/>
  <c r="G10" i="134"/>
  <c r="I9" i="134"/>
  <c r="H9" i="134"/>
  <c r="K11" i="120"/>
  <c r="L11" i="120" s="1"/>
  <c r="J11" i="120"/>
  <c r="I16" i="119"/>
  <c r="H16" i="119"/>
  <c r="P11" i="133" l="1"/>
  <c r="R11" i="133" s="1"/>
  <c r="T11" i="133" s="1"/>
  <c r="V11" i="133" s="1"/>
  <c r="W11" i="133" s="1"/>
  <c r="S12" i="134"/>
  <c r="O12" i="134"/>
  <c r="Q12" i="134"/>
  <c r="M12" i="134"/>
  <c r="N12" i="134" s="1"/>
  <c r="J9" i="134"/>
  <c r="S11" i="120"/>
  <c r="O11" i="120"/>
  <c r="Q11" i="120"/>
  <c r="M11" i="120"/>
  <c r="N11" i="120" s="1"/>
  <c r="P12" i="134" l="1"/>
  <c r="R12" i="134" s="1"/>
  <c r="T12" i="134" s="1"/>
  <c r="U11" i="133"/>
  <c r="X11" i="133" s="1"/>
  <c r="P11" i="120"/>
  <c r="R11" i="120" s="1"/>
  <c r="T11" i="120" s="1"/>
  <c r="V11" i="120" s="1"/>
  <c r="W11" i="120" s="1"/>
  <c r="U12" i="134" l="1"/>
  <c r="V12" i="134"/>
  <c r="W12" i="134" s="1"/>
  <c r="U9" i="134"/>
  <c r="W9" i="134"/>
  <c r="V9" i="134"/>
  <c r="U11" i="120"/>
  <c r="X11" i="120" s="1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3" i="132"/>
  <c r="M13" i="132"/>
  <c r="N13" i="132" s="1"/>
  <c r="S13" i="132"/>
  <c r="O13" i="132"/>
  <c r="S12" i="132"/>
  <c r="O12" i="132"/>
  <c r="Q12" i="132"/>
  <c r="M12" i="132"/>
  <c r="N12" i="132" s="1"/>
  <c r="P12" i="132" s="1"/>
  <c r="R12" i="132" s="1"/>
  <c r="Q10" i="132"/>
  <c r="M10" i="132"/>
  <c r="N10" i="132" s="1"/>
  <c r="S10" i="132"/>
  <c r="O10" i="132"/>
  <c r="J11" i="134"/>
  <c r="T12" i="132" l="1"/>
  <c r="U12" i="132" s="1"/>
  <c r="P13" i="132"/>
  <c r="R13" i="132" s="1"/>
  <c r="T13" i="132" s="1"/>
  <c r="V13" i="132" s="1"/>
  <c r="W13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3" i="132"/>
  <c r="U10" i="132"/>
  <c r="V12" i="132" l="1"/>
  <c r="W12" i="132" s="1"/>
  <c r="X12" i="132" s="1"/>
  <c r="U13" i="120"/>
  <c r="X13" i="120" s="1"/>
  <c r="V12" i="120"/>
  <c r="W12" i="120" s="1"/>
  <c r="X12" i="120" s="1"/>
  <c r="U20" i="121"/>
  <c r="X20" i="121" s="1"/>
  <c r="X10" i="132"/>
  <c r="U19" i="123"/>
  <c r="X19" i="123" s="1"/>
  <c r="X9" i="123"/>
  <c r="X13" i="132"/>
  <c r="V11" i="134"/>
  <c r="V14" i="134"/>
  <c r="U14" i="134" l="1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1" i="135"/>
  <c r="J21" i="135" s="1"/>
  <c r="H21" i="135"/>
  <c r="X8" i="123" l="1"/>
  <c r="Q21" i="135"/>
  <c r="M21" i="135"/>
  <c r="O21" i="135"/>
  <c r="K21" i="135"/>
  <c r="L21" i="135" s="1"/>
  <c r="I12" i="135"/>
  <c r="J12" i="135" s="1"/>
  <c r="H12" i="135"/>
  <c r="N21" i="135" l="1"/>
  <c r="P21" i="135" s="1"/>
  <c r="R21" i="135" s="1"/>
  <c r="Q12" i="135"/>
  <c r="M12" i="135"/>
  <c r="O12" i="135"/>
  <c r="K12" i="135"/>
  <c r="L12" i="135" s="1"/>
  <c r="T21" i="135" l="1"/>
  <c r="U21" i="135" s="1"/>
  <c r="S21" i="135"/>
  <c r="N12" i="135"/>
  <c r="P12" i="135" s="1"/>
  <c r="R12" i="135" s="1"/>
  <c r="T12" i="135" s="1"/>
  <c r="U12" i="135" s="1"/>
  <c r="I18" i="135"/>
  <c r="J18" i="135" s="1"/>
  <c r="H18" i="135"/>
  <c r="V21" i="135" l="1"/>
  <c r="S12" i="135"/>
  <c r="V12" i="135"/>
  <c r="Q18" i="135"/>
  <c r="M18" i="135"/>
  <c r="O18" i="135"/>
  <c r="K18" i="135"/>
  <c r="L18" i="135" s="1"/>
  <c r="N18" i="135" l="1"/>
  <c r="P18" i="135" s="1"/>
  <c r="R18" i="135" s="1"/>
  <c r="T18" i="135" s="1"/>
  <c r="U18" i="135" s="1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 s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X10" i="119" s="1"/>
  <c r="U9" i="119"/>
  <c r="X9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3" i="133" l="1"/>
  <c r="L13" i="133" s="1"/>
  <c r="K14" i="133"/>
  <c r="L14" i="133" s="1"/>
  <c r="M14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3" i="133"/>
  <c r="R13" i="133" s="1"/>
  <c r="T13" i="133" s="1"/>
  <c r="P14" i="133"/>
  <c r="R14" i="133" s="1"/>
  <c r="T14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5" i="120"/>
  <c r="R15" i="120" s="1"/>
  <c r="T15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4" i="133"/>
  <c r="G14" i="133"/>
  <c r="V14" i="123" l="1"/>
  <c r="W14" i="123" s="1"/>
  <c r="X14" i="123" s="1"/>
  <c r="V14" i="133" l="1"/>
  <c r="W14" i="133" s="1"/>
  <c r="J13" i="121"/>
  <c r="U14" i="133" l="1"/>
  <c r="X14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2" i="135" l="1"/>
  <c r="G22" i="135"/>
  <c r="H16" i="135" l="1"/>
  <c r="J13" i="133" l="1"/>
  <c r="J11" i="123" l="1"/>
  <c r="I12" i="123" l="1"/>
  <c r="O22" i="135" l="1"/>
  <c r="K22" i="135"/>
  <c r="I22" i="135"/>
  <c r="H13" i="135"/>
  <c r="H10" i="135"/>
  <c r="H9" i="135"/>
  <c r="H14" i="135" l="1"/>
  <c r="H15" i="135"/>
  <c r="H11" i="135"/>
  <c r="J10" i="123"/>
  <c r="G11" i="123"/>
  <c r="I10" i="123"/>
  <c r="H10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5" i="120" l="1"/>
  <c r="J15" i="120" l="1"/>
  <c r="J21" i="123" l="1"/>
  <c r="J13" i="123" l="1"/>
  <c r="J12" i="123" l="1"/>
  <c r="J18" i="123" l="1"/>
  <c r="J16" i="123" s="1"/>
  <c r="J18" i="121" l="1"/>
  <c r="G23" i="123" l="1"/>
  <c r="I22" i="123"/>
  <c r="H22" i="123"/>
  <c r="G13" i="133" l="1"/>
  <c r="Q15" i="133"/>
  <c r="M15" i="133"/>
  <c r="K15" i="133"/>
  <c r="I15" i="133"/>
  <c r="U22" i="123" l="1"/>
  <c r="J22" i="123"/>
  <c r="H15" i="133"/>
  <c r="N15" i="133" l="1"/>
  <c r="V22" i="123"/>
  <c r="J15" i="133"/>
  <c r="L15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5" i="132"/>
  <c r="M15" i="132"/>
  <c r="K15" i="132"/>
  <c r="I15" i="132"/>
  <c r="H15" i="132" l="1"/>
  <c r="J15" i="132" l="1"/>
  <c r="S15" i="132"/>
  <c r="N15" i="132"/>
  <c r="L15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2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3" i="133"/>
  <c r="W13" i="133" s="1"/>
  <c r="U13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2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5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5" i="120"/>
  <c r="W11" i="131"/>
  <c r="X13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2" i="135"/>
  <c r="V14" i="135"/>
  <c r="X21" i="119"/>
  <c r="U12" i="123"/>
  <c r="W12" i="123"/>
  <c r="V12" i="123"/>
  <c r="V9" i="121"/>
  <c r="V31" i="121" s="1"/>
  <c r="U9" i="121"/>
  <c r="V11" i="118"/>
  <c r="W11" i="118" s="1"/>
  <c r="X11" i="118" s="1"/>
  <c r="P15" i="133"/>
  <c r="X11" i="119"/>
  <c r="W20" i="123"/>
  <c r="V20" i="123"/>
  <c r="O20" i="131"/>
  <c r="R15" i="132"/>
  <c r="P15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U31" i="121" l="1"/>
  <c r="U25" i="123"/>
  <c r="W25" i="123"/>
  <c r="V16" i="123"/>
  <c r="V25" i="123" s="1"/>
  <c r="X28" i="121"/>
  <c r="X27" i="121" s="1"/>
  <c r="X17" i="123"/>
  <c r="X16" i="123" s="1"/>
  <c r="X11" i="123"/>
  <c r="X10" i="123" s="1"/>
  <c r="P22" i="135"/>
  <c r="X12" i="123"/>
  <c r="W9" i="121"/>
  <c r="W31" i="121" s="1"/>
  <c r="X9" i="121"/>
  <c r="R15" i="133"/>
  <c r="X20" i="123"/>
  <c r="U12" i="119"/>
  <c r="T15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2" i="135"/>
  <c r="T15" i="133"/>
  <c r="V15" i="132"/>
  <c r="W15" i="132"/>
  <c r="U15" i="132"/>
  <c r="S20" i="131"/>
  <c r="X12" i="119"/>
  <c r="X14" i="119"/>
  <c r="X20" i="119"/>
  <c r="X19" i="119" s="1"/>
  <c r="R31" i="121"/>
  <c r="R25" i="123"/>
  <c r="R12" i="127"/>
  <c r="R14" i="118"/>
  <c r="R23" i="119"/>
  <c r="S22" i="135" l="1"/>
  <c r="T22" i="135"/>
  <c r="U9" i="135"/>
  <c r="U22" i="135" s="1"/>
  <c r="W15" i="133"/>
  <c r="V15" i="133"/>
  <c r="U15" i="133"/>
  <c r="X15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2" i="135" s="1"/>
  <c r="X15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<sst xmlns="http://schemas.openxmlformats.org/spreadsheetml/2006/main" count="1084" uniqueCount="305">
  <si>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</si>
  <si>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</si>
  <si>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</si>
  <si>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</si>
  <si>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</si>
  <si>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</si>
  <si>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</si>
  <si>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</si>
  <si>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</si>
  <si>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</si>
  <si>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</si>
  <si>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</si>
  <si>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</si>
  <si>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</si>
  <si>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</si>
  <si>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</si>
  <si>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</si>
  <si>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</si>
  <si>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</si>
  <si>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</si>
  <si>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</si>
  <si>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</si>
  <si>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</si>
  <si>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</si>
  <si>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</si>
  <si>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</si>
  <si>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</si>
  <si>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</si>
  <si>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</si>
  <si>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</si>
  <si>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</si>
  <si>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</si>
  <si>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</si>
  <si>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</si>
  <si>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</si>
  <si>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</si>
  <si>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</si>
  <si>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</si>
  <si>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</si>
  <si>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</si>
  <si>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</si>
  <si>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</si>
  <si>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</si>
  <si>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</si>
  <si>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</si>
  <si>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</si>
  <si>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</si>
  <si>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</si>
  <si>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</si>
  <si>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</si>
  <si>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</si>
  <si>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</si>
  <si>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</si>
  <si>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</si>
  <si>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</si>
  <si>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</si>
  <si>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</si>
  <si>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</si>
  <si>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</si>
  <si>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</si>
  <si>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</si>
  <si>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</si>
  <si>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</si>
  <si>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</si>
  <si>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</si>
  <si>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</si>
  <si>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</si>
  <si>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</si>
  <si>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</si>
  <si>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</si>
  <si>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</si>
  <si>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</si>
  <si>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</si>
  <si>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</si>
  <si>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</si>
  <si>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</si>
  <si>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</si>
  <si>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</si>
  <si>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</si>
  <si>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</si>
  <si>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</si>
  <si>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</si>
  <si>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</si>
  <si>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</si>
  <si>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</si>
  <si>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</si>
  <si>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</si>
  <si>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</si>
  <si>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</si>
  <si>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</si>
  <si>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</si>
  <si>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</si>
  <si>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</si>
  <si>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</si>
  <si>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</si>
  <si>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</si>
  <si>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</si>
  <si>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</si>
  <si>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</si>
  <si>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</si>
  <si>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</si>
  <si>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</si>
  <si>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</si>
  <si>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</si>
  <si>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</si>
  <si>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</si>
  <si>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</si>
  <si>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</si>
  <si>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</si>
  <si>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</si>
  <si>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</si>
  <si>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</si>
  <si>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</si>
  <si>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</si>
  <si>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</si>
  <si>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</si>
  <si>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</si>
  <si>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</si>
  <si>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</si>
  <si>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</si>
  <si>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</si>
  <si>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</si>
  <si>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</si>
  <si>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</si>
  <si>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</si>
  <si>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</si>
  <si>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</si>
  <si>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</si>
  <si>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</si>
  <si>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</si>
  <si>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</si>
  <si>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</si>
  <si>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</si>
  <si>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</si>
  <si>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</si>
  <si>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</si>
  <si>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</si>
  <si>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</si>
  <si>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</si>
  <si>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</si>
  <si>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</si>
  <si>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</si>
  <si>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</si>
  <si>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</si>
  <si>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</si>
  <si>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</si>
  <si>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</si>
  <si>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</si>
  <si>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</si>
  <si>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</si>
  <si>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</si>
  <si>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</si>
  <si>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</si>
  <si>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</si>
  <si>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</si>
  <si>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</si>
  <si>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</si>
  <si>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</si>
  <si>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</si>
  <si>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</si>
  <si>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</si>
  <si>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</si>
  <si>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</si>
  <si>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</si>
  <si>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</si>
  <si>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</si>
  <si>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</si>
  <si>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</si>
  <si>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</si>
  <si>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</si>
  <si>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</si>
  <si>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</si>
  <si>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</si>
  <si>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</si>
  <si>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</si>
  <si>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</si>
  <si>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</si>
  <si>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</si>
  <si>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</si>
  <si>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</si>
  <si>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</si>
  <si>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</si>
  <si>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</si>
  <si>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</si>
  <si>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</si>
  <si>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</si>
  <si>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</si>
  <si>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</si>
  <si>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</si>
  <si>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</si>
  <si>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</si>
  <si>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</si>
  <si>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</si>
  <si>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</si>
  <si>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</si>
  <si>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</si>
  <si>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</si>
  <si>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</si>
  <si>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</si>
  <si>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</si>
  <si>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</si>
  <si>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</si>
  <si>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</si>
  <si>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</si>
  <si>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</si>
  <si>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</si>
  <si>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</si>
  <si>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</si>
  <si>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</si>
  <si>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</si>
  <si>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</si>
  <si>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</si>
  <si>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</si>
  <si>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</si>
  <si>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</si>
  <si>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</si>
  <si>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</si>
  <si>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</si>
  <si>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</si>
  <si>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</si>
  <si>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</si>
  <si>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</si>
  <si>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</si>
  <si>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</si>
  <si>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</si>
  <si>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</si>
  <si>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</si>
  <si>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</si>
  <si>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</si>
  <si>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</si>
  <si>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</si>
  <si>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</si>
  <si>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</si>
  <si>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</si>
  <si>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</si>
  <si>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</si>
  <si>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</si>
  <si>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</si>
  <si>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</si>
  <si>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</si>
  <si>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</si>
  <si>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</si>
  <si>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</si>
  <si>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</si>
  <si>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</si>
  <si>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</si>
  <si>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</si>
  <si>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</si>
  <si>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</si>
  <si>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</si>
  <si>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</si>
  <si>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</si>
  <si>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</si>
  <si>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</si>
  <si>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</si>
  <si>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</si>
  <si>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</si>
  <si>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</si>
  <si>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</si>
  <si>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</si>
  <si>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</si>
  <si>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</si>
  <si>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</si>
  <si>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</si>
  <si>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</si>
  <si>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</si>
  <si>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</si>
  <si>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</si>
  <si>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</si>
  <si>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</si>
  <si>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</si>
  <si>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</si>
  <si>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</si>
  <si>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</si>
  <si>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</si>
  <si>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</si>
  <si>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</si>
  <si>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</si>
  <si>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</si>
  <si>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</si>
  <si>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</si>
  <si>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</si>
  <si>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</si>
  <si>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</si>
  <si>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</si>
  <si>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</si>
  <si>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</si>
  <si>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</si>
  <si>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</si>
  <si>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</si>
  <si>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</si>
  <si>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</si>
  <si>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</si>
  <si>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</si>
  <si>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</si>
  <si>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</si>
  <si>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</si>
  <si>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</si>
  <si>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</si>
  <si>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</si>
  <si>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</si>
  <si>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</si>
  <si>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</si>
  <si>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</si>
  <si>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SUELDO  DEL 16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</si>
</sst>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4" t="s">
        <v>228</v>
      </c>
    </row>
    <row r="3" spans="1:9" x14ac:dyDescent="0.2">
      <c r="B3" s="8" t="s">
        <v>49</v>
      </c>
      <c r="C3" s="7"/>
      <c r="D3" s="7"/>
      <c r="E3" s="7"/>
      <c r="F3" s="7"/>
      <c r="G3" s="7"/>
      <c r="I3" s="123">
        <v>141.69999999999999</v>
      </c>
    </row>
    <row r="4" spans="1:9" x14ac:dyDescent="0.2">
      <c r="B4" s="19" t="s">
        <v>226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2" t="s">
        <v>11</v>
      </c>
      <c r="C7" s="242"/>
      <c r="D7" s="242"/>
      <c r="E7" s="7"/>
      <c r="F7" s="243" t="s">
        <v>50</v>
      </c>
      <c r="G7" s="244"/>
      <c r="I7" s="124" t="s">
        <v>229</v>
      </c>
    </row>
    <row r="8" spans="1:9" ht="14.25" customHeight="1" x14ac:dyDescent="0.2">
      <c r="B8" s="245" t="s">
        <v>10</v>
      </c>
      <c r="C8" s="245"/>
      <c r="D8" s="245"/>
      <c r="E8" s="7"/>
      <c r="F8" s="246" t="s">
        <v>51</v>
      </c>
      <c r="G8" s="247"/>
      <c r="I8" s="123">
        <v>89.62</v>
      </c>
    </row>
    <row r="9" spans="1:9" ht="8.25" customHeight="1" x14ac:dyDescent="0.2">
      <c r="B9" s="239"/>
      <c r="C9" s="239"/>
      <c r="D9" s="239"/>
      <c r="E9" s="7"/>
      <c r="F9" s="240"/>
      <c r="G9" s="24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227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3" t="s">
        <v>55</v>
      </c>
      <c r="G32" s="244"/>
    </row>
    <row r="33" spans="2:7" x14ac:dyDescent="0.2">
      <c r="E33" s="7"/>
      <c r="F33" s="246" t="s">
        <v>56</v>
      </c>
      <c r="G33" s="247"/>
    </row>
    <row r="34" spans="2:7" ht="5.25" customHeight="1" x14ac:dyDescent="0.2">
      <c r="E34" s="7"/>
      <c r="F34" s="240"/>
      <c r="G34" s="241"/>
    </row>
    <row r="35" spans="2:7" x14ac:dyDescent="0.2">
      <c r="B35" s="242" t="s">
        <v>11</v>
      </c>
      <c r="C35" s="242"/>
      <c r="D35" s="242"/>
      <c r="E35" s="7"/>
      <c r="F35" s="9" t="s">
        <v>17</v>
      </c>
      <c r="G35" s="9" t="s">
        <v>18</v>
      </c>
    </row>
    <row r="36" spans="2:7" x14ac:dyDescent="0.2">
      <c r="B36" s="245" t="s">
        <v>10</v>
      </c>
      <c r="C36" s="245"/>
      <c r="D36" s="245"/>
      <c r="E36" s="7"/>
      <c r="F36" s="9"/>
      <c r="G36" s="9" t="s">
        <v>19</v>
      </c>
    </row>
    <row r="37" spans="2:7" x14ac:dyDescent="0.2">
      <c r="B37" s="239"/>
      <c r="C37" s="239"/>
      <c r="D37" s="239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11" workbookViewId="0">
      <selection activeCell="V11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2" t="s">
        <v>1</v>
      </c>
      <c r="H7" s="263"/>
      <c r="I7" s="264"/>
      <c r="J7" s="24" t="s">
        <v>26</v>
      </c>
      <c r="K7" s="25"/>
      <c r="L7" s="265" t="s">
        <v>9</v>
      </c>
      <c r="M7" s="266"/>
      <c r="N7" s="266"/>
      <c r="O7" s="266"/>
      <c r="P7" s="266"/>
      <c r="Q7" s="267"/>
      <c r="R7" s="24" t="s">
        <v>30</v>
      </c>
      <c r="S7" s="24" t="s">
        <v>10</v>
      </c>
      <c r="T7" s="23" t="s">
        <v>54</v>
      </c>
      <c r="U7" s="268" t="s">
        <v>2</v>
      </c>
      <c r="V7" s="269"/>
      <c r="W7" s="23" t="s">
        <v>0</v>
      </c>
      <c r="X7" s="34"/>
    </row>
    <row r="8" spans="1:25" ht="22.5" x14ac:dyDescent="0.2">
      <c r="A8" s="45" t="s">
        <v>104</v>
      </c>
      <c r="B8" s="45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8" t="s">
        <v>236</v>
      </c>
      <c r="B11" s="179" t="s">
        <v>118</v>
      </c>
      <c r="C11" s="181" t="s">
        <v>237</v>
      </c>
      <c r="D11" s="181" t="s">
        <v>297</v>
      </c>
      <c r="E11" s="182">
        <v>15</v>
      </c>
      <c r="F11" s="183">
        <f>G11/E11</f>
        <v>961.73333333333335</v>
      </c>
      <c r="G11" s="184">
        <v>14426</v>
      </c>
      <c r="H11" s="185">
        <v>0</v>
      </c>
      <c r="I11" s="186">
        <f>SUM(G11:H11)</f>
        <v>14426</v>
      </c>
      <c r="J11" s="187">
        <f>H11/2</f>
        <v>0</v>
      </c>
      <c r="K11" s="187">
        <f>G11+J11</f>
        <v>14426</v>
      </c>
      <c r="L11" s="187">
        <f t="shared" ref="L11" si="0">VLOOKUP(K11,Tarifa1,1)</f>
        <v>13316.71</v>
      </c>
      <c r="M11" s="187">
        <f>K11-L11</f>
        <v>1109.2900000000009</v>
      </c>
      <c r="N11" s="188">
        <f t="shared" ref="N11" si="1">VLOOKUP(K11,Tarifa1,3)</f>
        <v>0.23519999999999999</v>
      </c>
      <c r="O11" s="187">
        <f>M11*N11</f>
        <v>260.90500800000018</v>
      </c>
      <c r="P11" s="189">
        <f t="shared" ref="P11" si="2">VLOOKUP(K11,Tarifa1,2)</f>
        <v>2133.3000000000002</v>
      </c>
      <c r="Q11" s="187">
        <f>O11+P11</f>
        <v>2394.2050080000004</v>
      </c>
      <c r="R11" s="187">
        <f t="shared" ref="R11" si="3">VLOOKUP(K11,Credito1,2)</f>
        <v>0</v>
      </c>
      <c r="S11" s="187">
        <f>Q11-R11</f>
        <v>2394.2050080000004</v>
      </c>
      <c r="T11" s="186">
        <f>-IF(S11&gt;0,0,S11)</f>
        <v>0</v>
      </c>
      <c r="U11" s="186">
        <f>IF(S11&lt;0,0,S11)</f>
        <v>2394.2050080000004</v>
      </c>
      <c r="V11" s="186">
        <f>SUM(U11:U11)</f>
        <v>2394.2050080000004</v>
      </c>
      <c r="W11" s="186">
        <f>I11+T11-V11</f>
        <v>12031.794991999999</v>
      </c>
      <c r="X11" s="94"/>
    </row>
    <row r="12" spans="1:25" ht="18" x14ac:dyDescent="0.25">
      <c r="A12" s="214"/>
      <c r="B12" s="214"/>
      <c r="C12" s="214"/>
      <c r="D12" s="214"/>
      <c r="E12" s="215"/>
      <c r="F12" s="214"/>
      <c r="G12" s="216"/>
      <c r="H12" s="216"/>
      <c r="I12" s="216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5" ht="41.25" customHeight="1" thickBot="1" x14ac:dyDescent="0.3">
      <c r="A13" s="249"/>
      <c r="B13" s="249"/>
      <c r="C13" s="249"/>
      <c r="D13" s="249"/>
      <c r="E13" s="249"/>
      <c r="F13" s="250"/>
      <c r="G13" s="193">
        <f t="shared" ref="G13:W13" si="4">SUM(G11:G12)</f>
        <v>14426</v>
      </c>
      <c r="H13" s="193">
        <f t="shared" si="4"/>
        <v>0</v>
      </c>
      <c r="I13" s="193">
        <f t="shared" si="4"/>
        <v>14426</v>
      </c>
      <c r="J13" s="194">
        <f t="shared" si="4"/>
        <v>0</v>
      </c>
      <c r="K13" s="194">
        <f t="shared" si="4"/>
        <v>14426</v>
      </c>
      <c r="L13" s="194">
        <f t="shared" si="4"/>
        <v>13316.71</v>
      </c>
      <c r="M13" s="194">
        <f t="shared" si="4"/>
        <v>1109.2900000000009</v>
      </c>
      <c r="N13" s="194">
        <f t="shared" si="4"/>
        <v>0.23519999999999999</v>
      </c>
      <c r="O13" s="194">
        <f t="shared" si="4"/>
        <v>260.90500800000018</v>
      </c>
      <c r="P13" s="194">
        <f t="shared" si="4"/>
        <v>2133.3000000000002</v>
      </c>
      <c r="Q13" s="194">
        <f t="shared" si="4"/>
        <v>2394.2050080000004</v>
      </c>
      <c r="R13" s="194">
        <f t="shared" si="4"/>
        <v>0</v>
      </c>
      <c r="S13" s="194">
        <f t="shared" si="4"/>
        <v>2394.2050080000004</v>
      </c>
      <c r="T13" s="193">
        <f t="shared" si="4"/>
        <v>0</v>
      </c>
      <c r="U13" s="193">
        <f t="shared" si="4"/>
        <v>2394.2050080000004</v>
      </c>
      <c r="V13" s="193">
        <f t="shared" si="4"/>
        <v>2394.2050080000004</v>
      </c>
      <c r="W13" s="193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6"/>
  <sheetViews>
    <sheetView topLeftCell="E12" workbookViewId="0">
      <selection activeCell="W12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4"/>
      <c r="B9" s="231"/>
      <c r="C9" s="126"/>
      <c r="D9" s="159" t="s">
        <v>120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41"/>
    </row>
    <row r="10" spans="1:25" s="95" customFormat="1" ht="80.099999999999994" customHeight="1" x14ac:dyDescent="0.25">
      <c r="A10" s="118" t="s">
        <v>88</v>
      </c>
      <c r="B10" s="178" t="s">
        <v>170</v>
      </c>
      <c r="C10" s="234" t="s">
        <v>118</v>
      </c>
      <c r="D10" s="232" t="s">
        <v>160</v>
      </c>
      <c r="E10" s="180" t="s">
        <v>121</v>
      </c>
      <c r="F10" s="182">
        <v>15</v>
      </c>
      <c r="G10" s="183"/>
      <c r="H10" s="184">
        <v>3868.5</v>
      </c>
      <c r="I10" s="185">
        <v>0</v>
      </c>
      <c r="J10" s="186">
        <f>SUM(H10:I10)</f>
        <v>3868.5</v>
      </c>
      <c r="K10" s="187">
        <f>IF(H10/15&lt;=SMG,0,I10/2)</f>
        <v>0</v>
      </c>
      <c r="L10" s="187">
        <f t="shared" ref="L10:L11" si="0">H10+K10</f>
        <v>3868.5</v>
      </c>
      <c r="M10" s="187">
        <f>VLOOKUP(L10,Tarifa1,1)</f>
        <v>2699.41</v>
      </c>
      <c r="N10" s="187">
        <f t="shared" ref="N10:N11" si="1">L10-M10</f>
        <v>1169.0900000000001</v>
      </c>
      <c r="O10" s="188">
        <f>VLOOKUP(L10,Tarifa1,3)</f>
        <v>0.10879999999999999</v>
      </c>
      <c r="P10" s="187">
        <f t="shared" ref="P10:P11" si="2">N10*O10</f>
        <v>127.19699200000001</v>
      </c>
      <c r="Q10" s="189">
        <f>VLOOKUP(L10,Tarifa1,2)</f>
        <v>158.55000000000001</v>
      </c>
      <c r="R10" s="187">
        <f t="shared" ref="R10:R11" si="3">P10+Q10</f>
        <v>285.74699200000003</v>
      </c>
      <c r="S10" s="190">
        <f>VLOOKUP(L10,Credito1,2)</f>
        <v>0</v>
      </c>
      <c r="T10" s="187">
        <f t="shared" ref="T10:T11" si="4">ROUND(R10-S10,2)</f>
        <v>285.75</v>
      </c>
      <c r="U10" s="186">
        <f>-IF(T10&gt;0,0,T10)</f>
        <v>0</v>
      </c>
      <c r="V10" s="195">
        <f>IF(T10&lt;0,0,T10)</f>
        <v>285.75</v>
      </c>
      <c r="W10" s="186">
        <f>SUM(V10:V10)</f>
        <v>285.75</v>
      </c>
      <c r="X10" s="186">
        <f>J10+U10-W10</f>
        <v>3582.75</v>
      </c>
      <c r="Y10" s="94"/>
    </row>
    <row r="11" spans="1:25" s="95" customFormat="1" ht="80.099999999999994" customHeight="1" x14ac:dyDescent="0.25">
      <c r="A11" s="197"/>
      <c r="B11" s="225">
        <v>188</v>
      </c>
      <c r="C11" s="234" t="s">
        <v>118</v>
      </c>
      <c r="D11" s="226" t="s">
        <v>171</v>
      </c>
      <c r="E11" s="181" t="s">
        <v>298</v>
      </c>
      <c r="F11" s="182">
        <v>15</v>
      </c>
      <c r="G11" s="183"/>
      <c r="H11" s="184">
        <v>4909.5</v>
      </c>
      <c r="I11" s="185">
        <v>0</v>
      </c>
      <c r="J11" s="186">
        <f>SUM(H11:I11)</f>
        <v>4909.5</v>
      </c>
      <c r="K11" s="187">
        <f>IF(H11/15&lt;=SMG,0,I11/2)</f>
        <v>0</v>
      </c>
      <c r="L11" s="187">
        <f t="shared" si="0"/>
        <v>4909.5</v>
      </c>
      <c r="M11" s="187">
        <f>VLOOKUP(L11,Tarifa1,1)</f>
        <v>4744.0600000000004</v>
      </c>
      <c r="N11" s="187">
        <f t="shared" si="1"/>
        <v>165.4399999999996</v>
      </c>
      <c r="O11" s="188">
        <f>VLOOKUP(L11,Tarifa1,3)</f>
        <v>0.16</v>
      </c>
      <c r="P11" s="187">
        <f t="shared" si="2"/>
        <v>26.470399999999938</v>
      </c>
      <c r="Q11" s="189">
        <f>VLOOKUP(L11,Tarifa1,2)</f>
        <v>381</v>
      </c>
      <c r="R11" s="187">
        <f t="shared" si="3"/>
        <v>407.47039999999993</v>
      </c>
      <c r="S11" s="190">
        <f>VLOOKUP(L11,Credito1,2)</f>
        <v>0</v>
      </c>
      <c r="T11" s="187">
        <f t="shared" si="4"/>
        <v>407.47</v>
      </c>
      <c r="U11" s="186">
        <f>-IF(T11&gt;0,0,T11)</f>
        <v>0</v>
      </c>
      <c r="V11" s="186">
        <f>IF(T11&lt;0,0,T11)</f>
        <v>407.47</v>
      </c>
      <c r="W11" s="186">
        <f>SUM(V11:V11)</f>
        <v>407.47</v>
      </c>
      <c r="X11" s="186">
        <f>J11+U11-W11</f>
        <v>4502.03</v>
      </c>
      <c r="Y11" s="94"/>
    </row>
    <row r="12" spans="1:25" s="95" customFormat="1" ht="80.099999999999994" customHeight="1" x14ac:dyDescent="0.25">
      <c r="A12" s="235"/>
      <c r="B12" s="179" t="s">
        <v>265</v>
      </c>
      <c r="C12" s="179" t="s">
        <v>118</v>
      </c>
      <c r="D12" s="191" t="s">
        <v>266</v>
      </c>
      <c r="E12" s="180" t="s">
        <v>121</v>
      </c>
      <c r="F12" s="182">
        <v>15</v>
      </c>
      <c r="G12" s="183"/>
      <c r="H12" s="184">
        <v>3868.5</v>
      </c>
      <c r="I12" s="185">
        <v>0</v>
      </c>
      <c r="J12" s="186">
        <f>SUM(H12:I12)</f>
        <v>3868.5</v>
      </c>
      <c r="K12" s="187">
        <f>IF(H12/15&lt;=SMG,0,I12/2)</f>
        <v>0</v>
      </c>
      <c r="L12" s="187">
        <f t="shared" ref="L12:L13" si="5">H12+K12</f>
        <v>3868.5</v>
      </c>
      <c r="M12" s="187">
        <f>VLOOKUP(L12,Tarifa1,1)</f>
        <v>2699.41</v>
      </c>
      <c r="N12" s="187">
        <f t="shared" ref="N12:N13" si="6">L12-M12</f>
        <v>1169.0900000000001</v>
      </c>
      <c r="O12" s="188">
        <f>VLOOKUP(L12,Tarifa1,3)</f>
        <v>0.10879999999999999</v>
      </c>
      <c r="P12" s="187">
        <f t="shared" ref="P12:P13" si="7">N12*O12</f>
        <v>127.19699200000001</v>
      </c>
      <c r="Q12" s="189">
        <f>VLOOKUP(L12,Tarifa1,2)</f>
        <v>158.55000000000001</v>
      </c>
      <c r="R12" s="187">
        <f t="shared" ref="R12:R13" si="8">P12+Q12</f>
        <v>285.74699200000003</v>
      </c>
      <c r="S12" s="190">
        <f>VLOOKUP(L12,Credito1,2)</f>
        <v>0</v>
      </c>
      <c r="T12" s="187">
        <f t="shared" ref="T12:T13" si="9">ROUND(R12-S12,2)</f>
        <v>285.75</v>
      </c>
      <c r="U12" s="186">
        <f>-IF(T12&gt;0,0,T12)</f>
        <v>0</v>
      </c>
      <c r="V12" s="195">
        <f>IF(T12&lt;0,0,T12)</f>
        <v>285.75</v>
      </c>
      <c r="W12" s="186">
        <f>SUM(V12:V12)</f>
        <v>285.75</v>
      </c>
      <c r="X12" s="186">
        <f>J12+U12-W12</f>
        <v>3582.75</v>
      </c>
      <c r="Y12" s="94"/>
    </row>
    <row r="13" spans="1:25" s="95" customFormat="1" ht="80.099999999999994" customHeight="1" x14ac:dyDescent="0.25">
      <c r="A13" s="214"/>
      <c r="B13" s="225">
        <v>284</v>
      </c>
      <c r="C13" s="179" t="s">
        <v>118</v>
      </c>
      <c r="D13" s="233" t="s">
        <v>262</v>
      </c>
      <c r="E13" s="180" t="s">
        <v>121</v>
      </c>
      <c r="F13" s="182">
        <v>15</v>
      </c>
      <c r="G13" s="183"/>
      <c r="H13" s="184">
        <v>3868.5</v>
      </c>
      <c r="I13" s="185">
        <v>0</v>
      </c>
      <c r="J13" s="186">
        <f>SUM(H13:I13)</f>
        <v>3868.5</v>
      </c>
      <c r="K13" s="187">
        <f>IF(H13/15&lt;=SMG,0,I13/2)</f>
        <v>0</v>
      </c>
      <c r="L13" s="187">
        <f t="shared" si="5"/>
        <v>3868.5</v>
      </c>
      <c r="M13" s="187">
        <f>VLOOKUP(L13,Tarifa1,1)</f>
        <v>2699.41</v>
      </c>
      <c r="N13" s="187">
        <f t="shared" si="6"/>
        <v>1169.0900000000001</v>
      </c>
      <c r="O13" s="188">
        <f>VLOOKUP(L13,Tarifa1,3)</f>
        <v>0.10879999999999999</v>
      </c>
      <c r="P13" s="187">
        <f t="shared" si="7"/>
        <v>127.19699200000001</v>
      </c>
      <c r="Q13" s="189">
        <f>VLOOKUP(L13,Tarifa1,2)</f>
        <v>158.55000000000001</v>
      </c>
      <c r="R13" s="187">
        <f t="shared" si="8"/>
        <v>285.74699200000003</v>
      </c>
      <c r="S13" s="190">
        <f>VLOOKUP(L13,Credito1,2)</f>
        <v>0</v>
      </c>
      <c r="T13" s="187">
        <f t="shared" si="9"/>
        <v>285.75</v>
      </c>
      <c r="U13" s="186">
        <f>-IF(T13&gt;0,0,T13)</f>
        <v>0</v>
      </c>
      <c r="V13" s="195">
        <f>IF(T13&lt;0,0,T13)</f>
        <v>285.75</v>
      </c>
      <c r="W13" s="186">
        <f>SUM(V13:V13)</f>
        <v>285.75</v>
      </c>
      <c r="X13" s="186">
        <f>J13+U13-W13</f>
        <v>3582.75</v>
      </c>
      <c r="Y13" s="94"/>
    </row>
    <row r="14" spans="1:25" ht="18" x14ac:dyDescent="0.25">
      <c r="A14" s="214"/>
      <c r="B14" s="214"/>
      <c r="C14" s="214"/>
      <c r="D14" s="214"/>
      <c r="E14" s="214"/>
      <c r="F14" s="215"/>
      <c r="G14" s="214"/>
      <c r="H14" s="216"/>
      <c r="I14" s="216"/>
      <c r="J14" s="216"/>
      <c r="K14" s="217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</row>
    <row r="15" spans="1:25" ht="4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3">
        <f t="shared" ref="H15:X15" si="10">SUM(H10:H14)</f>
        <v>16515</v>
      </c>
      <c r="I15" s="193">
        <f t="shared" si="10"/>
        <v>0</v>
      </c>
      <c r="J15" s="193">
        <f t="shared" si="10"/>
        <v>16515</v>
      </c>
      <c r="K15" s="194">
        <f t="shared" si="10"/>
        <v>0</v>
      </c>
      <c r="L15" s="194">
        <f t="shared" si="10"/>
        <v>16515</v>
      </c>
      <c r="M15" s="194">
        <f t="shared" si="10"/>
        <v>12842.29</v>
      </c>
      <c r="N15" s="194">
        <f t="shared" si="10"/>
        <v>3672.71</v>
      </c>
      <c r="O15" s="194">
        <f t="shared" si="10"/>
        <v>0.4864</v>
      </c>
      <c r="P15" s="194">
        <f t="shared" si="10"/>
        <v>408.061376</v>
      </c>
      <c r="Q15" s="194">
        <f t="shared" si="10"/>
        <v>856.64999999999986</v>
      </c>
      <c r="R15" s="194">
        <f t="shared" si="10"/>
        <v>1264.7113760000002</v>
      </c>
      <c r="S15" s="194">
        <f t="shared" si="10"/>
        <v>0</v>
      </c>
      <c r="T15" s="194">
        <f t="shared" si="10"/>
        <v>1264.72</v>
      </c>
      <c r="U15" s="193">
        <f t="shared" si="10"/>
        <v>0</v>
      </c>
      <c r="V15" s="193">
        <f t="shared" si="10"/>
        <v>1264.72</v>
      </c>
      <c r="W15" s="193">
        <f t="shared" si="10"/>
        <v>1264.72</v>
      </c>
      <c r="X15" s="193">
        <f t="shared" si="10"/>
        <v>15250.279999999999</v>
      </c>
    </row>
    <row r="16" spans="1:25" ht="13.5" thickTop="1" x14ac:dyDescent="0.2"/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3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C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24.28515625" style="68" customWidth="1"/>
    <col min="5" max="5" width="6.5703125" style="68" hidden="1" customWidth="1"/>
    <col min="6" max="6" width="17.5703125" style="68" customWidth="1"/>
    <col min="7" max="7" width="10.7109375" style="68" customWidth="1"/>
    <col min="8" max="8" width="14" style="68" hidden="1" customWidth="1"/>
    <col min="9" max="9" width="12.7109375" style="68" hidden="1" customWidth="1"/>
    <col min="10" max="10" width="13.140625" style="68" hidden="1" customWidth="1"/>
    <col min="11" max="13" width="11" style="68" hidden="1" customWidth="1"/>
    <col min="14" max="15" width="13.140625" style="68" hidden="1" customWidth="1"/>
    <col min="16" max="16" width="10.5703125" style="68" hidden="1" customWidth="1"/>
    <col min="17" max="17" width="10.42578125" style="68" hidden="1" customWidth="1"/>
    <col min="18" max="18" width="13.140625" style="68" hidden="1" customWidth="1"/>
    <col min="19" max="19" width="11.5703125" style="68" hidden="1" customWidth="1"/>
    <col min="20" max="21" width="13.28515625" style="68" customWidth="1"/>
    <col min="22" max="22" width="15.42578125" style="68" customWidth="1"/>
    <col min="23" max="23" width="90.42578125" style="68" customWidth="1"/>
    <col min="24" max="24" width="73.42578125" style="68" customWidth="1"/>
    <col min="25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5" x14ac:dyDescent="0.2">
      <c r="A3" s="42" t="s">
        <v>204</v>
      </c>
      <c r="B3" s="282" t="s">
        <v>304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89"/>
      <c r="Y3" s="8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2" t="s">
        <v>1</v>
      </c>
      <c r="G5" s="263"/>
      <c r="H5" s="264"/>
      <c r="I5" s="24" t="s">
        <v>26</v>
      </c>
      <c r="J5" s="25"/>
      <c r="K5" s="265" t="s">
        <v>9</v>
      </c>
      <c r="L5" s="266"/>
      <c r="M5" s="266"/>
      <c r="N5" s="266"/>
      <c r="O5" s="266"/>
      <c r="P5" s="267"/>
      <c r="Q5" s="24" t="s">
        <v>30</v>
      </c>
      <c r="R5" s="24" t="s">
        <v>10</v>
      </c>
      <c r="S5" s="23" t="s">
        <v>54</v>
      </c>
      <c r="T5" s="268" t="s">
        <v>2</v>
      </c>
      <c r="U5" s="269"/>
      <c r="V5" s="23" t="s">
        <v>0</v>
      </c>
      <c r="W5" s="110"/>
      <c r="X5" s="4"/>
    </row>
    <row r="6" spans="1:25" ht="32.25" customHeight="1" x14ac:dyDescent="0.2">
      <c r="A6" s="26" t="s">
        <v>21</v>
      </c>
      <c r="B6" s="45" t="s">
        <v>104</v>
      </c>
      <c r="C6" s="45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1"/>
      <c r="X7" s="4"/>
    </row>
    <row r="8" spans="1:25" ht="28.5" customHeight="1" x14ac:dyDescent="0.25">
      <c r="A8" s="39"/>
      <c r="B8" s="109"/>
      <c r="C8" s="109"/>
      <c r="D8" s="37" t="s">
        <v>62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0"/>
      <c r="X8" s="4"/>
    </row>
    <row r="9" spans="1:25" ht="77.099999999999994" customHeight="1" x14ac:dyDescent="0.25">
      <c r="A9" s="118" t="s">
        <v>86</v>
      </c>
      <c r="B9" s="179" t="s">
        <v>141</v>
      </c>
      <c r="C9" s="179" t="s">
        <v>118</v>
      </c>
      <c r="D9" s="180" t="s">
        <v>68</v>
      </c>
      <c r="E9" s="182">
        <v>15</v>
      </c>
      <c r="F9" s="184">
        <v>9993</v>
      </c>
      <c r="G9" s="185">
        <v>0</v>
      </c>
      <c r="H9" s="186">
        <f t="shared" ref="H9:H15" si="0">SUM(F9:G9)</f>
        <v>9993</v>
      </c>
      <c r="I9" s="187">
        <f t="shared" ref="I9:I17" si="1">IF(F9/15&lt;=SMG,0,G9/2)</f>
        <v>0</v>
      </c>
      <c r="J9" s="187">
        <f t="shared" ref="J9" si="2">F9+I9</f>
        <v>9993</v>
      </c>
      <c r="K9" s="187">
        <f t="shared" ref="K9:K17" si="3">VLOOKUP(J9,Tarifa1,1)</f>
        <v>6602.71</v>
      </c>
      <c r="L9" s="187">
        <f t="shared" ref="L9" si="4">J9-K9</f>
        <v>3390.29</v>
      </c>
      <c r="M9" s="188">
        <f t="shared" ref="M9:M17" si="5">VLOOKUP(J9,Tarifa1,3)</f>
        <v>0.21360000000000001</v>
      </c>
      <c r="N9" s="187">
        <f t="shared" ref="N9" si="6">L9*M9</f>
        <v>724.16594400000008</v>
      </c>
      <c r="O9" s="189">
        <f t="shared" ref="O9:O17" si="7">VLOOKUP(J9,Tarifa1,2)</f>
        <v>699.3</v>
      </c>
      <c r="P9" s="187">
        <f t="shared" ref="P9" si="8">N9+O9</f>
        <v>1423.465944</v>
      </c>
      <c r="Q9" s="187">
        <f t="shared" ref="Q9:Q17" si="9">VLOOKUP(J9,Credito1,2)</f>
        <v>0</v>
      </c>
      <c r="R9" s="187">
        <f t="shared" ref="R9" si="10">ROUND(P9-Q9,2)</f>
        <v>1423.47</v>
      </c>
      <c r="S9" s="186">
        <f t="shared" ref="S9:S11" si="11">-IF(R9&gt;0,0,R9)</f>
        <v>0</v>
      </c>
      <c r="T9" s="186">
        <f t="shared" ref="T9:T11" si="12">IF(R9&lt;0,0,R9)</f>
        <v>1423.47</v>
      </c>
      <c r="U9" s="186">
        <f>SUM(T9:T9)</f>
        <v>1423.47</v>
      </c>
      <c r="V9" s="186">
        <f>H9+S9-U9</f>
        <v>8569.5300000000007</v>
      </c>
      <c r="W9" s="90"/>
      <c r="X9" s="4"/>
    </row>
    <row r="10" spans="1:25" s="95" customFormat="1" ht="77.099999999999994" customHeight="1" x14ac:dyDescent="0.25">
      <c r="A10" s="118"/>
      <c r="B10" s="179" t="s">
        <v>191</v>
      </c>
      <c r="C10" s="179" t="s">
        <v>118</v>
      </c>
      <c r="D10" s="180" t="s">
        <v>82</v>
      </c>
      <c r="E10" s="182">
        <v>15</v>
      </c>
      <c r="F10" s="184">
        <v>8164</v>
      </c>
      <c r="G10" s="185">
        <v>0</v>
      </c>
      <c r="H10" s="186">
        <f t="shared" si="0"/>
        <v>8164</v>
      </c>
      <c r="I10" s="187">
        <f t="shared" si="1"/>
        <v>0</v>
      </c>
      <c r="J10" s="187">
        <f t="shared" ref="J10:J17" si="13">F10+I10</f>
        <v>8164</v>
      </c>
      <c r="K10" s="187">
        <f t="shared" si="3"/>
        <v>6602.71</v>
      </c>
      <c r="L10" s="187">
        <f t="shared" ref="L10:L17" si="14">J10-K10</f>
        <v>1561.29</v>
      </c>
      <c r="M10" s="188">
        <f t="shared" si="5"/>
        <v>0.21360000000000001</v>
      </c>
      <c r="N10" s="187">
        <f t="shared" ref="N10:N17" si="15">L10*M10</f>
        <v>333.49154400000003</v>
      </c>
      <c r="O10" s="189">
        <f t="shared" si="7"/>
        <v>699.3</v>
      </c>
      <c r="P10" s="187">
        <f t="shared" ref="P10:P17" si="16">N10+O10</f>
        <v>1032.7915439999999</v>
      </c>
      <c r="Q10" s="187">
        <f t="shared" si="9"/>
        <v>0</v>
      </c>
      <c r="R10" s="187">
        <f t="shared" ref="R10:R17" si="17">ROUND(P10-Q10,2)</f>
        <v>1032.79</v>
      </c>
      <c r="S10" s="186">
        <f t="shared" si="11"/>
        <v>0</v>
      </c>
      <c r="T10" s="186">
        <f t="shared" si="12"/>
        <v>1032.79</v>
      </c>
      <c r="U10" s="186">
        <f>SUM(T10:T10)</f>
        <v>1032.79</v>
      </c>
      <c r="V10" s="186">
        <f>H10+S10-U10</f>
        <v>7131.21</v>
      </c>
      <c r="W10" s="90"/>
      <c r="X10" s="4"/>
    </row>
    <row r="11" spans="1:25" s="95" customFormat="1" ht="77.099999999999994" customHeight="1" x14ac:dyDescent="0.25">
      <c r="A11" s="118"/>
      <c r="B11" s="179" t="s">
        <v>203</v>
      </c>
      <c r="C11" s="179" t="s">
        <v>118</v>
      </c>
      <c r="D11" s="180" t="s">
        <v>82</v>
      </c>
      <c r="E11" s="182">
        <v>15</v>
      </c>
      <c r="F11" s="184">
        <v>8164</v>
      </c>
      <c r="G11" s="185">
        <v>0</v>
      </c>
      <c r="H11" s="186">
        <f t="shared" si="0"/>
        <v>8164</v>
      </c>
      <c r="I11" s="187">
        <f t="shared" si="1"/>
        <v>0</v>
      </c>
      <c r="J11" s="187">
        <f t="shared" si="13"/>
        <v>8164</v>
      </c>
      <c r="K11" s="187">
        <f t="shared" si="3"/>
        <v>6602.71</v>
      </c>
      <c r="L11" s="187">
        <f t="shared" si="14"/>
        <v>1561.29</v>
      </c>
      <c r="M11" s="188">
        <f t="shared" si="5"/>
        <v>0.21360000000000001</v>
      </c>
      <c r="N11" s="187">
        <f t="shared" si="15"/>
        <v>333.49154400000003</v>
      </c>
      <c r="O11" s="189">
        <f t="shared" si="7"/>
        <v>699.3</v>
      </c>
      <c r="P11" s="187">
        <f t="shared" si="16"/>
        <v>1032.7915439999999</v>
      </c>
      <c r="Q11" s="187">
        <f t="shared" si="9"/>
        <v>0</v>
      </c>
      <c r="R11" s="187">
        <f t="shared" si="17"/>
        <v>1032.79</v>
      </c>
      <c r="S11" s="186">
        <f t="shared" si="11"/>
        <v>0</v>
      </c>
      <c r="T11" s="186">
        <f t="shared" si="12"/>
        <v>1032.79</v>
      </c>
      <c r="U11" s="186">
        <f>SUM(T11:T11)</f>
        <v>1032.79</v>
      </c>
      <c r="V11" s="186">
        <f>H11+S11-U11</f>
        <v>7131.21</v>
      </c>
      <c r="W11" s="90"/>
      <c r="X11" s="4"/>
    </row>
    <row r="12" spans="1:25" s="95" customFormat="1" ht="77.099999999999994" customHeight="1" x14ac:dyDescent="0.25">
      <c r="A12" s="235"/>
      <c r="B12" s="179" t="s">
        <v>190</v>
      </c>
      <c r="C12" s="179" t="s">
        <v>118</v>
      </c>
      <c r="D12" s="180" t="s">
        <v>82</v>
      </c>
      <c r="E12" s="182">
        <v>15</v>
      </c>
      <c r="F12" s="184">
        <v>8164</v>
      </c>
      <c r="G12" s="185">
        <v>0</v>
      </c>
      <c r="H12" s="186">
        <f t="shared" ref="H12" si="18">SUM(F12:G12)</f>
        <v>8164</v>
      </c>
      <c r="I12" s="187">
        <f t="shared" ref="I12" si="19">IF(F12/15&lt;=SMG,0,G12/2)</f>
        <v>0</v>
      </c>
      <c r="J12" s="187">
        <f t="shared" ref="J12" si="20">F12+I12</f>
        <v>8164</v>
      </c>
      <c r="K12" s="187">
        <f t="shared" ref="K12" si="21">VLOOKUP(J12,Tarifa1,1)</f>
        <v>6602.71</v>
      </c>
      <c r="L12" s="187">
        <f t="shared" ref="L12" si="22">J12-K12</f>
        <v>1561.29</v>
      </c>
      <c r="M12" s="188">
        <f t="shared" ref="M12" si="23">VLOOKUP(J12,Tarifa1,3)</f>
        <v>0.21360000000000001</v>
      </c>
      <c r="N12" s="187">
        <f t="shared" ref="N12" si="24">L12*M12</f>
        <v>333.49154400000003</v>
      </c>
      <c r="O12" s="189">
        <f t="shared" ref="O12" si="25">VLOOKUP(J12,Tarifa1,2)</f>
        <v>699.3</v>
      </c>
      <c r="P12" s="187">
        <f t="shared" ref="P12" si="26">N12+O12</f>
        <v>1032.7915439999999</v>
      </c>
      <c r="Q12" s="187">
        <f t="shared" ref="Q12" si="27">VLOOKUP(J12,Credito1,2)</f>
        <v>0</v>
      </c>
      <c r="R12" s="187">
        <f t="shared" ref="R12" si="28">ROUND(P12-Q12,2)</f>
        <v>1032.79</v>
      </c>
      <c r="S12" s="186">
        <f t="shared" ref="S12" si="29">-IF(R12&gt;0,0,R12)</f>
        <v>0</v>
      </c>
      <c r="T12" s="186">
        <f t="shared" ref="T12" si="30">IF(R12&lt;0,0,R12)</f>
        <v>1032.79</v>
      </c>
      <c r="U12" s="186">
        <f>SUM(T12:T12)</f>
        <v>1032.79</v>
      </c>
      <c r="V12" s="186">
        <f>H12+S12-U12</f>
        <v>7131.21</v>
      </c>
      <c r="W12" s="90"/>
      <c r="X12" s="4"/>
    </row>
    <row r="13" spans="1:25" s="95" customFormat="1" ht="77.099999999999994" customHeight="1" x14ac:dyDescent="0.25">
      <c r="A13" s="235"/>
      <c r="B13" s="179" t="s">
        <v>108</v>
      </c>
      <c r="C13" s="179" t="s">
        <v>118</v>
      </c>
      <c r="D13" s="180" t="s">
        <v>83</v>
      </c>
      <c r="E13" s="182">
        <v>15</v>
      </c>
      <c r="F13" s="184">
        <v>7401</v>
      </c>
      <c r="G13" s="185">
        <v>0</v>
      </c>
      <c r="H13" s="186">
        <f t="shared" si="0"/>
        <v>7401</v>
      </c>
      <c r="I13" s="187">
        <f t="shared" si="1"/>
        <v>0</v>
      </c>
      <c r="J13" s="187">
        <f t="shared" si="13"/>
        <v>7401</v>
      </c>
      <c r="K13" s="187">
        <f t="shared" si="3"/>
        <v>6602.71</v>
      </c>
      <c r="L13" s="187">
        <f t="shared" si="14"/>
        <v>798.29</v>
      </c>
      <c r="M13" s="188">
        <f t="shared" si="5"/>
        <v>0.21360000000000001</v>
      </c>
      <c r="N13" s="187">
        <f t="shared" si="15"/>
        <v>170.51474400000001</v>
      </c>
      <c r="O13" s="189">
        <f t="shared" si="7"/>
        <v>699.3</v>
      </c>
      <c r="P13" s="187">
        <f t="shared" si="16"/>
        <v>869.81474400000002</v>
      </c>
      <c r="Q13" s="187">
        <f t="shared" si="9"/>
        <v>0</v>
      </c>
      <c r="R13" s="187">
        <f t="shared" si="17"/>
        <v>869.81</v>
      </c>
      <c r="S13" s="186">
        <f t="shared" ref="S13:S15" si="31">-IF(R13&gt;0,0,R13)</f>
        <v>0</v>
      </c>
      <c r="T13" s="186">
        <f t="shared" ref="T13:T15" si="32">IF(R13&lt;0,0,R13)</f>
        <v>869.81</v>
      </c>
      <c r="U13" s="186">
        <f>SUM(T13:T13)</f>
        <v>869.81</v>
      </c>
      <c r="V13" s="186">
        <f>H13+S13-U13</f>
        <v>6531.1900000000005</v>
      </c>
      <c r="W13" s="91"/>
      <c r="X13" s="4"/>
    </row>
    <row r="14" spans="1:25" s="95" customFormat="1" ht="77.099999999999994" customHeight="1" x14ac:dyDescent="0.25">
      <c r="A14" s="235"/>
      <c r="B14" s="179" t="s">
        <v>183</v>
      </c>
      <c r="C14" s="179" t="s">
        <v>118</v>
      </c>
      <c r="D14" s="180" t="s">
        <v>83</v>
      </c>
      <c r="E14" s="182">
        <v>15</v>
      </c>
      <c r="F14" s="184">
        <v>7401</v>
      </c>
      <c r="G14" s="185">
        <v>0</v>
      </c>
      <c r="H14" s="186">
        <f t="shared" si="0"/>
        <v>7401</v>
      </c>
      <c r="I14" s="187">
        <f t="shared" si="1"/>
        <v>0</v>
      </c>
      <c r="J14" s="187">
        <f t="shared" si="13"/>
        <v>7401</v>
      </c>
      <c r="K14" s="187">
        <f t="shared" si="3"/>
        <v>6602.71</v>
      </c>
      <c r="L14" s="187">
        <f t="shared" si="14"/>
        <v>798.29</v>
      </c>
      <c r="M14" s="188">
        <f t="shared" si="5"/>
        <v>0.21360000000000001</v>
      </c>
      <c r="N14" s="187">
        <f t="shared" si="15"/>
        <v>170.51474400000001</v>
      </c>
      <c r="O14" s="189">
        <f t="shared" si="7"/>
        <v>699.3</v>
      </c>
      <c r="P14" s="187">
        <f t="shared" si="16"/>
        <v>869.81474400000002</v>
      </c>
      <c r="Q14" s="187">
        <f t="shared" si="9"/>
        <v>0</v>
      </c>
      <c r="R14" s="187">
        <f t="shared" si="17"/>
        <v>869.81</v>
      </c>
      <c r="S14" s="186">
        <f t="shared" si="31"/>
        <v>0</v>
      </c>
      <c r="T14" s="186">
        <f t="shared" si="32"/>
        <v>869.81</v>
      </c>
      <c r="U14" s="186">
        <f>SUM(T14:T14)</f>
        <v>869.81</v>
      </c>
      <c r="V14" s="186">
        <f>H14+S14-U14</f>
        <v>6531.1900000000005</v>
      </c>
      <c r="W14" s="91"/>
      <c r="X14" s="4"/>
    </row>
    <row r="15" spans="1:25" ht="77.099999999999994" customHeight="1" x14ac:dyDescent="0.25">
      <c r="A15" s="235"/>
      <c r="B15" s="179" t="s">
        <v>199</v>
      </c>
      <c r="C15" s="179" t="s">
        <v>118</v>
      </c>
      <c r="D15" s="180" t="s">
        <v>83</v>
      </c>
      <c r="E15" s="182">
        <v>15</v>
      </c>
      <c r="F15" s="184">
        <v>7401</v>
      </c>
      <c r="G15" s="185">
        <v>0</v>
      </c>
      <c r="H15" s="186">
        <f t="shared" si="0"/>
        <v>7401</v>
      </c>
      <c r="I15" s="187">
        <f t="shared" si="1"/>
        <v>0</v>
      </c>
      <c r="J15" s="187">
        <f t="shared" si="13"/>
        <v>7401</v>
      </c>
      <c r="K15" s="187">
        <f t="shared" si="3"/>
        <v>6602.71</v>
      </c>
      <c r="L15" s="187">
        <f t="shared" si="14"/>
        <v>798.29</v>
      </c>
      <c r="M15" s="188">
        <f t="shared" si="5"/>
        <v>0.21360000000000001</v>
      </c>
      <c r="N15" s="187">
        <f t="shared" si="15"/>
        <v>170.51474400000001</v>
      </c>
      <c r="O15" s="189">
        <f t="shared" si="7"/>
        <v>699.3</v>
      </c>
      <c r="P15" s="187">
        <f t="shared" si="16"/>
        <v>869.81474400000002</v>
      </c>
      <c r="Q15" s="187">
        <f t="shared" si="9"/>
        <v>0</v>
      </c>
      <c r="R15" s="187">
        <f t="shared" si="17"/>
        <v>869.81</v>
      </c>
      <c r="S15" s="186">
        <f t="shared" si="31"/>
        <v>0</v>
      </c>
      <c r="T15" s="186">
        <f t="shared" si="32"/>
        <v>869.81</v>
      </c>
      <c r="U15" s="186">
        <f>SUM(T15:T15)</f>
        <v>869.81</v>
      </c>
      <c r="V15" s="186">
        <f>H15+S15-U15</f>
        <v>6531.1900000000005</v>
      </c>
      <c r="W15" s="91"/>
      <c r="X15" s="4"/>
    </row>
    <row r="16" spans="1:25" ht="77.099999999999994" customHeight="1" x14ac:dyDescent="0.25">
      <c r="A16" s="235"/>
      <c r="B16" s="179" t="s">
        <v>212</v>
      </c>
      <c r="C16" s="179" t="s">
        <v>118</v>
      </c>
      <c r="D16" s="180" t="s">
        <v>83</v>
      </c>
      <c r="E16" s="237">
        <v>15</v>
      </c>
      <c r="F16" s="184">
        <v>7401</v>
      </c>
      <c r="G16" s="185">
        <v>0</v>
      </c>
      <c r="H16" s="186">
        <f t="shared" ref="H16" si="33">SUM(F16:G16)</f>
        <v>7401</v>
      </c>
      <c r="I16" s="187">
        <f t="shared" si="1"/>
        <v>0</v>
      </c>
      <c r="J16" s="187">
        <f t="shared" si="13"/>
        <v>7401</v>
      </c>
      <c r="K16" s="187">
        <f t="shared" si="3"/>
        <v>6602.71</v>
      </c>
      <c r="L16" s="187">
        <f t="shared" si="14"/>
        <v>798.29</v>
      </c>
      <c r="M16" s="188">
        <f t="shared" si="5"/>
        <v>0.21360000000000001</v>
      </c>
      <c r="N16" s="187">
        <f t="shared" si="15"/>
        <v>170.51474400000001</v>
      </c>
      <c r="O16" s="189">
        <f t="shared" si="7"/>
        <v>699.3</v>
      </c>
      <c r="P16" s="187">
        <f t="shared" si="16"/>
        <v>869.81474400000002</v>
      </c>
      <c r="Q16" s="187">
        <f t="shared" si="9"/>
        <v>0</v>
      </c>
      <c r="R16" s="187">
        <f t="shared" si="17"/>
        <v>869.81</v>
      </c>
      <c r="S16" s="186">
        <f t="shared" ref="S16" si="34">-IF(R16&gt;0,0,R16)</f>
        <v>0</v>
      </c>
      <c r="T16" s="186">
        <f t="shared" ref="T16" si="35">IF(R16&lt;0,0,R16)</f>
        <v>869.81</v>
      </c>
      <c r="U16" s="186">
        <f>SUM(T16:T16)</f>
        <v>869.81</v>
      </c>
      <c r="V16" s="186">
        <f>H16+S16-U16</f>
        <v>6531.1900000000005</v>
      </c>
      <c r="W16" s="91"/>
      <c r="X16" s="4"/>
    </row>
    <row r="17" spans="1:24" ht="77.099999999999994" customHeight="1" x14ac:dyDescent="0.25">
      <c r="A17" s="235"/>
      <c r="B17" s="179" t="s">
        <v>216</v>
      </c>
      <c r="C17" s="179" t="s">
        <v>118</v>
      </c>
      <c r="D17" s="180" t="s">
        <v>83</v>
      </c>
      <c r="E17" s="182">
        <v>15</v>
      </c>
      <c r="F17" s="184">
        <v>7401</v>
      </c>
      <c r="G17" s="185">
        <v>0</v>
      </c>
      <c r="H17" s="186">
        <f t="shared" ref="H17" si="36">SUM(F17:G17)</f>
        <v>7401</v>
      </c>
      <c r="I17" s="187">
        <f t="shared" si="1"/>
        <v>0</v>
      </c>
      <c r="J17" s="187">
        <f t="shared" si="13"/>
        <v>7401</v>
      </c>
      <c r="K17" s="187">
        <f t="shared" si="3"/>
        <v>6602.71</v>
      </c>
      <c r="L17" s="187">
        <f t="shared" si="14"/>
        <v>798.29</v>
      </c>
      <c r="M17" s="188">
        <f t="shared" si="5"/>
        <v>0.21360000000000001</v>
      </c>
      <c r="N17" s="187">
        <f t="shared" si="15"/>
        <v>170.51474400000001</v>
      </c>
      <c r="O17" s="189">
        <f t="shared" si="7"/>
        <v>699.3</v>
      </c>
      <c r="P17" s="187">
        <f t="shared" si="16"/>
        <v>869.81474400000002</v>
      </c>
      <c r="Q17" s="187">
        <f t="shared" si="9"/>
        <v>0</v>
      </c>
      <c r="R17" s="187">
        <f t="shared" si="17"/>
        <v>869.81</v>
      </c>
      <c r="S17" s="186">
        <f t="shared" ref="S17" si="37">-IF(R17&gt;0,0,R17)</f>
        <v>0</v>
      </c>
      <c r="T17" s="186">
        <f t="shared" ref="T17" si="38">IF(R17&lt;0,0,R17)</f>
        <v>869.81</v>
      </c>
      <c r="U17" s="186">
        <f>SUM(T17:T17)</f>
        <v>869.81</v>
      </c>
      <c r="V17" s="186">
        <f>H17+S17-U17</f>
        <v>6531.1900000000005</v>
      </c>
      <c r="W17" s="91"/>
      <c r="X17" s="4"/>
    </row>
    <row r="18" spans="1:24" ht="77.099999999999994" customHeight="1" x14ac:dyDescent="0.25">
      <c r="A18" s="235"/>
      <c r="B18" s="179" t="s">
        <v>231</v>
      </c>
      <c r="C18" s="179" t="s">
        <v>118</v>
      </c>
      <c r="D18" s="180" t="s">
        <v>83</v>
      </c>
      <c r="E18" s="182"/>
      <c r="F18" s="184">
        <v>7401</v>
      </c>
      <c r="G18" s="185">
        <v>0</v>
      </c>
      <c r="H18" s="186">
        <f t="shared" ref="H18:H21" si="39">SUM(F18:G18)</f>
        <v>7401</v>
      </c>
      <c r="I18" s="187">
        <f t="shared" ref="I18:I20" si="40">IF(F18/15&lt;=SMG,0,G18/2)</f>
        <v>0</v>
      </c>
      <c r="J18" s="187">
        <f t="shared" ref="J18:J21" si="41">F18+I18</f>
        <v>7401</v>
      </c>
      <c r="K18" s="187">
        <f t="shared" ref="K18:K20" si="42">VLOOKUP(J18,Tarifa1,1)</f>
        <v>6602.71</v>
      </c>
      <c r="L18" s="187">
        <f t="shared" ref="L18:L21" si="43">J18-K18</f>
        <v>798.29</v>
      </c>
      <c r="M18" s="188">
        <f t="shared" ref="M18:M20" si="44">VLOOKUP(J18,Tarifa1,3)</f>
        <v>0.21360000000000001</v>
      </c>
      <c r="N18" s="187">
        <f t="shared" ref="N18:N21" si="45">L18*M18</f>
        <v>170.51474400000001</v>
      </c>
      <c r="O18" s="189">
        <f t="shared" ref="O18:O20" si="46">VLOOKUP(J18,Tarifa1,2)</f>
        <v>699.3</v>
      </c>
      <c r="P18" s="187">
        <f t="shared" ref="P18:P21" si="47">N18+O18</f>
        <v>869.81474400000002</v>
      </c>
      <c r="Q18" s="187">
        <f t="shared" ref="Q18:Q20" si="48">VLOOKUP(J18,Credito1,2)</f>
        <v>0</v>
      </c>
      <c r="R18" s="187">
        <f t="shared" ref="R18:R21" si="49">ROUND(P18-Q18,2)</f>
        <v>869.81</v>
      </c>
      <c r="S18" s="186">
        <f t="shared" ref="S18:S21" si="50">-IF(R18&gt;0,0,R18)</f>
        <v>0</v>
      </c>
      <c r="T18" s="186">
        <f t="shared" ref="T18:T21" si="51">IF(R18&lt;0,0,R18)</f>
        <v>869.81</v>
      </c>
      <c r="U18" s="186">
        <f>SUM(T18:T18)</f>
        <v>869.81</v>
      </c>
      <c r="V18" s="186">
        <f>H18+S18-U18</f>
        <v>6531.1900000000005</v>
      </c>
      <c r="W18" s="91"/>
      <c r="X18" s="4"/>
    </row>
    <row r="19" spans="1:24" ht="77.099999999999994" customHeight="1" x14ac:dyDescent="0.25">
      <c r="A19" s="235"/>
      <c r="B19" s="179" t="s">
        <v>243</v>
      </c>
      <c r="C19" s="179" t="s">
        <v>118</v>
      </c>
      <c r="D19" s="180" t="s">
        <v>83</v>
      </c>
      <c r="E19" s="182"/>
      <c r="F19" s="184">
        <v>7401</v>
      </c>
      <c r="G19" s="185">
        <v>0</v>
      </c>
      <c r="H19" s="186">
        <f t="shared" ref="H19:H20" si="52">SUM(F19:G19)</f>
        <v>7401</v>
      </c>
      <c r="I19" s="187">
        <f t="shared" si="40"/>
        <v>0</v>
      </c>
      <c r="J19" s="187">
        <f t="shared" ref="J19:J20" si="53">F19+I19</f>
        <v>7401</v>
      </c>
      <c r="K19" s="187">
        <f t="shared" si="42"/>
        <v>6602.71</v>
      </c>
      <c r="L19" s="187">
        <f t="shared" ref="L19:L20" si="54">J19-K19</f>
        <v>798.29</v>
      </c>
      <c r="M19" s="188">
        <f t="shared" si="44"/>
        <v>0.21360000000000001</v>
      </c>
      <c r="N19" s="187">
        <f t="shared" ref="N19:N20" si="55">L19*M19</f>
        <v>170.51474400000001</v>
      </c>
      <c r="O19" s="189">
        <f t="shared" si="46"/>
        <v>699.3</v>
      </c>
      <c r="P19" s="187">
        <f t="shared" ref="P19:P20" si="56">N19+O19</f>
        <v>869.81474400000002</v>
      </c>
      <c r="Q19" s="187">
        <f t="shared" si="48"/>
        <v>0</v>
      </c>
      <c r="R19" s="187">
        <f t="shared" ref="R19:R20" si="57">ROUND(P19-Q19,2)</f>
        <v>869.81</v>
      </c>
      <c r="S19" s="186">
        <f t="shared" ref="S19:S20" si="58">-IF(R19&gt;0,0,R19)</f>
        <v>0</v>
      </c>
      <c r="T19" s="186">
        <f t="shared" ref="T19:T20" si="59">IF(R19&lt;0,0,R19)</f>
        <v>869.81</v>
      </c>
      <c r="U19" s="186">
        <f>SUM(T19:T19)</f>
        <v>869.81</v>
      </c>
      <c r="V19" s="186">
        <f>H19+S19-U19</f>
        <v>6531.1900000000005</v>
      </c>
      <c r="W19" s="91"/>
      <c r="X19" s="4"/>
    </row>
    <row r="20" spans="1:24" ht="77.099999999999994" customHeight="1" x14ac:dyDescent="0.25">
      <c r="A20" s="235"/>
      <c r="B20" s="179" t="s">
        <v>300</v>
      </c>
      <c r="C20" s="179" t="s">
        <v>118</v>
      </c>
      <c r="D20" s="180" t="s">
        <v>83</v>
      </c>
      <c r="E20" s="182"/>
      <c r="F20" s="184">
        <v>7401</v>
      </c>
      <c r="G20" s="185">
        <v>0</v>
      </c>
      <c r="H20" s="186">
        <f t="shared" si="52"/>
        <v>7401</v>
      </c>
      <c r="I20" s="187">
        <f t="shared" si="40"/>
        <v>0</v>
      </c>
      <c r="J20" s="187">
        <f t="shared" si="53"/>
        <v>7401</v>
      </c>
      <c r="K20" s="187">
        <f t="shared" si="42"/>
        <v>6602.71</v>
      </c>
      <c r="L20" s="187">
        <f t="shared" si="54"/>
        <v>798.29</v>
      </c>
      <c r="M20" s="188">
        <f t="shared" si="44"/>
        <v>0.21360000000000001</v>
      </c>
      <c r="N20" s="187">
        <f t="shared" si="55"/>
        <v>170.51474400000001</v>
      </c>
      <c r="O20" s="189">
        <f t="shared" si="46"/>
        <v>699.3</v>
      </c>
      <c r="P20" s="187">
        <f t="shared" si="56"/>
        <v>869.81474400000002</v>
      </c>
      <c r="Q20" s="187">
        <f t="shared" si="48"/>
        <v>0</v>
      </c>
      <c r="R20" s="187">
        <f t="shared" si="57"/>
        <v>869.81</v>
      </c>
      <c r="S20" s="186">
        <f t="shared" si="58"/>
        <v>0</v>
      </c>
      <c r="T20" s="186">
        <f t="shared" si="59"/>
        <v>869.81</v>
      </c>
      <c r="U20" s="186">
        <f>SUM(T20:T20)</f>
        <v>869.81</v>
      </c>
      <c r="V20" s="186">
        <f>H20+S20-U20</f>
        <v>6531.1900000000005</v>
      </c>
      <c r="W20" s="91"/>
      <c r="X20" s="4"/>
    </row>
    <row r="21" spans="1:24" ht="77.099999999999994" customHeight="1" x14ac:dyDescent="0.25">
      <c r="A21" s="235"/>
      <c r="B21" s="179" t="s">
        <v>301</v>
      </c>
      <c r="C21" s="179" t="s">
        <v>118</v>
      </c>
      <c r="D21" s="180" t="s">
        <v>83</v>
      </c>
      <c r="E21" s="182"/>
      <c r="F21" s="184">
        <v>7401</v>
      </c>
      <c r="G21" s="185">
        <v>0</v>
      </c>
      <c r="H21" s="186">
        <f t="shared" si="39"/>
        <v>7401</v>
      </c>
      <c r="I21" s="187">
        <f t="shared" ref="I21" si="60">IF(F21/15&lt;=SMG,0,G21/2)</f>
        <v>0</v>
      </c>
      <c r="J21" s="187">
        <f t="shared" si="41"/>
        <v>7401</v>
      </c>
      <c r="K21" s="187">
        <f t="shared" ref="K21" si="61">VLOOKUP(J21,Tarifa1,1)</f>
        <v>6602.71</v>
      </c>
      <c r="L21" s="187">
        <f t="shared" si="43"/>
        <v>798.29</v>
      </c>
      <c r="M21" s="188">
        <f t="shared" ref="M21" si="62">VLOOKUP(J21,Tarifa1,3)</f>
        <v>0.21360000000000001</v>
      </c>
      <c r="N21" s="187">
        <f t="shared" si="45"/>
        <v>170.51474400000001</v>
      </c>
      <c r="O21" s="189">
        <f t="shared" ref="O21" si="63">VLOOKUP(J21,Tarifa1,2)</f>
        <v>699.3</v>
      </c>
      <c r="P21" s="187">
        <f t="shared" si="47"/>
        <v>869.81474400000002</v>
      </c>
      <c r="Q21" s="187">
        <f t="shared" ref="Q21" si="64">VLOOKUP(J21,Credito1,2)</f>
        <v>0</v>
      </c>
      <c r="R21" s="187">
        <f t="shared" si="49"/>
        <v>869.81</v>
      </c>
      <c r="S21" s="186">
        <f t="shared" si="50"/>
        <v>0</v>
      </c>
      <c r="T21" s="186">
        <f t="shared" si="51"/>
        <v>869.81</v>
      </c>
      <c r="U21" s="186">
        <f>SUM(T21:T21)</f>
        <v>869.81</v>
      </c>
      <c r="V21" s="186">
        <f>H21+S21-U21</f>
        <v>6531.1900000000005</v>
      </c>
      <c r="W21" s="91"/>
      <c r="X21" s="4"/>
    </row>
    <row r="22" spans="1:24" ht="29.25" customHeight="1" thickBot="1" x14ac:dyDescent="0.3">
      <c r="A22" s="248" t="s">
        <v>45</v>
      </c>
      <c r="B22" s="249"/>
      <c r="C22" s="249"/>
      <c r="D22" s="249"/>
      <c r="E22" s="249"/>
      <c r="F22" s="193">
        <f>SUM(F9:F21)</f>
        <v>101094</v>
      </c>
      <c r="G22" s="193">
        <f>SUM(G9:G21)</f>
        <v>0</v>
      </c>
      <c r="H22" s="193">
        <f>SUM(H9:H21)</f>
        <v>101094</v>
      </c>
      <c r="I22" s="194">
        <f t="shared" ref="I22:R22" si="65">SUM(I9:I15)</f>
        <v>0</v>
      </c>
      <c r="J22" s="194">
        <f t="shared" si="65"/>
        <v>56688</v>
      </c>
      <c r="K22" s="194">
        <f t="shared" si="65"/>
        <v>46218.97</v>
      </c>
      <c r="L22" s="194">
        <f t="shared" si="65"/>
        <v>10469.030000000002</v>
      </c>
      <c r="M22" s="194">
        <f t="shared" si="65"/>
        <v>1.4952000000000001</v>
      </c>
      <c r="N22" s="194">
        <f t="shared" si="65"/>
        <v>2236.184808</v>
      </c>
      <c r="O22" s="194">
        <f t="shared" si="65"/>
        <v>4895.1000000000004</v>
      </c>
      <c r="P22" s="194">
        <f t="shared" si="65"/>
        <v>7131.2848080000003</v>
      </c>
      <c r="Q22" s="194">
        <f t="shared" si="65"/>
        <v>0</v>
      </c>
      <c r="R22" s="194">
        <f t="shared" si="65"/>
        <v>7131.2699999999986</v>
      </c>
      <c r="S22" s="193">
        <f>SUM(S9:S21)</f>
        <v>0</v>
      </c>
      <c r="T22" s="193">
        <f>SUM(T9:T21)</f>
        <v>12350.129999999996</v>
      </c>
      <c r="U22" s="193">
        <f>SUM(U9:U21)</f>
        <v>12350.129999999996</v>
      </c>
      <c r="V22" s="193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55118110236220474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6"/>
  <sheetViews>
    <sheetView tabSelected="1" topLeftCell="B12" zoomScale="73" zoomScaleNormal="73" workbookViewId="0">
      <selection activeCell="W12" sqref="W1:W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39.140625" style="68" customWidth="1"/>
    <col min="5" max="5" width="19.5703125" style="68" customWidth="1"/>
    <col min="6" max="6" width="6.5703125" style="68" hidden="1" customWidth="1"/>
    <col min="7" max="7" width="10" style="68" hidden="1" customWidth="1"/>
    <col min="8" max="8" width="16.28515625" style="68" customWidth="1"/>
    <col min="9" max="9" width="14" style="68" customWidth="1"/>
    <col min="10" max="10" width="12.7109375" style="68" hidden="1" customWidth="1"/>
    <col min="11" max="11" width="13.140625" style="68" hidden="1" customWidth="1"/>
    <col min="12" max="14" width="11" style="68" hidden="1" customWidth="1"/>
    <col min="15" max="16" width="13.140625" style="68" hidden="1" customWidth="1"/>
    <col min="17" max="17" width="10.5703125" style="68" hidden="1" customWidth="1"/>
    <col min="18" max="19" width="13.140625" style="68" hidden="1" customWidth="1"/>
    <col min="20" max="20" width="11.5703125" style="68" hidden="1" customWidth="1"/>
    <col min="21" max="21" width="9.7109375" style="68" hidden="1" customWidth="1"/>
    <col min="22" max="22" width="14.42578125" style="68" customWidth="1"/>
    <col min="23" max="23" width="13" style="68" customWidth="1"/>
    <col min="24" max="24" width="15.85546875" style="68" customWidth="1"/>
    <col min="25" max="25" width="76" style="68" customWidth="1"/>
    <col min="26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9"/>
      <c r="B6" s="69"/>
      <c r="C6" s="69"/>
      <c r="D6" s="69"/>
      <c r="E6" s="69"/>
      <c r="F6" s="70" t="s">
        <v>23</v>
      </c>
      <c r="G6" s="70" t="s">
        <v>6</v>
      </c>
      <c r="H6" s="283" t="s">
        <v>1</v>
      </c>
      <c r="I6" s="284"/>
      <c r="J6" s="285"/>
      <c r="K6" s="71" t="s">
        <v>26</v>
      </c>
      <c r="L6" s="72"/>
      <c r="M6" s="286" t="s">
        <v>9</v>
      </c>
      <c r="N6" s="287"/>
      <c r="O6" s="287"/>
      <c r="P6" s="287"/>
      <c r="Q6" s="287"/>
      <c r="R6" s="288"/>
      <c r="S6" s="71" t="s">
        <v>30</v>
      </c>
      <c r="T6" s="71" t="s">
        <v>10</v>
      </c>
      <c r="U6" s="70" t="s">
        <v>54</v>
      </c>
      <c r="V6" s="289" t="s">
        <v>2</v>
      </c>
      <c r="W6" s="290"/>
      <c r="X6" s="70" t="s">
        <v>0</v>
      </c>
      <c r="Y6" s="73"/>
    </row>
    <row r="7" spans="1:25" ht="22.5" x14ac:dyDescent="0.2">
      <c r="A7" s="74" t="s">
        <v>21</v>
      </c>
      <c r="B7" s="75" t="s">
        <v>104</v>
      </c>
      <c r="C7" s="75" t="s">
        <v>119</v>
      </c>
      <c r="D7" s="74" t="s">
        <v>22</v>
      </c>
      <c r="E7" s="74"/>
      <c r="F7" s="76" t="s">
        <v>24</v>
      </c>
      <c r="G7" s="74" t="s">
        <v>25</v>
      </c>
      <c r="H7" s="70" t="s">
        <v>6</v>
      </c>
      <c r="I7" s="70" t="s">
        <v>59</v>
      </c>
      <c r="J7" s="70" t="s">
        <v>28</v>
      </c>
      <c r="K7" s="77" t="s">
        <v>27</v>
      </c>
      <c r="L7" s="72" t="s">
        <v>32</v>
      </c>
      <c r="M7" s="72" t="s">
        <v>12</v>
      </c>
      <c r="N7" s="72" t="s">
        <v>34</v>
      </c>
      <c r="O7" s="72" t="s">
        <v>36</v>
      </c>
      <c r="P7" s="72" t="s">
        <v>37</v>
      </c>
      <c r="Q7" s="72" t="s">
        <v>14</v>
      </c>
      <c r="R7" s="72" t="s">
        <v>10</v>
      </c>
      <c r="S7" s="77" t="s">
        <v>40</v>
      </c>
      <c r="T7" s="77" t="s">
        <v>41</v>
      </c>
      <c r="U7" s="74" t="s">
        <v>31</v>
      </c>
      <c r="V7" s="70" t="s">
        <v>3</v>
      </c>
      <c r="W7" s="70" t="s">
        <v>7</v>
      </c>
      <c r="X7" s="74" t="s">
        <v>4</v>
      </c>
      <c r="Y7" s="78" t="s">
        <v>58</v>
      </c>
    </row>
    <row r="8" spans="1:25" x14ac:dyDescent="0.2">
      <c r="A8" s="79"/>
      <c r="B8" s="74"/>
      <c r="C8" s="74"/>
      <c r="D8" s="74"/>
      <c r="E8" s="74"/>
      <c r="F8" s="74"/>
      <c r="G8" s="74"/>
      <c r="H8" s="74" t="s">
        <v>47</v>
      </c>
      <c r="I8" s="74" t="s">
        <v>60</v>
      </c>
      <c r="J8" s="74" t="s">
        <v>29</v>
      </c>
      <c r="K8" s="77" t="s">
        <v>43</v>
      </c>
      <c r="L8" s="71" t="s">
        <v>33</v>
      </c>
      <c r="M8" s="71" t="s">
        <v>13</v>
      </c>
      <c r="N8" s="71" t="s">
        <v>35</v>
      </c>
      <c r="O8" s="71" t="s">
        <v>35</v>
      </c>
      <c r="P8" s="71" t="s">
        <v>38</v>
      </c>
      <c r="Q8" s="71" t="s">
        <v>15</v>
      </c>
      <c r="R8" s="71" t="s">
        <v>39</v>
      </c>
      <c r="S8" s="77" t="s">
        <v>19</v>
      </c>
      <c r="T8" s="80" t="s">
        <v>133</v>
      </c>
      <c r="U8" s="74" t="s">
        <v>53</v>
      </c>
      <c r="V8" s="74"/>
      <c r="W8" s="74" t="s">
        <v>44</v>
      </c>
      <c r="X8" s="74" t="s">
        <v>5</v>
      </c>
      <c r="Y8" s="81"/>
    </row>
    <row r="9" spans="1:25" ht="36" x14ac:dyDescent="0.25">
      <c r="A9" s="82"/>
      <c r="B9" s="83"/>
      <c r="C9" s="83"/>
      <c r="D9" s="238" t="s">
        <v>140</v>
      </c>
      <c r="E9" s="84" t="s">
        <v>62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5"/>
    </row>
    <row r="10" spans="1:25" s="95" customFormat="1" ht="80.099999999999994" customHeight="1" x14ac:dyDescent="0.25">
      <c r="A10" s="118"/>
      <c r="B10" s="179" t="s">
        <v>296</v>
      </c>
      <c r="C10" s="179" t="s">
        <v>118</v>
      </c>
      <c r="D10" s="236" t="s">
        <v>295</v>
      </c>
      <c r="E10" s="181" t="s">
        <v>294</v>
      </c>
      <c r="F10" s="182">
        <v>15</v>
      </c>
      <c r="G10" s="183">
        <f>H10/F10</f>
        <v>617.91800000000001</v>
      </c>
      <c r="H10" s="184">
        <v>9268.77</v>
      </c>
      <c r="I10" s="185">
        <v>0</v>
      </c>
      <c r="J10" s="186">
        <f t="shared" ref="J10" si="0">SUM(H10:I10)</f>
        <v>9268.77</v>
      </c>
      <c r="K10" s="187">
        <f t="shared" ref="K10" si="1">IF(H10/15&lt;=SMG,0,I10/2)</f>
        <v>0</v>
      </c>
      <c r="L10" s="187">
        <f t="shared" ref="L10:L12" si="2">H10+K10</f>
        <v>9268.77</v>
      </c>
      <c r="M10" s="187">
        <f t="shared" ref="M10" si="3">VLOOKUP(L10,Tarifa1,1)</f>
        <v>6602.71</v>
      </c>
      <c r="N10" s="187">
        <f t="shared" ref="N10:N12" si="4">L10-M10</f>
        <v>2666.0600000000004</v>
      </c>
      <c r="O10" s="188">
        <f t="shared" ref="O10" si="5">VLOOKUP(L10,Tarifa1,3)</f>
        <v>0.21360000000000001</v>
      </c>
      <c r="P10" s="187">
        <f t="shared" ref="P10:P12" si="6">N10*O10</f>
        <v>569.47041600000011</v>
      </c>
      <c r="Q10" s="189">
        <f t="shared" ref="Q10" si="7">VLOOKUP(L10,Tarifa1,2)</f>
        <v>699.3</v>
      </c>
      <c r="R10" s="187">
        <f t="shared" ref="R10:R12" si="8">P10+Q10</f>
        <v>1268.7704160000001</v>
      </c>
      <c r="S10" s="187">
        <f t="shared" ref="S10" si="9">VLOOKUP(L10,Credito1,2)</f>
        <v>0</v>
      </c>
      <c r="T10" s="187">
        <f t="shared" ref="T10:T12" si="10">ROUND(R10-S10,2)</f>
        <v>1268.77</v>
      </c>
      <c r="U10" s="186">
        <f t="shared" ref="U10:U12" si="11">-IF(T10&gt;0,0,T10)</f>
        <v>0</v>
      </c>
      <c r="V10" s="186">
        <f t="shared" ref="V10:V12" si="12">IF(T10&lt;0,0,T10)</f>
        <v>1268.77</v>
      </c>
      <c r="W10" s="186">
        <f>SUM(V10:V10)</f>
        <v>1268.77</v>
      </c>
      <c r="X10" s="186">
        <f>J10+U10-W10</f>
        <v>8000</v>
      </c>
      <c r="Y10" s="94"/>
    </row>
    <row r="11" spans="1:25" s="95" customFormat="1" ht="80.099999999999994" customHeight="1" x14ac:dyDescent="0.25">
      <c r="A11" s="118"/>
      <c r="B11" s="179" t="s">
        <v>142</v>
      </c>
      <c r="C11" s="179" t="s">
        <v>118</v>
      </c>
      <c r="D11" s="119" t="s">
        <v>169</v>
      </c>
      <c r="E11" s="180" t="s">
        <v>138</v>
      </c>
      <c r="F11" s="182">
        <v>15</v>
      </c>
      <c r="G11" s="183">
        <f>H11/F11</f>
        <v>401.86666666666667</v>
      </c>
      <c r="H11" s="184">
        <v>6028</v>
      </c>
      <c r="I11" s="185">
        <v>0</v>
      </c>
      <c r="J11" s="186">
        <f t="shared" ref="J11" si="13">SUM(H11:I11)</f>
        <v>6028</v>
      </c>
      <c r="K11" s="187">
        <f t="shared" ref="K11" si="14">IF(H11/15&lt;=SMG,0,I11/2)</f>
        <v>0</v>
      </c>
      <c r="L11" s="187">
        <f t="shared" ref="L11" si="15">H11+K11</f>
        <v>6028</v>
      </c>
      <c r="M11" s="187">
        <f t="shared" ref="M11" si="16">VLOOKUP(L11,Tarifa1,1)</f>
        <v>5514.76</v>
      </c>
      <c r="N11" s="187">
        <f t="shared" ref="N11" si="17">L11-M11</f>
        <v>513.23999999999978</v>
      </c>
      <c r="O11" s="188">
        <f t="shared" ref="O11" si="18">VLOOKUP(L11,Tarifa1,3)</f>
        <v>0.1792</v>
      </c>
      <c r="P11" s="187">
        <f t="shared" ref="P11" si="19">N11*O11</f>
        <v>91.972607999999966</v>
      </c>
      <c r="Q11" s="189">
        <f t="shared" ref="Q11" si="20">VLOOKUP(L11,Tarifa1,2)</f>
        <v>504.3</v>
      </c>
      <c r="R11" s="187">
        <f t="shared" ref="R11" si="21">P11+Q11</f>
        <v>596.27260799999999</v>
      </c>
      <c r="S11" s="187">
        <f t="shared" ref="S11" si="22">VLOOKUP(L11,Credito1,2)</f>
        <v>0</v>
      </c>
      <c r="T11" s="187">
        <f t="shared" ref="T11" si="23">ROUND(R11-S11,2)</f>
        <v>596.27</v>
      </c>
      <c r="U11" s="186">
        <f t="shared" ref="U11" si="24">-IF(T11&gt;0,0,T11)</f>
        <v>0</v>
      </c>
      <c r="V11" s="186">
        <f t="shared" ref="V11" si="25">IF(T11&lt;0,0,T11)</f>
        <v>596.27</v>
      </c>
      <c r="W11" s="186">
        <f>SUM(V11:V11)</f>
        <v>596.27</v>
      </c>
      <c r="X11" s="186">
        <f>J11+U11-W11</f>
        <v>5431.73</v>
      </c>
      <c r="Y11" s="94"/>
    </row>
    <row r="12" spans="1:25" s="95" customFormat="1" ht="80.099999999999994" customHeight="1" x14ac:dyDescent="0.25">
      <c r="A12" s="118"/>
      <c r="B12" s="179" t="s">
        <v>223</v>
      </c>
      <c r="C12" s="179" t="s">
        <v>118</v>
      </c>
      <c r="D12" s="119" t="s">
        <v>222</v>
      </c>
      <c r="E12" s="180" t="s">
        <v>138</v>
      </c>
      <c r="F12" s="182"/>
      <c r="G12" s="183"/>
      <c r="H12" s="184">
        <v>5767.5</v>
      </c>
      <c r="I12" s="185">
        <v>1720.42</v>
      </c>
      <c r="J12" s="186">
        <f t="shared" ref="J12" si="26">SUM(H12:I12)</f>
        <v>7487.92</v>
      </c>
      <c r="K12" s="187">
        <f t="shared" ref="K12" si="27">IF(H12/15&lt;=SMG,0,I12/2)</f>
        <v>860.21</v>
      </c>
      <c r="L12" s="187">
        <f t="shared" si="2"/>
        <v>6627.71</v>
      </c>
      <c r="M12" s="187">
        <f t="shared" ref="M12" si="28">VLOOKUP(L12,Tarifa1,1)</f>
        <v>6602.71</v>
      </c>
      <c r="N12" s="187">
        <f t="shared" si="4"/>
        <v>25</v>
      </c>
      <c r="O12" s="188">
        <f t="shared" ref="O12" si="29">VLOOKUP(L12,Tarifa1,3)</f>
        <v>0.21360000000000001</v>
      </c>
      <c r="P12" s="187">
        <f t="shared" si="6"/>
        <v>5.34</v>
      </c>
      <c r="Q12" s="189">
        <f t="shared" ref="Q12" si="30">VLOOKUP(L12,Tarifa1,2)</f>
        <v>699.3</v>
      </c>
      <c r="R12" s="187">
        <f t="shared" si="8"/>
        <v>704.64</v>
      </c>
      <c r="S12" s="187">
        <f t="shared" ref="S12" si="31">VLOOKUP(L12,Credito1,2)</f>
        <v>0</v>
      </c>
      <c r="T12" s="187">
        <f t="shared" si="10"/>
        <v>704.64</v>
      </c>
      <c r="U12" s="186">
        <f t="shared" si="11"/>
        <v>0</v>
      </c>
      <c r="V12" s="186">
        <f t="shared" si="12"/>
        <v>704.64</v>
      </c>
      <c r="W12" s="186">
        <f>SUM(V12:V12)</f>
        <v>704.64</v>
      </c>
      <c r="X12" s="186">
        <f>J12+U12-W12</f>
        <v>6783.28</v>
      </c>
      <c r="Y12" s="94"/>
    </row>
    <row r="13" spans="1:25" s="95" customFormat="1" ht="80.099999999999994" customHeight="1" x14ac:dyDescent="0.25">
      <c r="A13" s="118" t="s">
        <v>94</v>
      </c>
      <c r="B13" s="179" t="s">
        <v>143</v>
      </c>
      <c r="C13" s="179" t="s">
        <v>161</v>
      </c>
      <c r="D13" s="119" t="s">
        <v>137</v>
      </c>
      <c r="E13" s="181" t="s">
        <v>139</v>
      </c>
      <c r="F13" s="182">
        <v>15</v>
      </c>
      <c r="G13" s="183">
        <f>H13/F13</f>
        <v>299.3</v>
      </c>
      <c r="H13" s="184">
        <v>4489.5</v>
      </c>
      <c r="I13" s="185">
        <v>1334.55</v>
      </c>
      <c r="J13" s="186">
        <f>SUM(H13:I13)</f>
        <v>5824.05</v>
      </c>
      <c r="K13" s="187">
        <f t="shared" ref="K13:K14" si="32">IF(H13/15&lt;=SMG,0,I13/2)</f>
        <v>667.27499999999998</v>
      </c>
      <c r="L13" s="187">
        <f t="shared" ref="L13:L14" si="33">H13+K13</f>
        <v>5156.7749999999996</v>
      </c>
      <c r="M13" s="187">
        <f t="shared" ref="M13:M14" si="34">VLOOKUP(L13,Tarifa1,1)</f>
        <v>4744.0600000000004</v>
      </c>
      <c r="N13" s="187">
        <f t="shared" ref="N13:N14" si="35">L13-M13</f>
        <v>412.71499999999924</v>
      </c>
      <c r="O13" s="188">
        <f t="shared" ref="O13:O14" si="36">VLOOKUP(L13,Tarifa1,3)</f>
        <v>0.16</v>
      </c>
      <c r="P13" s="187">
        <f t="shared" ref="P13:P14" si="37">N13*O13</f>
        <v>66.034399999999877</v>
      </c>
      <c r="Q13" s="189">
        <f t="shared" ref="Q13:Q14" si="38">VLOOKUP(L13,Tarifa1,2)</f>
        <v>381</v>
      </c>
      <c r="R13" s="187">
        <f t="shared" ref="R13:R14" si="39">P13+Q13</f>
        <v>447.03439999999989</v>
      </c>
      <c r="S13" s="187">
        <f t="shared" ref="S13:S14" si="40">VLOOKUP(L13,Credito1,2)</f>
        <v>0</v>
      </c>
      <c r="T13" s="187">
        <f t="shared" ref="T13:T14" si="41">ROUND(R13-S13,2)</f>
        <v>447.03</v>
      </c>
      <c r="U13" s="186">
        <f>-IF(T13&gt;0,0,T13)</f>
        <v>0</v>
      </c>
      <c r="V13" s="186">
        <f t="shared" ref="V13" si="42">IF(T13&lt;0,0,T13)</f>
        <v>447.03</v>
      </c>
      <c r="W13" s="186">
        <f>SUM(V13:V13)</f>
        <v>447.03</v>
      </c>
      <c r="X13" s="186">
        <f>J13+U13-W13</f>
        <v>5377.02</v>
      </c>
      <c r="Y13" s="94"/>
    </row>
    <row r="14" spans="1:25" s="95" customFormat="1" ht="80.099999999999994" customHeight="1" x14ac:dyDescent="0.25">
      <c r="A14" s="235"/>
      <c r="B14" s="179" t="s">
        <v>144</v>
      </c>
      <c r="C14" s="179" t="s">
        <v>118</v>
      </c>
      <c r="D14" s="236" t="s">
        <v>136</v>
      </c>
      <c r="E14" s="181" t="s">
        <v>139</v>
      </c>
      <c r="F14" s="182">
        <v>15</v>
      </c>
      <c r="G14" s="183">
        <f>H14/F14</f>
        <v>299.3</v>
      </c>
      <c r="H14" s="184">
        <v>4489.5</v>
      </c>
      <c r="I14" s="185">
        <v>0</v>
      </c>
      <c r="J14" s="186">
        <f>SUM(H14:I14)</f>
        <v>4489.5</v>
      </c>
      <c r="K14" s="187">
        <f t="shared" si="32"/>
        <v>0</v>
      </c>
      <c r="L14" s="187">
        <f t="shared" si="33"/>
        <v>4489.5</v>
      </c>
      <c r="M14" s="187">
        <f t="shared" si="34"/>
        <v>2699.41</v>
      </c>
      <c r="N14" s="187">
        <f t="shared" si="35"/>
        <v>1790.0900000000001</v>
      </c>
      <c r="O14" s="188">
        <f t="shared" si="36"/>
        <v>0.10879999999999999</v>
      </c>
      <c r="P14" s="187">
        <f t="shared" si="37"/>
        <v>194.76179200000001</v>
      </c>
      <c r="Q14" s="189">
        <f t="shared" si="38"/>
        <v>158.55000000000001</v>
      </c>
      <c r="R14" s="187">
        <f t="shared" si="39"/>
        <v>353.31179200000003</v>
      </c>
      <c r="S14" s="187">
        <f t="shared" si="40"/>
        <v>0</v>
      </c>
      <c r="T14" s="187">
        <f t="shared" si="41"/>
        <v>353.31</v>
      </c>
      <c r="U14" s="186">
        <f>-IF(T14&gt;0,0,T14)</f>
        <v>0</v>
      </c>
      <c r="V14" s="186">
        <f t="shared" ref="V14" si="43">IF(T14&lt;0,0,T14)</f>
        <v>353.31</v>
      </c>
      <c r="W14" s="186">
        <f>SUM(V14:V14)</f>
        <v>353.31</v>
      </c>
      <c r="X14" s="186">
        <f>J14+U14-W14</f>
        <v>4136.1899999999996</v>
      </c>
      <c r="Y14" s="94"/>
    </row>
    <row r="15" spans="1:25" ht="40.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3">
        <f t="shared" ref="H15:X15" si="44">SUM(H10:H14)</f>
        <v>30043.27</v>
      </c>
      <c r="I15" s="193">
        <f t="shared" si="44"/>
        <v>3054.9700000000003</v>
      </c>
      <c r="J15" s="193">
        <f t="shared" si="44"/>
        <v>33098.240000000005</v>
      </c>
      <c r="K15" s="194">
        <f t="shared" si="44"/>
        <v>1527.4850000000001</v>
      </c>
      <c r="L15" s="194">
        <f t="shared" si="44"/>
        <v>31570.754999999997</v>
      </c>
      <c r="M15" s="194">
        <f t="shared" si="44"/>
        <v>26163.65</v>
      </c>
      <c r="N15" s="194">
        <f t="shared" si="44"/>
        <v>5407.1049999999996</v>
      </c>
      <c r="O15" s="194">
        <f t="shared" si="44"/>
        <v>0.87520000000000009</v>
      </c>
      <c r="P15" s="194">
        <f t="shared" si="44"/>
        <v>927.57921599999997</v>
      </c>
      <c r="Q15" s="194">
        <f t="shared" si="44"/>
        <v>2442.4499999999998</v>
      </c>
      <c r="R15" s="194">
        <f t="shared" si="44"/>
        <v>3370.0292159999999</v>
      </c>
      <c r="S15" s="194">
        <f t="shared" si="44"/>
        <v>0</v>
      </c>
      <c r="T15" s="194">
        <f t="shared" si="44"/>
        <v>3370.02</v>
      </c>
      <c r="U15" s="193">
        <f t="shared" si="44"/>
        <v>0</v>
      </c>
      <c r="V15" s="193">
        <f t="shared" si="44"/>
        <v>3370.02</v>
      </c>
      <c r="W15" s="193">
        <f t="shared" si="44"/>
        <v>3370.02</v>
      </c>
      <c r="X15" s="193">
        <f t="shared" si="44"/>
        <v>29728.219999999998</v>
      </c>
    </row>
    <row r="16" spans="1:25" ht="18.75" thickTop="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8"/>
  <sheetViews>
    <sheetView topLeftCell="D1" zoomScale="87" zoomScaleNormal="87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1" s="52" customFormat="1" ht="15.75" x14ac:dyDescent="0.25">
      <c r="A5" s="48"/>
      <c r="B5" s="130"/>
      <c r="C5" s="130"/>
      <c r="D5" s="130"/>
      <c r="E5" s="130"/>
      <c r="F5" s="131" t="s">
        <v>23</v>
      </c>
      <c r="G5" s="131" t="s">
        <v>6</v>
      </c>
      <c r="H5" s="253" t="s">
        <v>1</v>
      </c>
      <c r="I5" s="254"/>
      <c r="J5" s="255"/>
      <c r="K5" s="132" t="s">
        <v>26</v>
      </c>
      <c r="L5" s="133"/>
      <c r="M5" s="256" t="s">
        <v>9</v>
      </c>
      <c r="N5" s="257"/>
      <c r="O5" s="257"/>
      <c r="P5" s="257"/>
      <c r="Q5" s="257"/>
      <c r="R5" s="258"/>
      <c r="S5" s="132" t="s">
        <v>54</v>
      </c>
      <c r="T5" s="132" t="s">
        <v>10</v>
      </c>
      <c r="U5" s="131" t="s">
        <v>54</v>
      </c>
      <c r="V5" s="259" t="s">
        <v>2</v>
      </c>
      <c r="W5" s="260"/>
      <c r="X5" s="131" t="s">
        <v>0</v>
      </c>
      <c r="Y5" s="48"/>
    </row>
    <row r="6" spans="1:31" s="52" customFormat="1" ht="29.25" customHeight="1" x14ac:dyDescent="0.25">
      <c r="A6" s="53" t="s">
        <v>21</v>
      </c>
      <c r="B6" s="134" t="s">
        <v>104</v>
      </c>
      <c r="C6" s="134" t="s">
        <v>127</v>
      </c>
      <c r="D6" s="135" t="s">
        <v>22</v>
      </c>
      <c r="E6" s="135"/>
      <c r="F6" s="136" t="s">
        <v>24</v>
      </c>
      <c r="G6" s="135" t="s">
        <v>25</v>
      </c>
      <c r="H6" s="131" t="s">
        <v>6</v>
      </c>
      <c r="I6" s="131" t="s">
        <v>59</v>
      </c>
      <c r="J6" s="131" t="s">
        <v>28</v>
      </c>
      <c r="K6" s="137" t="s">
        <v>27</v>
      </c>
      <c r="L6" s="133" t="s">
        <v>32</v>
      </c>
      <c r="M6" s="133" t="s">
        <v>12</v>
      </c>
      <c r="N6" s="133" t="s">
        <v>34</v>
      </c>
      <c r="O6" s="133" t="s">
        <v>36</v>
      </c>
      <c r="P6" s="133" t="s">
        <v>37</v>
      </c>
      <c r="Q6" s="133" t="s">
        <v>14</v>
      </c>
      <c r="R6" s="133" t="s">
        <v>10</v>
      </c>
      <c r="S6" s="137" t="s">
        <v>40</v>
      </c>
      <c r="T6" s="137" t="s">
        <v>41</v>
      </c>
      <c r="U6" s="135" t="s">
        <v>31</v>
      </c>
      <c r="V6" s="131" t="s">
        <v>3</v>
      </c>
      <c r="W6" s="131" t="s">
        <v>7</v>
      </c>
      <c r="X6" s="135" t="s">
        <v>4</v>
      </c>
      <c r="Y6" s="53" t="s">
        <v>58</v>
      </c>
    </row>
    <row r="7" spans="1:31" s="52" customFormat="1" ht="15.75" x14ac:dyDescent="0.25">
      <c r="A7" s="61"/>
      <c r="B7" s="138"/>
      <c r="C7" s="138"/>
      <c r="D7" s="139"/>
      <c r="E7" s="139"/>
      <c r="F7" s="139"/>
      <c r="G7" s="139"/>
      <c r="H7" s="139" t="s">
        <v>47</v>
      </c>
      <c r="I7" s="139" t="s">
        <v>60</v>
      </c>
      <c r="J7" s="139" t="s">
        <v>29</v>
      </c>
      <c r="K7" s="140" t="s">
        <v>43</v>
      </c>
      <c r="L7" s="132" t="s">
        <v>33</v>
      </c>
      <c r="M7" s="132" t="s">
        <v>13</v>
      </c>
      <c r="N7" s="132" t="s">
        <v>35</v>
      </c>
      <c r="O7" s="132" t="s">
        <v>35</v>
      </c>
      <c r="P7" s="132" t="s">
        <v>38</v>
      </c>
      <c r="Q7" s="132" t="s">
        <v>15</v>
      </c>
      <c r="R7" s="132" t="s">
        <v>39</v>
      </c>
      <c r="S7" s="137" t="s">
        <v>53</v>
      </c>
      <c r="T7" s="141" t="s">
        <v>239</v>
      </c>
      <c r="U7" s="139" t="s">
        <v>53</v>
      </c>
      <c r="V7" s="139"/>
      <c r="W7" s="139" t="s">
        <v>44</v>
      </c>
      <c r="X7" s="139" t="s">
        <v>5</v>
      </c>
      <c r="Y7" s="58"/>
    </row>
    <row r="8" spans="1:31" s="52" customFormat="1" ht="43.5" customHeight="1" x14ac:dyDescent="0.25">
      <c r="A8" s="63"/>
      <c r="B8" s="142" t="s">
        <v>104</v>
      </c>
      <c r="C8" s="142" t="s">
        <v>127</v>
      </c>
      <c r="D8" s="143" t="s">
        <v>63</v>
      </c>
      <c r="E8" s="144" t="s">
        <v>62</v>
      </c>
      <c r="F8" s="144"/>
      <c r="G8" s="144"/>
      <c r="H8" s="145">
        <f>SUM(H9:H11)</f>
        <v>46002.5</v>
      </c>
      <c r="I8" s="145">
        <f>SUM(I9:I11)</f>
        <v>0</v>
      </c>
      <c r="J8" s="145">
        <f>SUM(J9:J11)</f>
        <v>46002.5</v>
      </c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5">
        <f>SUM(U9:U11)</f>
        <v>0</v>
      </c>
      <c r="V8" s="145">
        <f>SUM(V9:V11)</f>
        <v>8415.6899999999987</v>
      </c>
      <c r="W8" s="145">
        <f>SUM(W9:W11)</f>
        <v>8415.6899999999987</v>
      </c>
      <c r="X8" s="145">
        <f>SUM(X9:X11)</f>
        <v>37586.81</v>
      </c>
      <c r="Y8" s="64"/>
    </row>
    <row r="9" spans="1:31" s="52" customFormat="1" ht="80.099999999999994" customHeight="1" x14ac:dyDescent="0.25">
      <c r="A9" s="86" t="s">
        <v>86</v>
      </c>
      <c r="B9" s="178" t="s">
        <v>232</v>
      </c>
      <c r="C9" s="179" t="s">
        <v>118</v>
      </c>
      <c r="D9" s="181" t="s">
        <v>233</v>
      </c>
      <c r="E9" s="180" t="s">
        <v>234</v>
      </c>
      <c r="F9" s="182">
        <v>10</v>
      </c>
      <c r="G9" s="183">
        <v>1677.25</v>
      </c>
      <c r="H9" s="184">
        <v>26898</v>
      </c>
      <c r="I9" s="185">
        <v>0</v>
      </c>
      <c r="J9" s="186">
        <f>SUM(H9:I9)</f>
        <v>26898</v>
      </c>
      <c r="K9" s="187">
        <f>IF(H9/15&lt;=SMG,0,I9/2)</f>
        <v>0</v>
      </c>
      <c r="L9" s="187">
        <f>H9+K9</f>
        <v>26898</v>
      </c>
      <c r="M9" s="187">
        <f>VLOOKUP(L9,Tarifa1,1)</f>
        <v>20988.91</v>
      </c>
      <c r="N9" s="187">
        <f>L9-M9</f>
        <v>5909.09</v>
      </c>
      <c r="O9" s="188">
        <f>VLOOKUP(L9,Tarifa1,3)</f>
        <v>0.3</v>
      </c>
      <c r="P9" s="187">
        <f>N9*O9</f>
        <v>1772.7270000000001</v>
      </c>
      <c r="Q9" s="189">
        <f>VLOOKUP(L9,Tarifa1,2)</f>
        <v>3937.8</v>
      </c>
      <c r="R9" s="187">
        <f>P9+Q9</f>
        <v>5710.527</v>
      </c>
      <c r="S9" s="187">
        <f>VLOOKUP(L9,Credito1,2)</f>
        <v>0</v>
      </c>
      <c r="T9" s="187">
        <f>ROUND(R9-S9,2)</f>
        <v>5710.53</v>
      </c>
      <c r="U9" s="186">
        <f>-IF(T9&gt;0,0,T9)</f>
        <v>0</v>
      </c>
      <c r="V9" s="195">
        <f>IF(T9&lt;0,0,T9)</f>
        <v>5710.53</v>
      </c>
      <c r="W9" s="186">
        <f>SUM(V9:V9)</f>
        <v>5710.53</v>
      </c>
      <c r="X9" s="186">
        <f>J9+U9-W9</f>
        <v>21187.47</v>
      </c>
      <c r="Y9" s="59"/>
    </row>
    <row r="10" spans="1:31" s="52" customFormat="1" ht="80.099999999999994" customHeight="1" x14ac:dyDescent="0.25">
      <c r="A10" s="86" t="s">
        <v>87</v>
      </c>
      <c r="B10" s="178" t="s">
        <v>168</v>
      </c>
      <c r="C10" s="179" t="s">
        <v>118</v>
      </c>
      <c r="D10" s="180" t="s">
        <v>158</v>
      </c>
      <c r="E10" s="181" t="s">
        <v>235</v>
      </c>
      <c r="F10" s="182">
        <v>10</v>
      </c>
      <c r="G10" s="183">
        <v>850.15</v>
      </c>
      <c r="H10" s="184">
        <v>13634</v>
      </c>
      <c r="I10" s="185">
        <v>0</v>
      </c>
      <c r="J10" s="186">
        <f>SUM(H10:I10)</f>
        <v>13634</v>
      </c>
      <c r="K10" s="187">
        <f>IF(H10/15&lt;=SMG,0,I10/2)</f>
        <v>0</v>
      </c>
      <c r="L10" s="187">
        <f t="shared" ref="L10" si="0">H10+K10</f>
        <v>13634</v>
      </c>
      <c r="M10" s="187">
        <f>VLOOKUP(L10,Tarifa1,1)</f>
        <v>13316.71</v>
      </c>
      <c r="N10" s="187">
        <f t="shared" ref="N10" si="1">L10-M10</f>
        <v>317.29000000000087</v>
      </c>
      <c r="O10" s="188">
        <f>VLOOKUP(L10,Tarifa1,3)</f>
        <v>0.23519999999999999</v>
      </c>
      <c r="P10" s="187">
        <f t="shared" ref="P10" si="2">N10*O10</f>
        <v>74.626608000000203</v>
      </c>
      <c r="Q10" s="189">
        <f>VLOOKUP(L10,Tarifa1,2)</f>
        <v>2133.3000000000002</v>
      </c>
      <c r="R10" s="187">
        <f t="shared" ref="R10" si="3">P10+Q10</f>
        <v>2207.9266080000002</v>
      </c>
      <c r="S10" s="187">
        <f>VLOOKUP(L10,Credito1,2)</f>
        <v>0</v>
      </c>
      <c r="T10" s="187">
        <f t="shared" ref="T10" si="4">ROUND(R10-S10,2)</f>
        <v>2207.9299999999998</v>
      </c>
      <c r="U10" s="186">
        <f>-IF(T10&gt;0,0,T10)</f>
        <v>0</v>
      </c>
      <c r="V10" s="186">
        <f>IF(T10&lt;0,0,T10)</f>
        <v>2207.9299999999998</v>
      </c>
      <c r="W10" s="186">
        <f>SUM(V10:V10)</f>
        <v>2207.9299999999998</v>
      </c>
      <c r="X10" s="186">
        <f>J10+U10-W10</f>
        <v>11426.07</v>
      </c>
      <c r="Y10" s="59"/>
      <c r="AE10" s="60"/>
    </row>
    <row r="11" spans="1:31" s="52" customFormat="1" ht="80.099999999999994" customHeight="1" x14ac:dyDescent="0.25">
      <c r="A11" s="86"/>
      <c r="B11" s="179" t="s">
        <v>110</v>
      </c>
      <c r="C11" s="178" t="s">
        <v>118</v>
      </c>
      <c r="D11" s="180" t="s">
        <v>66</v>
      </c>
      <c r="E11" s="180" t="s">
        <v>64</v>
      </c>
      <c r="F11" s="182">
        <v>15</v>
      </c>
      <c r="G11" s="183">
        <v>341.11</v>
      </c>
      <c r="H11" s="184">
        <v>5470.5</v>
      </c>
      <c r="I11" s="185">
        <v>0</v>
      </c>
      <c r="J11" s="186">
        <f>SUM(H11:I11)</f>
        <v>5470.5</v>
      </c>
      <c r="K11" s="187">
        <f>IF(H11/15&lt;=SMG,0,I11/2)</f>
        <v>0</v>
      </c>
      <c r="L11" s="187">
        <f t="shared" ref="L11" si="5">H11+K11</f>
        <v>5470.5</v>
      </c>
      <c r="M11" s="187">
        <f>VLOOKUP(L11,Tarifa1,1)</f>
        <v>4744.0600000000004</v>
      </c>
      <c r="N11" s="187">
        <f t="shared" ref="N11" si="6">L11-M11</f>
        <v>726.4399999999996</v>
      </c>
      <c r="O11" s="188">
        <f>VLOOKUP(L11,Tarifa1,3)</f>
        <v>0.16</v>
      </c>
      <c r="P11" s="187">
        <f t="shared" ref="P11" si="7">N11*O11</f>
        <v>116.23039999999993</v>
      </c>
      <c r="Q11" s="189">
        <f>VLOOKUP(L11,Tarifa1,2)</f>
        <v>381</v>
      </c>
      <c r="R11" s="187">
        <f t="shared" ref="R11" si="8">P11+Q11</f>
        <v>497.23039999999992</v>
      </c>
      <c r="S11" s="187">
        <f>VLOOKUP(L11,Credito1,2)</f>
        <v>0</v>
      </c>
      <c r="T11" s="187">
        <f t="shared" ref="T11" si="9">ROUND(R11-S11,2)</f>
        <v>497.23</v>
      </c>
      <c r="U11" s="186">
        <f>-IF(T11&gt;0,0,T11)</f>
        <v>0</v>
      </c>
      <c r="V11" s="186">
        <f>IF(T11&lt;0,0,T11)</f>
        <v>497.23</v>
      </c>
      <c r="W11" s="186">
        <f>SUM(V11:V11)</f>
        <v>497.23</v>
      </c>
      <c r="X11" s="186">
        <f>J11+U11-W11</f>
        <v>4973.2700000000004</v>
      </c>
      <c r="Y11" s="59"/>
      <c r="AE11" s="60"/>
    </row>
    <row r="12" spans="1:31" s="52" customFormat="1" ht="44.25" customHeight="1" x14ac:dyDescent="0.25">
      <c r="A12" s="86"/>
      <c r="B12" s="142" t="s">
        <v>104</v>
      </c>
      <c r="C12" s="142" t="s">
        <v>127</v>
      </c>
      <c r="D12" s="143" t="s">
        <v>122</v>
      </c>
      <c r="E12" s="144" t="s">
        <v>62</v>
      </c>
      <c r="F12" s="144"/>
      <c r="G12" s="144"/>
      <c r="H12" s="145">
        <f>SUM(H13)</f>
        <v>6125.5</v>
      </c>
      <c r="I12" s="145">
        <f>SUM(I13)</f>
        <v>0</v>
      </c>
      <c r="J12" s="145">
        <f>SUM(J13)</f>
        <v>6125.5</v>
      </c>
      <c r="K12" s="144"/>
      <c r="L12" s="144"/>
      <c r="M12" s="144"/>
      <c r="N12" s="144"/>
      <c r="O12" s="144"/>
      <c r="P12" s="144"/>
      <c r="Q12" s="147"/>
      <c r="R12" s="144"/>
      <c r="S12" s="144"/>
      <c r="T12" s="146"/>
      <c r="U12" s="145">
        <f>SUM(U13)</f>
        <v>0</v>
      </c>
      <c r="V12" s="145">
        <f>SUM(V13)</f>
        <v>613.74</v>
      </c>
      <c r="W12" s="145">
        <f>SUM(W13)</f>
        <v>613.74</v>
      </c>
      <c r="X12" s="145">
        <f>SUM(X13)</f>
        <v>5511.76</v>
      </c>
      <c r="Y12" s="64"/>
      <c r="AE12" s="60"/>
    </row>
    <row r="13" spans="1:31" s="52" customFormat="1" ht="80.099999999999994" customHeight="1" x14ac:dyDescent="0.25">
      <c r="A13" s="86" t="s">
        <v>88</v>
      </c>
      <c r="B13" s="178" t="s">
        <v>162</v>
      </c>
      <c r="C13" s="179" t="s">
        <v>118</v>
      </c>
      <c r="D13" s="192" t="s">
        <v>145</v>
      </c>
      <c r="E13" s="181" t="s">
        <v>100</v>
      </c>
      <c r="F13" s="182">
        <v>15</v>
      </c>
      <c r="G13" s="183">
        <v>381.95</v>
      </c>
      <c r="H13" s="184">
        <v>6125.5</v>
      </c>
      <c r="I13" s="185">
        <v>0</v>
      </c>
      <c r="J13" s="186">
        <f>H13</f>
        <v>6125.5</v>
      </c>
      <c r="K13" s="187">
        <f>IF(H13/15&lt;=SMG,0,I13/2)</f>
        <v>0</v>
      </c>
      <c r="L13" s="187">
        <f t="shared" ref="L13" si="10">H13+K13</f>
        <v>6125.5</v>
      </c>
      <c r="M13" s="187">
        <f>VLOOKUP(L13,Tarifa1,1)</f>
        <v>5514.76</v>
      </c>
      <c r="N13" s="187">
        <f t="shared" ref="N13" si="11">L13-M13</f>
        <v>610.73999999999978</v>
      </c>
      <c r="O13" s="188">
        <f>VLOOKUP(L13,Tarifa1,3)</f>
        <v>0.1792</v>
      </c>
      <c r="P13" s="187">
        <f t="shared" ref="P13" si="12">N13*O13</f>
        <v>109.44460799999996</v>
      </c>
      <c r="Q13" s="189">
        <f>VLOOKUP(L13,Tarifa1,2)</f>
        <v>504.3</v>
      </c>
      <c r="R13" s="187">
        <f t="shared" ref="R13" si="13">P13+Q13</f>
        <v>613.74460799999997</v>
      </c>
      <c r="S13" s="187">
        <f>VLOOKUP(L13,Credito1,2)</f>
        <v>0</v>
      </c>
      <c r="T13" s="187">
        <f t="shared" ref="T13" si="14">ROUND(R13-S13,2)</f>
        <v>613.74</v>
      </c>
      <c r="U13" s="186">
        <f>-IF(T13&gt;0,0,T13)</f>
        <v>0</v>
      </c>
      <c r="V13" s="186">
        <f>IF(T13&lt;0,0,T13)</f>
        <v>613.74</v>
      </c>
      <c r="W13" s="186">
        <f>SUM(V13:V13)</f>
        <v>613.74</v>
      </c>
      <c r="X13" s="186">
        <f>J13+U13-W13</f>
        <v>5511.76</v>
      </c>
      <c r="Y13" s="59"/>
      <c r="AE13" s="60"/>
    </row>
    <row r="14" spans="1:31" s="52" customFormat="1" ht="44.25" customHeight="1" x14ac:dyDescent="0.25">
      <c r="A14" s="86"/>
      <c r="B14" s="142" t="s">
        <v>104</v>
      </c>
      <c r="C14" s="142" t="s">
        <v>127</v>
      </c>
      <c r="D14" s="143" t="s">
        <v>123</v>
      </c>
      <c r="E14" s="144" t="s">
        <v>62</v>
      </c>
      <c r="F14" s="144"/>
      <c r="G14" s="144"/>
      <c r="H14" s="145">
        <v>4896.5</v>
      </c>
      <c r="I14" s="145">
        <f>SUM(I15)</f>
        <v>0</v>
      </c>
      <c r="J14" s="145">
        <f>SUM(J15)</f>
        <v>4896.5</v>
      </c>
      <c r="K14" s="144"/>
      <c r="L14" s="144"/>
      <c r="M14" s="144"/>
      <c r="N14" s="144"/>
      <c r="O14" s="144"/>
      <c r="P14" s="144"/>
      <c r="Q14" s="147"/>
      <c r="R14" s="144"/>
      <c r="S14" s="144"/>
      <c r="T14" s="146"/>
      <c r="U14" s="145">
        <f>SUM(U15)</f>
        <v>0</v>
      </c>
      <c r="V14" s="145">
        <f>SUM(V15)</f>
        <v>405.39</v>
      </c>
      <c r="W14" s="145">
        <f>SUM(W15)</f>
        <v>405.39</v>
      </c>
      <c r="X14" s="145">
        <f>SUM(X15)</f>
        <v>4491.1099999999997</v>
      </c>
      <c r="Y14" s="64"/>
      <c r="AE14" s="60"/>
    </row>
    <row r="15" spans="1:31" s="52" customFormat="1" ht="80.099999999999994" customHeight="1" x14ac:dyDescent="0.25">
      <c r="A15" s="86" t="s">
        <v>90</v>
      </c>
      <c r="B15" s="179" t="s">
        <v>111</v>
      </c>
      <c r="C15" s="179" t="s">
        <v>118</v>
      </c>
      <c r="D15" s="181" t="s">
        <v>101</v>
      </c>
      <c r="E15" s="180" t="s">
        <v>67</v>
      </c>
      <c r="F15" s="182">
        <v>15</v>
      </c>
      <c r="G15" s="183">
        <v>305.35000000000002</v>
      </c>
      <c r="H15" s="184">
        <v>4896.5</v>
      </c>
      <c r="I15" s="185">
        <v>0</v>
      </c>
      <c r="J15" s="186">
        <f>SUM(H15:I15)</f>
        <v>4896.5</v>
      </c>
      <c r="K15" s="187">
        <f>IF(H15/15&lt;=SMG,0,I15/2)</f>
        <v>0</v>
      </c>
      <c r="L15" s="187">
        <f t="shared" ref="L15" si="15">H15+K15</f>
        <v>4896.5</v>
      </c>
      <c r="M15" s="187">
        <f>VLOOKUP(L15,Tarifa1,1)</f>
        <v>4744.0600000000004</v>
      </c>
      <c r="N15" s="187">
        <f t="shared" ref="N15" si="16">L15-M15</f>
        <v>152.4399999999996</v>
      </c>
      <c r="O15" s="188">
        <f>VLOOKUP(L15,Tarifa1,3)</f>
        <v>0.16</v>
      </c>
      <c r="P15" s="187">
        <f t="shared" ref="P15" si="17">N15*O15</f>
        <v>24.390399999999936</v>
      </c>
      <c r="Q15" s="189">
        <f>VLOOKUP(L15,Tarifa1,2)</f>
        <v>381</v>
      </c>
      <c r="R15" s="187">
        <f t="shared" ref="R15" si="18">P15+Q15</f>
        <v>405.39039999999994</v>
      </c>
      <c r="S15" s="187">
        <f>VLOOKUP(L15,Credito1,2)</f>
        <v>0</v>
      </c>
      <c r="T15" s="187">
        <f t="shared" ref="T15" si="19">ROUND(R15-S15,2)</f>
        <v>405.39</v>
      </c>
      <c r="U15" s="186">
        <f>-IF(T15&gt;0,0,T15)</f>
        <v>0</v>
      </c>
      <c r="V15" s="186">
        <f>IF(T15&lt;0,0,T15)</f>
        <v>405.39</v>
      </c>
      <c r="W15" s="186">
        <f>SUM(V15:V15)</f>
        <v>405.39</v>
      </c>
      <c r="X15" s="186">
        <f>J15+U15-W15</f>
        <v>4491.1099999999997</v>
      </c>
      <c r="Y15" s="59"/>
      <c r="AE15" s="65"/>
    </row>
    <row r="16" spans="1:31" s="52" customFormat="1" ht="43.5" customHeight="1" x14ac:dyDescent="0.25">
      <c r="A16" s="86"/>
      <c r="B16" s="142" t="s">
        <v>104</v>
      </c>
      <c r="C16" s="142" t="s">
        <v>127</v>
      </c>
      <c r="D16" s="143" t="s">
        <v>124</v>
      </c>
      <c r="E16" s="144" t="s">
        <v>62</v>
      </c>
      <c r="F16" s="144"/>
      <c r="G16" s="144"/>
      <c r="H16" s="145">
        <f>SUM(H17:H18)</f>
        <v>13812.84</v>
      </c>
      <c r="I16" s="145">
        <f>SUM(I17:I18)</f>
        <v>0</v>
      </c>
      <c r="J16" s="145">
        <f>SUM(J17:J18)</f>
        <v>13812.84</v>
      </c>
      <c r="K16" s="144"/>
      <c r="L16" s="144"/>
      <c r="M16" s="144"/>
      <c r="N16" s="144"/>
      <c r="O16" s="144"/>
      <c r="P16" s="144"/>
      <c r="Q16" s="147"/>
      <c r="R16" s="144"/>
      <c r="S16" s="144"/>
      <c r="T16" s="146"/>
      <c r="U16" s="145">
        <f>SUM(U17:U18)</f>
        <v>0</v>
      </c>
      <c r="V16" s="145">
        <f>SUM(V17:V18)</f>
        <v>1708.53</v>
      </c>
      <c r="W16" s="145">
        <f>SUM(W17:W18)</f>
        <v>1708.53</v>
      </c>
      <c r="X16" s="145">
        <f>SUM(X17:X18)</f>
        <v>12104.31</v>
      </c>
      <c r="Y16" s="64"/>
      <c r="AE16" s="65"/>
    </row>
    <row r="17" spans="1:3222" s="52" customFormat="1" ht="80.099999999999994" customHeight="1" x14ac:dyDescent="0.25">
      <c r="A17" s="86" t="s">
        <v>91</v>
      </c>
      <c r="B17" s="178" t="s">
        <v>163</v>
      </c>
      <c r="C17" s="179" t="s">
        <v>118</v>
      </c>
      <c r="D17" s="181" t="s">
        <v>146</v>
      </c>
      <c r="E17" s="181" t="s">
        <v>85</v>
      </c>
      <c r="F17" s="182">
        <v>15</v>
      </c>
      <c r="G17" s="183">
        <v>625.85200000000009</v>
      </c>
      <c r="H17" s="184">
        <v>10037</v>
      </c>
      <c r="I17" s="185">
        <v>0</v>
      </c>
      <c r="J17" s="186">
        <f>H17</f>
        <v>10037</v>
      </c>
      <c r="K17" s="187">
        <f>IF(H17/15&lt;=SMG,0,I17/2)</f>
        <v>0</v>
      </c>
      <c r="L17" s="187">
        <f t="shared" ref="L17:L18" si="20">H17+K17</f>
        <v>10037</v>
      </c>
      <c r="M17" s="187">
        <f>VLOOKUP(L17,Tarifa1,1)</f>
        <v>6602.71</v>
      </c>
      <c r="N17" s="187">
        <f t="shared" ref="N17:N18" si="21">L17-M17</f>
        <v>3434.29</v>
      </c>
      <c r="O17" s="188">
        <f>VLOOKUP(L17,Tarifa1,3)</f>
        <v>0.21360000000000001</v>
      </c>
      <c r="P17" s="187">
        <f t="shared" ref="P17:P18" si="22">N17*O17</f>
        <v>733.56434400000001</v>
      </c>
      <c r="Q17" s="189">
        <f>VLOOKUP(L17,Tarifa1,2)</f>
        <v>699.3</v>
      </c>
      <c r="R17" s="187">
        <f t="shared" ref="R17:R18" si="23">P17+Q17</f>
        <v>1432.8643440000001</v>
      </c>
      <c r="S17" s="187">
        <f>VLOOKUP(L17,Credito1,2)</f>
        <v>0</v>
      </c>
      <c r="T17" s="187">
        <f t="shared" ref="T17:T18" si="24">ROUND(R17-S17,2)</f>
        <v>1432.86</v>
      </c>
      <c r="U17" s="186">
        <f>-IF(T17&gt;0,0,T17)</f>
        <v>0</v>
      </c>
      <c r="V17" s="186">
        <f>IF(T17&lt;0,0,T17)</f>
        <v>1432.86</v>
      </c>
      <c r="W17" s="186">
        <f>SUM(V17:V17)</f>
        <v>1432.86</v>
      </c>
      <c r="X17" s="186">
        <f>J17+U17-W17</f>
        <v>8604.14</v>
      </c>
      <c r="Y17" s="59"/>
      <c r="AE17" s="65"/>
    </row>
    <row r="18" spans="1:3222" s="52" customFormat="1" ht="80.099999999999994" customHeight="1" x14ac:dyDescent="0.25">
      <c r="A18" s="177"/>
      <c r="B18" s="196" t="s">
        <v>285</v>
      </c>
      <c r="C18" s="197" t="s">
        <v>118</v>
      </c>
      <c r="D18" s="198" t="s">
        <v>286</v>
      </c>
      <c r="E18" s="201" t="s">
        <v>287</v>
      </c>
      <c r="F18" s="199"/>
      <c r="G18" s="200"/>
      <c r="H18" s="184">
        <v>3775.84</v>
      </c>
      <c r="I18" s="185">
        <v>0</v>
      </c>
      <c r="J18" s="186">
        <f t="shared" ref="J18" si="25">SUM(H18:I18)</f>
        <v>3775.84</v>
      </c>
      <c r="K18" s="187">
        <f t="shared" ref="K18" si="26">IF(H18/15&lt;=SMG,0,I18/2)</f>
        <v>0</v>
      </c>
      <c r="L18" s="187">
        <f t="shared" si="20"/>
        <v>3775.84</v>
      </c>
      <c r="M18" s="187">
        <f t="shared" ref="M18" si="27">VLOOKUP(L18,Tarifa1,1)</f>
        <v>2699.41</v>
      </c>
      <c r="N18" s="187">
        <f t="shared" si="21"/>
        <v>1076.4300000000003</v>
      </c>
      <c r="O18" s="188">
        <f t="shared" ref="O18" si="28">VLOOKUP(L18,Tarifa1,3)</f>
        <v>0.10879999999999999</v>
      </c>
      <c r="P18" s="187">
        <f t="shared" si="22"/>
        <v>117.11558400000003</v>
      </c>
      <c r="Q18" s="189">
        <f t="shared" ref="Q18" si="29">VLOOKUP(L18,Tarifa1,2)</f>
        <v>158.55000000000001</v>
      </c>
      <c r="R18" s="187">
        <f t="shared" si="23"/>
        <v>275.66558400000002</v>
      </c>
      <c r="S18" s="190">
        <f t="shared" ref="S18" si="30">VLOOKUP(L18,Credito1,2)</f>
        <v>0</v>
      </c>
      <c r="T18" s="187">
        <f t="shared" si="24"/>
        <v>275.67</v>
      </c>
      <c r="U18" s="186">
        <f>-IF(T18&gt;0,0,T18)</f>
        <v>0</v>
      </c>
      <c r="V18" s="186">
        <f>IF(T18&lt;0,0,T18)</f>
        <v>275.67</v>
      </c>
      <c r="W18" s="186">
        <f>SUM(V18:V18)</f>
        <v>275.67</v>
      </c>
      <c r="X18" s="186">
        <f>J18+U18-W18</f>
        <v>3500.17</v>
      </c>
      <c r="Y18" s="57"/>
      <c r="AE18" s="65"/>
    </row>
    <row r="19" spans="1:3222" s="67" customFormat="1" ht="42" customHeight="1" x14ac:dyDescent="0.25">
      <c r="A19" s="148"/>
      <c r="B19" s="142" t="s">
        <v>104</v>
      </c>
      <c r="C19" s="142" t="s">
        <v>127</v>
      </c>
      <c r="D19" s="143" t="s">
        <v>125</v>
      </c>
      <c r="E19" s="144" t="s">
        <v>62</v>
      </c>
      <c r="F19" s="144"/>
      <c r="G19" s="144"/>
      <c r="H19" s="145">
        <f>SUM(H20:H21)</f>
        <v>5982.1399999999994</v>
      </c>
      <c r="I19" s="145">
        <f>SUM(I20:I21)</f>
        <v>0</v>
      </c>
      <c r="J19" s="145">
        <f>SUM(J20:J21)</f>
        <v>5982.1399999999994</v>
      </c>
      <c r="K19" s="144"/>
      <c r="L19" s="144"/>
      <c r="M19" s="144"/>
      <c r="N19" s="144"/>
      <c r="O19" s="144"/>
      <c r="P19" s="144"/>
      <c r="Q19" s="147"/>
      <c r="R19" s="144"/>
      <c r="S19" s="144"/>
      <c r="T19" s="146"/>
      <c r="U19" s="145">
        <f>SUM(U20:U21)</f>
        <v>0</v>
      </c>
      <c r="V19" s="145">
        <f>SUM(V20:V21)</f>
        <v>110.11999999999999</v>
      </c>
      <c r="W19" s="145">
        <f>SUM(W20:W21)</f>
        <v>110.11999999999999</v>
      </c>
      <c r="X19" s="145">
        <f>SUM(X20:X21)</f>
        <v>5872.02</v>
      </c>
      <c r="Y19" s="64"/>
      <c r="Z19" s="8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</row>
    <row r="20" spans="1:3222" s="67" customFormat="1" ht="80.099999999999994" customHeight="1" x14ac:dyDescent="0.25">
      <c r="A20" s="148"/>
      <c r="B20" s="179" t="s">
        <v>112</v>
      </c>
      <c r="C20" s="179" t="s">
        <v>118</v>
      </c>
      <c r="D20" s="206" t="s">
        <v>95</v>
      </c>
      <c r="E20" s="206" t="s">
        <v>155</v>
      </c>
      <c r="F20" s="203">
        <v>15</v>
      </c>
      <c r="G20" s="183">
        <v>178.81533333333334</v>
      </c>
      <c r="H20" s="184">
        <v>2867.5</v>
      </c>
      <c r="I20" s="185">
        <v>0</v>
      </c>
      <c r="J20" s="186">
        <f t="shared" ref="J20" si="31">SUM(H20:I20)</f>
        <v>2867.5</v>
      </c>
      <c r="K20" s="187">
        <f t="shared" ref="K20" si="32">IF(H20/15&lt;=SMG,0,I20/2)</f>
        <v>0</v>
      </c>
      <c r="L20" s="187">
        <f t="shared" ref="L20" si="33">H20+K20</f>
        <v>2867.5</v>
      </c>
      <c r="M20" s="187">
        <f t="shared" ref="M20" si="34">VLOOKUP(L20,Tarifa1,1)</f>
        <v>2699.41</v>
      </c>
      <c r="N20" s="187">
        <f t="shared" ref="N20" si="35">L20-M20</f>
        <v>168.09000000000015</v>
      </c>
      <c r="O20" s="188">
        <f t="shared" ref="O20" si="36">VLOOKUP(L20,Tarifa1,3)</f>
        <v>0.10879999999999999</v>
      </c>
      <c r="P20" s="187">
        <f t="shared" ref="P20" si="37">N20*O20</f>
        <v>18.288192000000016</v>
      </c>
      <c r="Q20" s="189">
        <f t="shared" ref="Q20" si="38">VLOOKUP(L20,Tarifa1,2)</f>
        <v>158.55000000000001</v>
      </c>
      <c r="R20" s="187">
        <f t="shared" ref="R20" si="39">P20+Q20</f>
        <v>176.83819200000002</v>
      </c>
      <c r="S20" s="190">
        <f t="shared" ref="S20" si="40">VLOOKUP(L20,Credito1,2)</f>
        <v>145.35</v>
      </c>
      <c r="T20" s="187">
        <f t="shared" ref="T20" si="41">ROUND(R20-S20,2)</f>
        <v>31.49</v>
      </c>
      <c r="U20" s="186">
        <f t="shared" ref="U20" si="42">-IF(T20&gt;0,0,T20)</f>
        <v>0</v>
      </c>
      <c r="V20" s="186">
        <f t="shared" ref="V20" si="43">IF(T20&lt;0,0,T20)</f>
        <v>31.49</v>
      </c>
      <c r="W20" s="186">
        <f>SUM(V20:V20)</f>
        <v>31.49</v>
      </c>
      <c r="X20" s="204">
        <f>J20+U20-W20</f>
        <v>2836.01</v>
      </c>
      <c r="Y20" s="66"/>
      <c r="Z20" s="8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</row>
    <row r="21" spans="1:3222" s="52" customFormat="1" ht="80.099999999999994" customHeight="1" x14ac:dyDescent="0.25">
      <c r="A21" s="116"/>
      <c r="B21" s="179" t="s">
        <v>244</v>
      </c>
      <c r="C21" s="179" t="s">
        <v>118</v>
      </c>
      <c r="D21" s="181" t="s">
        <v>260</v>
      </c>
      <c r="E21" s="206" t="s">
        <v>155</v>
      </c>
      <c r="F21" s="182">
        <v>15</v>
      </c>
      <c r="G21" s="183">
        <v>178.81533333333334</v>
      </c>
      <c r="H21" s="204">
        <v>3114.64</v>
      </c>
      <c r="I21" s="205">
        <v>0</v>
      </c>
      <c r="J21" s="204">
        <f>SUM(H21:I21)</f>
        <v>3114.64</v>
      </c>
      <c r="K21" s="187">
        <f>IF(H21/15&lt;=SMG,0,I21/2)</f>
        <v>0</v>
      </c>
      <c r="L21" s="187">
        <f t="shared" ref="L21" si="44">H21+K21</f>
        <v>3114.64</v>
      </c>
      <c r="M21" s="187">
        <f>VLOOKUP(L21,Tarifa1,1)</f>
        <v>2699.41</v>
      </c>
      <c r="N21" s="187">
        <f t="shared" ref="N21" si="45">L21-M21</f>
        <v>415.23</v>
      </c>
      <c r="O21" s="188">
        <f>VLOOKUP(L21,Tarifa1,3)</f>
        <v>0.10879999999999999</v>
      </c>
      <c r="P21" s="187">
        <f t="shared" ref="P21" si="46">N21*O21</f>
        <v>45.177024000000003</v>
      </c>
      <c r="Q21" s="189">
        <f>VLOOKUP(L21,Tarifa1,2)</f>
        <v>158.55000000000001</v>
      </c>
      <c r="R21" s="187">
        <f t="shared" ref="R21" si="47">P21+Q21</f>
        <v>203.72702400000003</v>
      </c>
      <c r="S21" s="187">
        <f>VLOOKUP(L21,Credito1,2)</f>
        <v>125.1</v>
      </c>
      <c r="T21" s="187">
        <f t="shared" ref="T21" si="48">ROUND(R21-S21,2)</f>
        <v>78.63</v>
      </c>
      <c r="U21" s="204">
        <f>-IF(T21&gt;0,0,T21)</f>
        <v>0</v>
      </c>
      <c r="V21" s="204">
        <f>IF(T21&lt;0,0,T21)</f>
        <v>78.63</v>
      </c>
      <c r="W21" s="204">
        <f>SUM(V21:V21)</f>
        <v>78.63</v>
      </c>
      <c r="X21" s="204">
        <f>J21+U21-W21</f>
        <v>3036.0099999999998</v>
      </c>
      <c r="Y21" s="57"/>
    </row>
    <row r="22" spans="1:3222" s="52" customFormat="1" ht="21.75" customHeight="1" x14ac:dyDescent="0.2">
      <c r="A22" s="148"/>
      <c r="B22" s="149"/>
      <c r="C22" s="149"/>
      <c r="D22" s="150"/>
      <c r="E22" s="150"/>
      <c r="F22" s="122"/>
      <c r="G22" s="151"/>
      <c r="H22" s="152"/>
      <c r="I22" s="153"/>
      <c r="J22" s="154"/>
      <c r="K22" s="155"/>
      <c r="L22" s="155"/>
      <c r="M22" s="155"/>
      <c r="N22" s="155"/>
      <c r="O22" s="156"/>
      <c r="P22" s="155"/>
      <c r="Q22" s="155"/>
      <c r="R22" s="155"/>
      <c r="S22" s="155"/>
      <c r="T22" s="155"/>
      <c r="U22" s="154"/>
      <c r="V22" s="154"/>
      <c r="W22" s="154"/>
      <c r="X22" s="154"/>
      <c r="Y22" s="59"/>
    </row>
    <row r="23" spans="1:3222" s="52" customFormat="1" ht="41.25" customHeight="1" thickBot="1" x14ac:dyDescent="0.3">
      <c r="A23" s="248" t="s">
        <v>45</v>
      </c>
      <c r="B23" s="249"/>
      <c r="C23" s="249"/>
      <c r="D23" s="249"/>
      <c r="E23" s="249"/>
      <c r="F23" s="249"/>
      <c r="G23" s="250"/>
      <c r="H23" s="193">
        <f>H8+H12+H14+H16+H19</f>
        <v>76819.48</v>
      </c>
      <c r="I23" s="193">
        <f>I8+I12+I14+I16+I19</f>
        <v>0</v>
      </c>
      <c r="J23" s="193">
        <f>J8+J12+J14+J16+J19</f>
        <v>76819.48</v>
      </c>
      <c r="K23" s="194">
        <f t="shared" ref="K23:T23" si="49">SUM(K9:K21)</f>
        <v>0</v>
      </c>
      <c r="L23" s="194">
        <f t="shared" si="49"/>
        <v>76819.48</v>
      </c>
      <c r="M23" s="194">
        <f t="shared" si="49"/>
        <v>64009.440000000002</v>
      </c>
      <c r="N23" s="194">
        <f t="shared" si="49"/>
        <v>12810.04</v>
      </c>
      <c r="O23" s="194">
        <f t="shared" si="49"/>
        <v>1.5744</v>
      </c>
      <c r="P23" s="194">
        <f t="shared" si="49"/>
        <v>3011.5641599999999</v>
      </c>
      <c r="Q23" s="194">
        <f t="shared" si="49"/>
        <v>8512.3499999999985</v>
      </c>
      <c r="R23" s="194">
        <f t="shared" si="49"/>
        <v>11523.91416</v>
      </c>
      <c r="S23" s="194">
        <f t="shared" si="49"/>
        <v>270.45</v>
      </c>
      <c r="T23" s="194">
        <f t="shared" si="49"/>
        <v>11253.469999999998</v>
      </c>
      <c r="U23" s="193">
        <f>U8+U12+U14+U16+U19</f>
        <v>0</v>
      </c>
      <c r="V23" s="193">
        <f>V8+V12+V14+V16+V19</f>
        <v>11253.47</v>
      </c>
      <c r="W23" s="193">
        <f>W8+W12+W14+W16+W19</f>
        <v>11253.47</v>
      </c>
      <c r="X23" s="193">
        <f>X8+X12+X14+X16+X19</f>
        <v>65566.009999999995</v>
      </c>
    </row>
    <row r="24" spans="1:3222" s="52" customFormat="1" ht="12" customHeight="1" thickTop="1" x14ac:dyDescent="0.2"/>
    <row r="25" spans="1:3222" s="52" customFormat="1" ht="12" customHeight="1" x14ac:dyDescent="0.2"/>
    <row r="26" spans="1:3222" s="52" customFormat="1" ht="12" customHeight="1" x14ac:dyDescent="0.2"/>
    <row r="27" spans="1:3222" s="52" customFormat="1" ht="12" customHeight="1" x14ac:dyDescent="0.2"/>
    <row r="28" spans="1:3222" s="52" customFormat="1" ht="12" customHeight="1" x14ac:dyDescent="0.2"/>
    <row r="38" spans="10:10" x14ac:dyDescent="0.2">
      <c r="J38" s="4" t="s">
        <v>273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54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4"/>
      <c r="B9" s="144"/>
      <c r="C9" s="144"/>
      <c r="D9" s="143" t="s">
        <v>79</v>
      </c>
      <c r="E9" s="144" t="s">
        <v>62</v>
      </c>
      <c r="F9" s="144"/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57"/>
    </row>
    <row r="10" spans="1:25" s="95" customFormat="1" ht="111" customHeight="1" x14ac:dyDescent="0.25">
      <c r="A10" s="207">
        <v>1</v>
      </c>
      <c r="B10" s="208">
        <v>290</v>
      </c>
      <c r="C10" s="178" t="s">
        <v>118</v>
      </c>
      <c r="D10" s="181" t="s">
        <v>299</v>
      </c>
      <c r="E10" s="180" t="s">
        <v>79</v>
      </c>
      <c r="F10" s="209">
        <v>15</v>
      </c>
      <c r="G10" s="210">
        <f>H10/F10</f>
        <v>782.73333333333335</v>
      </c>
      <c r="H10" s="211">
        <v>11741</v>
      </c>
      <c r="I10" s="212">
        <v>0</v>
      </c>
      <c r="J10" s="213">
        <f>SUM(H10:I10)</f>
        <v>11741</v>
      </c>
      <c r="K10" s="187">
        <f>IF(H10/15&lt;=SMG,0,I10/2)</f>
        <v>0</v>
      </c>
      <c r="L10" s="187">
        <f>H10+K10</f>
        <v>11741</v>
      </c>
      <c r="M10" s="187">
        <f>VLOOKUP(L10,Tarifa1,1)</f>
        <v>6602.71</v>
      </c>
      <c r="N10" s="187">
        <f>L10-M10</f>
        <v>5138.29</v>
      </c>
      <c r="O10" s="188">
        <f>VLOOKUP(L10,Tarifa1,3)</f>
        <v>0.21360000000000001</v>
      </c>
      <c r="P10" s="187">
        <f>N10*O10</f>
        <v>1097.538744</v>
      </c>
      <c r="Q10" s="189">
        <f>VLOOKUP(L10,Tarifa1,2)</f>
        <v>699.3</v>
      </c>
      <c r="R10" s="187">
        <f>P10+Q10</f>
        <v>1796.8387439999999</v>
      </c>
      <c r="S10" s="187">
        <f>VLOOKUP(L10,Credito1,2)</f>
        <v>0</v>
      </c>
      <c r="T10" s="187">
        <f>ROUND(R10-S10,2)</f>
        <v>1796.84</v>
      </c>
      <c r="U10" s="186">
        <f>-IF(T10&gt;0,0,T10)</f>
        <v>0</v>
      </c>
      <c r="V10" s="195">
        <f>IF(T10&lt;0,0,T10)</f>
        <v>1796.84</v>
      </c>
      <c r="W10" s="186">
        <f>SUM(V10:V10)</f>
        <v>1796.84</v>
      </c>
      <c r="X10" s="186">
        <f>J10+U10-W10</f>
        <v>9944.16</v>
      </c>
      <c r="Y10" s="117"/>
    </row>
    <row r="11" spans="1:25" ht="30" customHeight="1" x14ac:dyDescent="0.25">
      <c r="A11" s="214"/>
      <c r="B11" s="214"/>
      <c r="C11" s="214"/>
      <c r="D11" s="214"/>
      <c r="E11" s="214"/>
      <c r="F11" s="215"/>
      <c r="G11" s="214"/>
      <c r="H11" s="216"/>
      <c r="I11" s="216"/>
      <c r="J11" s="216"/>
      <c r="K11" s="217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158"/>
    </row>
    <row r="12" spans="1:25" ht="40.5" customHeight="1" thickBot="1" x14ac:dyDescent="0.3">
      <c r="A12" s="248" t="s">
        <v>45</v>
      </c>
      <c r="B12" s="249"/>
      <c r="C12" s="249"/>
      <c r="D12" s="249"/>
      <c r="E12" s="249"/>
      <c r="F12" s="249"/>
      <c r="G12" s="250"/>
      <c r="H12" s="193">
        <f t="shared" ref="H12:X12" si="0">SUM(H10:H11)</f>
        <v>11741</v>
      </c>
      <c r="I12" s="193">
        <f t="shared" si="0"/>
        <v>0</v>
      </c>
      <c r="J12" s="193">
        <f t="shared" si="0"/>
        <v>11741</v>
      </c>
      <c r="K12" s="194">
        <f t="shared" si="0"/>
        <v>0</v>
      </c>
      <c r="L12" s="194">
        <f t="shared" si="0"/>
        <v>11741</v>
      </c>
      <c r="M12" s="194">
        <f t="shared" si="0"/>
        <v>6602.71</v>
      </c>
      <c r="N12" s="194">
        <f t="shared" si="0"/>
        <v>5138.29</v>
      </c>
      <c r="O12" s="194">
        <f t="shared" si="0"/>
        <v>0.21360000000000001</v>
      </c>
      <c r="P12" s="194">
        <f t="shared" si="0"/>
        <v>1097.538744</v>
      </c>
      <c r="Q12" s="194">
        <f t="shared" si="0"/>
        <v>699.3</v>
      </c>
      <c r="R12" s="194">
        <f t="shared" si="0"/>
        <v>1796.8387439999999</v>
      </c>
      <c r="S12" s="194">
        <f t="shared" si="0"/>
        <v>0</v>
      </c>
      <c r="T12" s="194">
        <f t="shared" si="0"/>
        <v>1796.84</v>
      </c>
      <c r="U12" s="193">
        <f t="shared" si="0"/>
        <v>0</v>
      </c>
      <c r="V12" s="193">
        <f t="shared" si="0"/>
        <v>1796.84</v>
      </c>
      <c r="W12" s="193">
        <f t="shared" si="0"/>
        <v>1796.84</v>
      </c>
      <c r="X12" s="193">
        <f t="shared" si="0"/>
        <v>9944.16</v>
      </c>
      <c r="Y12" s="158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D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230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9" t="s">
        <v>104</v>
      </c>
      <c r="C9" s="159" t="s">
        <v>127</v>
      </c>
      <c r="D9" s="143" t="s">
        <v>290</v>
      </c>
      <c r="E9" s="144" t="s">
        <v>62</v>
      </c>
      <c r="F9" s="126"/>
      <c r="G9" s="144"/>
      <c r="H9" s="127">
        <f>H10</f>
        <v>9904.58</v>
      </c>
      <c r="I9" s="127">
        <f>I10</f>
        <v>0</v>
      </c>
      <c r="J9" s="127">
        <f>J10</f>
        <v>9904.58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>
        <f>U10</f>
        <v>0</v>
      </c>
      <c r="V9" s="127">
        <f>V10</f>
        <v>1404.58</v>
      </c>
      <c r="W9" s="127">
        <f>W10</f>
        <v>1404.58</v>
      </c>
      <c r="X9" s="127">
        <f>X10</f>
        <v>8500</v>
      </c>
      <c r="Y9" s="157"/>
    </row>
    <row r="10" spans="1:25" ht="99" customHeight="1" x14ac:dyDescent="0.25">
      <c r="A10" s="26"/>
      <c r="B10" s="208">
        <v>161</v>
      </c>
      <c r="C10" s="178" t="s">
        <v>118</v>
      </c>
      <c r="D10" s="181" t="s">
        <v>291</v>
      </c>
      <c r="E10" s="181" t="s">
        <v>292</v>
      </c>
      <c r="F10" s="209">
        <v>15</v>
      </c>
      <c r="G10" s="210">
        <f>H10/F10</f>
        <v>660.30533333333335</v>
      </c>
      <c r="H10" s="184">
        <v>9904.58</v>
      </c>
      <c r="I10" s="185">
        <v>0</v>
      </c>
      <c r="J10" s="186">
        <f>H10</f>
        <v>9904.58</v>
      </c>
      <c r="K10" s="187">
        <f>IF(H10/15&lt;=SMG,0,I10/2)</f>
        <v>0</v>
      </c>
      <c r="L10" s="187">
        <f t="shared" ref="L10" si="0">H10+K10</f>
        <v>9904.58</v>
      </c>
      <c r="M10" s="187">
        <f>VLOOKUP(L10,Tarifa1,1)</f>
        <v>6602.71</v>
      </c>
      <c r="N10" s="187">
        <f t="shared" ref="N10" si="1">L10-M10</f>
        <v>3301.87</v>
      </c>
      <c r="O10" s="188">
        <f>VLOOKUP(L10,Tarifa1,3)</f>
        <v>0.21360000000000001</v>
      </c>
      <c r="P10" s="187">
        <f t="shared" ref="P10" si="2">N10*O10</f>
        <v>705.27943200000004</v>
      </c>
      <c r="Q10" s="189">
        <f>VLOOKUP(L10,Tarifa1,2)</f>
        <v>699.3</v>
      </c>
      <c r="R10" s="187">
        <f t="shared" ref="R10" si="3">P10+Q10</f>
        <v>1404.579432</v>
      </c>
      <c r="S10" s="190">
        <f>VLOOKUP(L10,Credito1,2)</f>
        <v>0</v>
      </c>
      <c r="T10" s="187">
        <f t="shared" ref="T10" si="4">ROUND(R10-S10,2)</f>
        <v>1404.58</v>
      </c>
      <c r="U10" s="186">
        <f>-IF(T10&gt;0,0,T10)</f>
        <v>0</v>
      </c>
      <c r="V10" s="186">
        <f>IF(T10&lt;0,0,T10)</f>
        <v>1404.58</v>
      </c>
      <c r="W10" s="186">
        <f>SUM(V10:V10)</f>
        <v>1404.58</v>
      </c>
      <c r="X10" s="186">
        <f>J10+U10-W10</f>
        <v>8500</v>
      </c>
      <c r="Y10" s="117"/>
    </row>
    <row r="11" spans="1:25" ht="47.25" customHeight="1" x14ac:dyDescent="0.25">
      <c r="A11" s="144"/>
      <c r="B11" s="159" t="s">
        <v>104</v>
      </c>
      <c r="C11" s="159" t="s">
        <v>127</v>
      </c>
      <c r="D11" s="143" t="s">
        <v>129</v>
      </c>
      <c r="E11" s="144" t="s">
        <v>62</v>
      </c>
      <c r="F11" s="126"/>
      <c r="G11" s="144"/>
      <c r="H11" s="127">
        <f>H12</f>
        <v>6930.5</v>
      </c>
      <c r="I11" s="127">
        <f>I12</f>
        <v>0</v>
      </c>
      <c r="J11" s="127">
        <f>J12</f>
        <v>6930.5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>
        <f>U12</f>
        <v>0</v>
      </c>
      <c r="V11" s="127">
        <f>V12</f>
        <v>769.32</v>
      </c>
      <c r="W11" s="127">
        <f>W12</f>
        <v>769.32</v>
      </c>
      <c r="X11" s="127">
        <f>X12</f>
        <v>6161.18</v>
      </c>
      <c r="Y11" s="157"/>
    </row>
    <row r="12" spans="1:25" ht="99" customHeight="1" x14ac:dyDescent="0.25">
      <c r="A12" s="129"/>
      <c r="B12" s="178" t="s">
        <v>281</v>
      </c>
      <c r="C12" s="179" t="s">
        <v>118</v>
      </c>
      <c r="D12" s="181" t="s">
        <v>282</v>
      </c>
      <c r="E12" s="181" t="s">
        <v>284</v>
      </c>
      <c r="F12" s="182">
        <v>13</v>
      </c>
      <c r="G12" s="183">
        <f t="shared" ref="G12" si="5">H12/F12</f>
        <v>533.11538461538464</v>
      </c>
      <c r="H12" s="184">
        <v>6930.5</v>
      </c>
      <c r="I12" s="185">
        <v>0</v>
      </c>
      <c r="J12" s="186">
        <f>SUM(H12:I12)</f>
        <v>6930.5</v>
      </c>
      <c r="K12" s="187">
        <f>IF(H12/15&lt;=SMG,0,I12/2)</f>
        <v>0</v>
      </c>
      <c r="L12" s="187">
        <f>H12+K12</f>
        <v>6930.5</v>
      </c>
      <c r="M12" s="187">
        <f>VLOOKUP(L12,Tarifa1,1)</f>
        <v>6602.71</v>
      </c>
      <c r="N12" s="187">
        <f>L12-M12</f>
        <v>327.78999999999996</v>
      </c>
      <c r="O12" s="188">
        <f>VLOOKUP(L12,Tarifa1,3)</f>
        <v>0.21360000000000001</v>
      </c>
      <c r="P12" s="187">
        <f>N12*O12</f>
        <v>70.01594399999999</v>
      </c>
      <c r="Q12" s="189">
        <f>VLOOKUP(L12,Tarifa1,2)</f>
        <v>699.3</v>
      </c>
      <c r="R12" s="187">
        <f>P12+Q12</f>
        <v>769.31594399999994</v>
      </c>
      <c r="S12" s="187">
        <f>VLOOKUP(L12,Credito1,2)</f>
        <v>0</v>
      </c>
      <c r="T12" s="187">
        <f>ROUND(R12-S12,2)</f>
        <v>769.32</v>
      </c>
      <c r="U12" s="186">
        <f>-IF(T12&gt;0,0,T12)</f>
        <v>0</v>
      </c>
      <c r="V12" s="186">
        <f>IF(T12&lt;0,0,T12)</f>
        <v>769.32</v>
      </c>
      <c r="W12" s="186">
        <f>SUM(V12:V12)</f>
        <v>769.32</v>
      </c>
      <c r="X12" s="186">
        <f>J12+U12-W12</f>
        <v>6161.18</v>
      </c>
      <c r="Y12" s="117"/>
    </row>
    <row r="13" spans="1:25" ht="30" customHeight="1" x14ac:dyDescent="0.2">
      <c r="A13" s="129"/>
      <c r="B13" s="160"/>
      <c r="C13" s="149"/>
      <c r="D13" s="150"/>
      <c r="E13" s="150"/>
      <c r="F13" s="122"/>
      <c r="G13" s="151"/>
      <c r="H13" s="152"/>
      <c r="I13" s="153"/>
      <c r="J13" s="154"/>
      <c r="K13" s="155"/>
      <c r="L13" s="155"/>
      <c r="M13" s="155"/>
      <c r="N13" s="155"/>
      <c r="O13" s="156"/>
      <c r="P13" s="155"/>
      <c r="Q13" s="161"/>
      <c r="R13" s="155"/>
      <c r="S13" s="155"/>
      <c r="T13" s="155"/>
      <c r="U13" s="154"/>
      <c r="V13" s="154"/>
      <c r="W13" s="154"/>
      <c r="X13" s="154"/>
      <c r="Y13" s="158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84">
        <v>5818</v>
      </c>
      <c r="I14" s="184">
        <f>SUM(I12)</f>
        <v>0</v>
      </c>
      <c r="J14" s="184">
        <f>SUM(J12)</f>
        <v>6930.5</v>
      </c>
      <c r="K14" s="194">
        <f t="shared" ref="K14:T14" si="6">SUM(K12:K12)</f>
        <v>0</v>
      </c>
      <c r="L14" s="194">
        <f t="shared" si="6"/>
        <v>6930.5</v>
      </c>
      <c r="M14" s="194">
        <f t="shared" si="6"/>
        <v>6602.71</v>
      </c>
      <c r="N14" s="194">
        <f t="shared" si="6"/>
        <v>327.78999999999996</v>
      </c>
      <c r="O14" s="194">
        <f t="shared" si="6"/>
        <v>0.21360000000000001</v>
      </c>
      <c r="P14" s="194">
        <f t="shared" si="6"/>
        <v>70.01594399999999</v>
      </c>
      <c r="Q14" s="194">
        <f t="shared" si="6"/>
        <v>699.3</v>
      </c>
      <c r="R14" s="194">
        <f t="shared" si="6"/>
        <v>769.31594399999994</v>
      </c>
      <c r="S14" s="194">
        <f t="shared" si="6"/>
        <v>0</v>
      </c>
      <c r="T14" s="194">
        <f t="shared" si="6"/>
        <v>769.32</v>
      </c>
      <c r="U14" s="184">
        <f>SUM(U12)</f>
        <v>0</v>
      </c>
      <c r="V14" s="184">
        <f>SUM(V12)</f>
        <v>769.32</v>
      </c>
      <c r="W14" s="184">
        <f>SUM(W12)</f>
        <v>769.32</v>
      </c>
      <c r="X14" s="184">
        <f>SUM(X12)</f>
        <v>6161.18</v>
      </c>
      <c r="Y14" s="158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3"/>
  <sheetViews>
    <sheetView topLeftCell="B1" zoomScale="66" zoomScaleNormal="66" workbookViewId="0">
      <selection activeCell="W1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119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61"/>
      <c r="B7" s="61"/>
      <c r="C7" s="272"/>
      <c r="D7" s="61"/>
      <c r="E7" s="61"/>
      <c r="F7" s="61"/>
      <c r="G7" s="61"/>
      <c r="H7" s="61" t="s">
        <v>47</v>
      </c>
      <c r="I7" s="61" t="s">
        <v>60</v>
      </c>
      <c r="J7" s="61" t="s">
        <v>29</v>
      </c>
      <c r="K7" s="62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128</v>
      </c>
      <c r="U7" s="61" t="s">
        <v>53</v>
      </c>
      <c r="V7" s="61"/>
      <c r="W7" s="61" t="s">
        <v>44</v>
      </c>
      <c r="X7" s="61" t="s">
        <v>5</v>
      </c>
      <c r="Y7" s="58"/>
    </row>
    <row r="8" spans="1:31" s="52" customFormat="1" ht="15.75" x14ac:dyDescent="0.25">
      <c r="A8" s="63"/>
      <c r="B8" s="144"/>
      <c r="C8" s="144"/>
      <c r="D8" s="143" t="s">
        <v>71</v>
      </c>
      <c r="E8" s="144" t="s">
        <v>62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4"/>
      <c r="V8" s="144"/>
      <c r="W8" s="144"/>
      <c r="X8" s="144"/>
      <c r="Y8" s="64"/>
    </row>
    <row r="9" spans="1:31" s="95" customFormat="1" ht="99" customHeight="1" x14ac:dyDescent="0.25">
      <c r="A9" s="118" t="s">
        <v>88</v>
      </c>
      <c r="B9" s="178" t="s">
        <v>185</v>
      </c>
      <c r="C9" s="179" t="s">
        <v>118</v>
      </c>
      <c r="D9" s="180" t="s">
        <v>182</v>
      </c>
      <c r="E9" s="181" t="s">
        <v>219</v>
      </c>
      <c r="F9" s="182">
        <v>15</v>
      </c>
      <c r="G9" s="183">
        <f t="shared" ref="G9:G10" si="0">H9/F9</f>
        <v>667.23333333333335</v>
      </c>
      <c r="H9" s="184">
        <v>10008.5</v>
      </c>
      <c r="I9" s="185">
        <v>0</v>
      </c>
      <c r="J9" s="186">
        <f t="shared" ref="J9" si="1">SUM(H9:I9)</f>
        <v>10008.5</v>
      </c>
      <c r="K9" s="187">
        <f t="shared" ref="K9:K16" si="2">IF(H9/15&lt;=SMG,0,I9/2)</f>
        <v>0</v>
      </c>
      <c r="L9" s="187">
        <f>H9+K9</f>
        <v>10008.5</v>
      </c>
      <c r="M9" s="187">
        <f t="shared" ref="M9:M16" si="3">VLOOKUP(L9,Tarifa1,1)</f>
        <v>6602.71</v>
      </c>
      <c r="N9" s="187">
        <f>L9-M9</f>
        <v>3405.79</v>
      </c>
      <c r="O9" s="188">
        <f t="shared" ref="O9:O16" si="4">VLOOKUP(L9,Tarifa1,3)</f>
        <v>0.21360000000000001</v>
      </c>
      <c r="P9" s="187">
        <f>N9*O9</f>
        <v>727.47674400000005</v>
      </c>
      <c r="Q9" s="189">
        <f t="shared" ref="Q9:Q16" si="5">VLOOKUP(L9,Tarifa1,2)</f>
        <v>699.3</v>
      </c>
      <c r="R9" s="187">
        <f>P9+Q9</f>
        <v>1426.776744</v>
      </c>
      <c r="S9" s="190">
        <f t="shared" ref="S9:S16" si="6">VLOOKUP(L9,Credito1,2)</f>
        <v>0</v>
      </c>
      <c r="T9" s="187">
        <f>ROUND(R9-S9,2)</f>
        <v>1426.78</v>
      </c>
      <c r="U9" s="186">
        <f t="shared" ref="U9" si="7">-IF(T9&gt;0,0,T9)</f>
        <v>0</v>
      </c>
      <c r="V9" s="186">
        <f t="shared" ref="V9" si="8">IF(T9&lt;0,0,T9)</f>
        <v>1426.78</v>
      </c>
      <c r="W9" s="186">
        <f>SUM(V9:V9)</f>
        <v>1426.78</v>
      </c>
      <c r="X9" s="186">
        <f>J9+U9-W9</f>
        <v>8581.7199999999993</v>
      </c>
      <c r="Y9" s="119"/>
      <c r="Z9" s="97"/>
      <c r="AE9" s="98"/>
    </row>
    <row r="10" spans="1:31" s="95" customFormat="1" ht="99" customHeight="1" x14ac:dyDescent="0.25">
      <c r="A10" s="118"/>
      <c r="B10" s="179" t="s">
        <v>220</v>
      </c>
      <c r="C10" s="179" t="s">
        <v>118</v>
      </c>
      <c r="D10" s="181" t="s">
        <v>221</v>
      </c>
      <c r="E10" s="181" t="s">
        <v>302</v>
      </c>
      <c r="F10" s="182">
        <v>15</v>
      </c>
      <c r="G10" s="183">
        <f t="shared" si="0"/>
        <v>735.226</v>
      </c>
      <c r="H10" s="184">
        <v>11028.39</v>
      </c>
      <c r="I10" s="185">
        <v>1791.31</v>
      </c>
      <c r="J10" s="186">
        <f>SUM(H10:I10)</f>
        <v>12819.699999999999</v>
      </c>
      <c r="K10" s="187">
        <f>IF(H10/15&lt;=SMG,0,I10/2)</f>
        <v>895.65499999999997</v>
      </c>
      <c r="L10" s="187">
        <f t="shared" ref="L10" si="9">H10+K10</f>
        <v>11924.045</v>
      </c>
      <c r="M10" s="187">
        <f>VLOOKUP(L10,Tarifa1,1)</f>
        <v>6602.71</v>
      </c>
      <c r="N10" s="187">
        <f t="shared" ref="N10" si="10">L10-M10</f>
        <v>5321.335</v>
      </c>
      <c r="O10" s="188">
        <f>VLOOKUP(L10,Tarifa1,3)</f>
        <v>0.21360000000000001</v>
      </c>
      <c r="P10" s="187">
        <f t="shared" ref="P10" si="11">N10*O10</f>
        <v>1136.637156</v>
      </c>
      <c r="Q10" s="189">
        <f>VLOOKUP(L10,Tarifa1,2)</f>
        <v>699.3</v>
      </c>
      <c r="R10" s="187">
        <f t="shared" ref="R10" si="12">P10+Q10</f>
        <v>1835.937156</v>
      </c>
      <c r="S10" s="187">
        <f>VLOOKUP(L10,Credito1,2)</f>
        <v>0</v>
      </c>
      <c r="T10" s="187">
        <f t="shared" ref="T10" si="13">ROUND(R10-S10,2)</f>
        <v>1835.94</v>
      </c>
      <c r="U10" s="186">
        <f>-IF(T10&gt;0,0,T10)</f>
        <v>0</v>
      </c>
      <c r="V10" s="186">
        <f>IF(T10&lt;0,0,T10)</f>
        <v>1835.94</v>
      </c>
      <c r="W10" s="186">
        <f>SUM(V10:V10)</f>
        <v>1835.94</v>
      </c>
      <c r="X10" s="186">
        <f>J10+U10-W10</f>
        <v>10983.759999999998</v>
      </c>
      <c r="Y10" s="119"/>
      <c r="Z10" s="97"/>
      <c r="AE10" s="98"/>
    </row>
    <row r="11" spans="1:31" s="95" customFormat="1" ht="99" customHeight="1" x14ac:dyDescent="0.25">
      <c r="A11" s="118"/>
      <c r="B11" s="178" t="s">
        <v>288</v>
      </c>
      <c r="C11" s="179" t="s">
        <v>118</v>
      </c>
      <c r="D11" s="181" t="s">
        <v>289</v>
      </c>
      <c r="E11" s="181" t="s">
        <v>293</v>
      </c>
      <c r="F11" s="182"/>
      <c r="G11" s="183"/>
      <c r="H11" s="184">
        <v>5177</v>
      </c>
      <c r="I11" s="185">
        <v>0</v>
      </c>
      <c r="J11" s="186">
        <f>SUM(H11:I11)</f>
        <v>5177</v>
      </c>
      <c r="K11" s="187">
        <f>IF(H11/15&lt;=SMG,0,I11/2)</f>
        <v>0</v>
      </c>
      <c r="L11" s="187">
        <f t="shared" ref="L11" si="14">H11+K11</f>
        <v>5177</v>
      </c>
      <c r="M11" s="187">
        <f>VLOOKUP(L11,Tarifa1,1)</f>
        <v>4744.0600000000004</v>
      </c>
      <c r="N11" s="187">
        <f t="shared" ref="N11" si="15">L11-M11</f>
        <v>432.9399999999996</v>
      </c>
      <c r="O11" s="188">
        <f>VLOOKUP(L11,Tarifa1,3)</f>
        <v>0.16</v>
      </c>
      <c r="P11" s="187">
        <f t="shared" ref="P11" si="16">N11*O11</f>
        <v>69.270399999999938</v>
      </c>
      <c r="Q11" s="189">
        <f>VLOOKUP(L11,Tarifa1,2)</f>
        <v>381</v>
      </c>
      <c r="R11" s="187">
        <f t="shared" ref="R11" si="17">P11+Q11</f>
        <v>450.27039999999994</v>
      </c>
      <c r="S11" s="190">
        <f>VLOOKUP(L11,Credito1,2)</f>
        <v>0</v>
      </c>
      <c r="T11" s="187">
        <f t="shared" ref="T11" si="18">ROUND(R11-S11,2)</f>
        <v>450.27</v>
      </c>
      <c r="U11" s="186">
        <f>-IF(T11&gt;0,0,T11)</f>
        <v>0</v>
      </c>
      <c r="V11" s="186">
        <f>IF(T11&lt;0,0,T11)</f>
        <v>450.27</v>
      </c>
      <c r="W11" s="186">
        <f>SUM(V11:V11)</f>
        <v>450.27</v>
      </c>
      <c r="X11" s="186">
        <f>J11+U11-W11</f>
        <v>4726.7299999999996</v>
      </c>
      <c r="Y11" s="119"/>
      <c r="Z11" s="97"/>
      <c r="AE11" s="98"/>
    </row>
    <row r="12" spans="1:31" s="95" customFormat="1" ht="99" customHeight="1" x14ac:dyDescent="0.25">
      <c r="A12" s="118"/>
      <c r="B12" s="179" t="s">
        <v>195</v>
      </c>
      <c r="C12" s="179" t="s">
        <v>118</v>
      </c>
      <c r="D12" s="191" t="s">
        <v>194</v>
      </c>
      <c r="E12" s="181" t="s">
        <v>69</v>
      </c>
      <c r="F12" s="182">
        <v>15</v>
      </c>
      <c r="G12" s="183"/>
      <c r="H12" s="184">
        <v>6071</v>
      </c>
      <c r="I12" s="185">
        <v>1323.05</v>
      </c>
      <c r="J12" s="184">
        <f>H12</f>
        <v>6071</v>
      </c>
      <c r="K12" s="187">
        <f t="shared" ref="K12" si="19">IF(H12/15&lt;=SMG,0,I12/2)</f>
        <v>661.52499999999998</v>
      </c>
      <c r="L12" s="187">
        <f t="shared" ref="L12:L16" si="20">H12+K12</f>
        <v>6732.5249999999996</v>
      </c>
      <c r="M12" s="187">
        <f t="shared" ref="M12" si="21">VLOOKUP(L12,Tarifa1,1)</f>
        <v>6602.71</v>
      </c>
      <c r="N12" s="187">
        <f t="shared" ref="N12:N16" si="22">L12-M12</f>
        <v>129.8149999999996</v>
      </c>
      <c r="O12" s="188">
        <f t="shared" ref="O12" si="23">VLOOKUP(L12,Tarifa1,3)</f>
        <v>0.21360000000000001</v>
      </c>
      <c r="P12" s="187">
        <f t="shared" ref="P12:P16" si="24">N12*O12</f>
        <v>27.728483999999916</v>
      </c>
      <c r="Q12" s="189">
        <f t="shared" ref="Q12" si="25">VLOOKUP(L12,Tarifa1,2)</f>
        <v>699.3</v>
      </c>
      <c r="R12" s="187">
        <f t="shared" ref="R12:R16" si="26">P12+Q12</f>
        <v>727.02848399999982</v>
      </c>
      <c r="S12" s="190">
        <f t="shared" ref="S12" si="27">VLOOKUP(L12,Credito1,2)</f>
        <v>0</v>
      </c>
      <c r="T12" s="187">
        <f t="shared" ref="T12:T16" si="28">ROUND(R12-S12,2)</f>
        <v>727.03</v>
      </c>
      <c r="U12" s="186">
        <f>-IF(T12&gt;0,0,T12)</f>
        <v>0</v>
      </c>
      <c r="V12" s="186">
        <f t="shared" ref="V12:V18" si="29">IF(T12&lt;0,0,T12)</f>
        <v>727.03</v>
      </c>
      <c r="W12" s="186">
        <f>SUM(V12:V12)</f>
        <v>727.03</v>
      </c>
      <c r="X12" s="186">
        <f>J12+U12-W12+I12</f>
        <v>6667.02</v>
      </c>
      <c r="Y12" s="119"/>
      <c r="AE12" s="98"/>
    </row>
    <row r="13" spans="1:31" s="95" customFormat="1" ht="99" customHeight="1" x14ac:dyDescent="0.25">
      <c r="A13" s="118"/>
      <c r="B13" s="179" t="s">
        <v>210</v>
      </c>
      <c r="C13" s="179" t="s">
        <v>161</v>
      </c>
      <c r="D13" s="191" t="s">
        <v>209</v>
      </c>
      <c r="E13" s="181" t="s">
        <v>69</v>
      </c>
      <c r="F13" s="182">
        <v>15</v>
      </c>
      <c r="G13" s="183"/>
      <c r="H13" s="184">
        <v>6071</v>
      </c>
      <c r="I13" s="185">
        <v>0</v>
      </c>
      <c r="J13" s="184">
        <f>H13</f>
        <v>6071</v>
      </c>
      <c r="K13" s="187">
        <f t="shared" ref="K13" si="30">IF(H13/15&lt;=SMG,0,I13/2)</f>
        <v>0</v>
      </c>
      <c r="L13" s="187">
        <f t="shared" ref="L13" si="31">H13+K13</f>
        <v>6071</v>
      </c>
      <c r="M13" s="187">
        <f t="shared" ref="M13" si="32">VLOOKUP(L13,Tarifa1,1)</f>
        <v>5514.76</v>
      </c>
      <c r="N13" s="187">
        <f t="shared" ref="N13" si="33">L13-M13</f>
        <v>556.23999999999978</v>
      </c>
      <c r="O13" s="188">
        <f t="shared" ref="O13" si="34">VLOOKUP(L13,Tarifa1,3)</f>
        <v>0.1792</v>
      </c>
      <c r="P13" s="187">
        <f t="shared" ref="P13" si="35">N13*O13</f>
        <v>99.678207999999955</v>
      </c>
      <c r="Q13" s="189">
        <f t="shared" ref="Q13" si="36">VLOOKUP(L13,Tarifa1,2)</f>
        <v>504.3</v>
      </c>
      <c r="R13" s="187">
        <f t="shared" ref="R13" si="37">P13+Q13</f>
        <v>603.978208</v>
      </c>
      <c r="S13" s="190">
        <f t="shared" ref="S13" si="38">VLOOKUP(L13,Credito1,2)</f>
        <v>0</v>
      </c>
      <c r="T13" s="187">
        <f t="shared" ref="T13" si="39">ROUND(R13-S13,2)</f>
        <v>603.98</v>
      </c>
      <c r="U13" s="186">
        <f>-IF(T13&gt;0,0,T13)</f>
        <v>0</v>
      </c>
      <c r="V13" s="186">
        <f t="shared" si="29"/>
        <v>603.98</v>
      </c>
      <c r="W13" s="186">
        <f>SUM(V13:V13)</f>
        <v>603.98</v>
      </c>
      <c r="X13" s="186">
        <f>J13+U13-W13+I13</f>
        <v>5467.02</v>
      </c>
      <c r="Y13" s="119"/>
      <c r="AE13" s="98"/>
    </row>
    <row r="14" spans="1:31" s="95" customFormat="1" ht="99" customHeight="1" x14ac:dyDescent="0.25">
      <c r="A14" s="118"/>
      <c r="B14" s="178" t="s">
        <v>225</v>
      </c>
      <c r="C14" s="178" t="s">
        <v>118</v>
      </c>
      <c r="D14" s="206" t="s">
        <v>224</v>
      </c>
      <c r="E14" s="181" t="s">
        <v>69</v>
      </c>
      <c r="F14" s="182">
        <v>15</v>
      </c>
      <c r="G14" s="183"/>
      <c r="H14" s="184">
        <v>6071</v>
      </c>
      <c r="I14" s="185">
        <v>0</v>
      </c>
      <c r="J14" s="184">
        <f>H14</f>
        <v>6071</v>
      </c>
      <c r="K14" s="187">
        <f t="shared" ref="K14" si="40">IF(H14/15&lt;=SMG,0,I14/2)</f>
        <v>0</v>
      </c>
      <c r="L14" s="187">
        <f t="shared" ref="L14" si="41">H14+K14</f>
        <v>6071</v>
      </c>
      <c r="M14" s="187">
        <f t="shared" ref="M14" si="42">VLOOKUP(L14,Tarifa1,1)</f>
        <v>5514.76</v>
      </c>
      <c r="N14" s="187">
        <f t="shared" ref="N14" si="43">L14-M14</f>
        <v>556.23999999999978</v>
      </c>
      <c r="O14" s="188">
        <f t="shared" ref="O14" si="44">VLOOKUP(L14,Tarifa1,3)</f>
        <v>0.1792</v>
      </c>
      <c r="P14" s="187">
        <f t="shared" ref="P14" si="45">N14*O14</f>
        <v>99.678207999999955</v>
      </c>
      <c r="Q14" s="189">
        <f t="shared" ref="Q14" si="46">VLOOKUP(L14,Tarifa1,2)</f>
        <v>504.3</v>
      </c>
      <c r="R14" s="187">
        <f t="shared" ref="R14" si="47">P14+Q14</f>
        <v>603.978208</v>
      </c>
      <c r="S14" s="190">
        <f t="shared" ref="S14" si="48">VLOOKUP(L14,Credito1,2)</f>
        <v>0</v>
      </c>
      <c r="T14" s="187">
        <f t="shared" ref="T14" si="49">ROUND(R14-S14,2)</f>
        <v>603.98</v>
      </c>
      <c r="U14" s="186">
        <f>-IF(T14&gt;0,0,T14)</f>
        <v>0</v>
      </c>
      <c r="V14" s="186">
        <f t="shared" ref="V14" si="50">IF(T14&lt;0,0,T14)</f>
        <v>603.98</v>
      </c>
      <c r="W14" s="186">
        <f>SUM(V14:V14)</f>
        <v>603.98</v>
      </c>
      <c r="X14" s="186">
        <f>J14+U14-W14+I14</f>
        <v>5467.02</v>
      </c>
      <c r="Y14" s="119"/>
      <c r="AE14" s="98"/>
    </row>
    <row r="15" spans="1:31" s="95" customFormat="1" ht="99" customHeight="1" x14ac:dyDescent="0.25">
      <c r="A15" s="118"/>
      <c r="B15" s="179" t="s">
        <v>116</v>
      </c>
      <c r="C15" s="179" t="s">
        <v>118</v>
      </c>
      <c r="D15" s="180" t="s">
        <v>70</v>
      </c>
      <c r="E15" s="181" t="s">
        <v>147</v>
      </c>
      <c r="F15" s="182">
        <v>15</v>
      </c>
      <c r="G15" s="183">
        <f>H15/F15</f>
        <v>553.5333333333333</v>
      </c>
      <c r="H15" s="184">
        <v>8303</v>
      </c>
      <c r="I15" s="185">
        <v>1791.31</v>
      </c>
      <c r="J15" s="186">
        <f>SUM(H15:I15)</f>
        <v>10094.31</v>
      </c>
      <c r="K15" s="187">
        <f t="shared" si="2"/>
        <v>895.65499999999997</v>
      </c>
      <c r="L15" s="187">
        <f t="shared" si="20"/>
        <v>9198.6550000000007</v>
      </c>
      <c r="M15" s="187">
        <f t="shared" si="3"/>
        <v>6602.71</v>
      </c>
      <c r="N15" s="187">
        <f t="shared" si="22"/>
        <v>2595.9450000000006</v>
      </c>
      <c r="O15" s="188">
        <f t="shared" si="4"/>
        <v>0.21360000000000001</v>
      </c>
      <c r="P15" s="187">
        <f t="shared" si="24"/>
        <v>554.49385200000017</v>
      </c>
      <c r="Q15" s="189">
        <f t="shared" si="5"/>
        <v>699.3</v>
      </c>
      <c r="R15" s="187">
        <f t="shared" si="26"/>
        <v>1253.7938520000002</v>
      </c>
      <c r="S15" s="190">
        <f t="shared" si="6"/>
        <v>0</v>
      </c>
      <c r="T15" s="187">
        <f t="shared" si="28"/>
        <v>1253.79</v>
      </c>
      <c r="U15" s="186">
        <f t="shared" ref="U15:U19" si="51">-IF(T15&gt;0,0,T15)</f>
        <v>0</v>
      </c>
      <c r="V15" s="186">
        <f t="shared" si="29"/>
        <v>1253.79</v>
      </c>
      <c r="W15" s="186">
        <f>SUM(V15:V15)</f>
        <v>1253.79</v>
      </c>
      <c r="X15" s="186">
        <f>J15+U15-W15</f>
        <v>8840.52</v>
      </c>
      <c r="Y15" s="119"/>
      <c r="AE15" s="98"/>
    </row>
    <row r="16" spans="1:31" s="95" customFormat="1" ht="99" customHeight="1" x14ac:dyDescent="0.25">
      <c r="A16" s="118"/>
      <c r="B16" s="179" t="s">
        <v>213</v>
      </c>
      <c r="C16" s="179" t="s">
        <v>118</v>
      </c>
      <c r="D16" s="191" t="s">
        <v>214</v>
      </c>
      <c r="E16" s="181" t="s">
        <v>172</v>
      </c>
      <c r="F16" s="182">
        <v>15</v>
      </c>
      <c r="G16" s="183"/>
      <c r="H16" s="184">
        <v>6643.5</v>
      </c>
      <c r="I16" s="185">
        <v>0</v>
      </c>
      <c r="J16" s="186">
        <f>SUM(H16:I16)</f>
        <v>6643.5</v>
      </c>
      <c r="K16" s="187">
        <f t="shared" si="2"/>
        <v>0</v>
      </c>
      <c r="L16" s="187">
        <f t="shared" si="20"/>
        <v>6643.5</v>
      </c>
      <c r="M16" s="187">
        <f t="shared" si="3"/>
        <v>6602.71</v>
      </c>
      <c r="N16" s="187">
        <f t="shared" si="22"/>
        <v>40.789999999999964</v>
      </c>
      <c r="O16" s="188">
        <f t="shared" si="4"/>
        <v>0.21360000000000001</v>
      </c>
      <c r="P16" s="187">
        <f t="shared" si="24"/>
        <v>8.7127439999999936</v>
      </c>
      <c r="Q16" s="189">
        <f t="shared" si="5"/>
        <v>699.3</v>
      </c>
      <c r="R16" s="187">
        <f t="shared" si="26"/>
        <v>708.012744</v>
      </c>
      <c r="S16" s="190">
        <f t="shared" si="6"/>
        <v>0</v>
      </c>
      <c r="T16" s="187">
        <f t="shared" si="28"/>
        <v>708.01</v>
      </c>
      <c r="U16" s="186">
        <f t="shared" si="51"/>
        <v>0</v>
      </c>
      <c r="V16" s="186">
        <f t="shared" si="29"/>
        <v>708.01</v>
      </c>
      <c r="W16" s="186">
        <f>SUM(V16:V16)</f>
        <v>708.01</v>
      </c>
      <c r="X16" s="186">
        <f>J16+U16-W16</f>
        <v>5935.49</v>
      </c>
      <c r="Y16" s="119"/>
      <c r="AE16" s="98"/>
    </row>
    <row r="17" spans="1:31" s="95" customFormat="1" ht="99" customHeight="1" x14ac:dyDescent="0.25">
      <c r="A17" s="219"/>
      <c r="B17" s="179" t="s">
        <v>184</v>
      </c>
      <c r="C17" s="179" t="s">
        <v>118</v>
      </c>
      <c r="D17" s="191" t="s">
        <v>176</v>
      </c>
      <c r="E17" s="181" t="s">
        <v>172</v>
      </c>
      <c r="F17" s="182">
        <v>15</v>
      </c>
      <c r="G17" s="183"/>
      <c r="H17" s="184">
        <v>8303</v>
      </c>
      <c r="I17" s="185">
        <v>0</v>
      </c>
      <c r="J17" s="186">
        <f t="shared" ref="J17:J18" si="52">SUM(H17:I17)</f>
        <v>8303</v>
      </c>
      <c r="K17" s="187">
        <f t="shared" ref="K17:K18" si="53">IF(H17/15&lt;=SMG,0,I17/2)</f>
        <v>0</v>
      </c>
      <c r="L17" s="187">
        <f t="shared" ref="L17:L18" si="54">H17+K17</f>
        <v>8303</v>
      </c>
      <c r="M17" s="187">
        <f t="shared" ref="M17:M18" si="55">VLOOKUP(L17,Tarifa1,1)</f>
        <v>6602.71</v>
      </c>
      <c r="N17" s="187">
        <f t="shared" ref="N17:N18" si="56">L17-M17</f>
        <v>1700.29</v>
      </c>
      <c r="O17" s="188">
        <f t="shared" ref="O17:O18" si="57">VLOOKUP(L17,Tarifa1,3)</f>
        <v>0.21360000000000001</v>
      </c>
      <c r="P17" s="187">
        <f t="shared" ref="P17:P18" si="58">N17*O17</f>
        <v>363.18194399999999</v>
      </c>
      <c r="Q17" s="189">
        <f t="shared" ref="Q17:Q18" si="59">VLOOKUP(L17,Tarifa1,2)</f>
        <v>699.3</v>
      </c>
      <c r="R17" s="187">
        <f t="shared" ref="R17:R18" si="60">P17+Q17</f>
        <v>1062.4819439999999</v>
      </c>
      <c r="S17" s="190">
        <f t="shared" ref="S17:S18" si="61">VLOOKUP(L17,Credito1,2)</f>
        <v>0</v>
      </c>
      <c r="T17" s="187">
        <f t="shared" ref="T17:T18" si="62">ROUND(R17-S17,2)</f>
        <v>1062.48</v>
      </c>
      <c r="U17" s="186">
        <f t="shared" si="51"/>
        <v>0</v>
      </c>
      <c r="V17" s="186">
        <f t="shared" si="29"/>
        <v>1062.48</v>
      </c>
      <c r="W17" s="186">
        <f>SUM(V17:V17)</f>
        <v>1062.48</v>
      </c>
      <c r="X17" s="186">
        <f>J17+U17-W17</f>
        <v>7240.52</v>
      </c>
      <c r="Y17" s="119"/>
      <c r="AE17" s="98"/>
    </row>
    <row r="18" spans="1:31" s="95" customFormat="1" ht="99" customHeight="1" x14ac:dyDescent="0.25">
      <c r="A18" s="118"/>
      <c r="B18" s="179" t="s">
        <v>192</v>
      </c>
      <c r="C18" s="179" t="s">
        <v>118</v>
      </c>
      <c r="D18" s="191" t="s">
        <v>193</v>
      </c>
      <c r="E18" s="181" t="s">
        <v>172</v>
      </c>
      <c r="F18" s="182">
        <v>15</v>
      </c>
      <c r="G18" s="183"/>
      <c r="H18" s="184">
        <v>8303</v>
      </c>
      <c r="I18" s="185">
        <v>0</v>
      </c>
      <c r="J18" s="186">
        <f t="shared" si="52"/>
        <v>8303</v>
      </c>
      <c r="K18" s="187">
        <f t="shared" si="53"/>
        <v>0</v>
      </c>
      <c r="L18" s="187">
        <f t="shared" si="54"/>
        <v>8303</v>
      </c>
      <c r="M18" s="187">
        <f t="shared" si="55"/>
        <v>6602.71</v>
      </c>
      <c r="N18" s="187">
        <f t="shared" si="56"/>
        <v>1700.29</v>
      </c>
      <c r="O18" s="188">
        <f t="shared" si="57"/>
        <v>0.21360000000000001</v>
      </c>
      <c r="P18" s="187">
        <f t="shared" si="58"/>
        <v>363.18194399999999</v>
      </c>
      <c r="Q18" s="189">
        <f t="shared" si="59"/>
        <v>699.3</v>
      </c>
      <c r="R18" s="187">
        <f t="shared" si="60"/>
        <v>1062.4819439999999</v>
      </c>
      <c r="S18" s="190">
        <f t="shared" si="61"/>
        <v>0</v>
      </c>
      <c r="T18" s="187">
        <f t="shared" si="62"/>
        <v>1062.48</v>
      </c>
      <c r="U18" s="186">
        <f t="shared" si="51"/>
        <v>0</v>
      </c>
      <c r="V18" s="186">
        <f t="shared" si="29"/>
        <v>1062.48</v>
      </c>
      <c r="W18" s="186">
        <f>SUM(V18:V18)</f>
        <v>1062.48</v>
      </c>
      <c r="X18" s="186">
        <f>J18+U18-W18</f>
        <v>7240.52</v>
      </c>
      <c r="Y18" s="119"/>
      <c r="AE18" s="98"/>
    </row>
    <row r="19" spans="1:31" s="95" customFormat="1" ht="99" customHeight="1" x14ac:dyDescent="0.25">
      <c r="A19" s="118"/>
      <c r="B19" s="179" t="s">
        <v>186</v>
      </c>
      <c r="C19" s="179" t="s">
        <v>118</v>
      </c>
      <c r="D19" s="191" t="s">
        <v>173</v>
      </c>
      <c r="E19" s="181" t="s">
        <v>303</v>
      </c>
      <c r="F19" s="182">
        <v>15</v>
      </c>
      <c r="G19" s="183">
        <f t="shared" ref="G19" si="63">H19/F19</f>
        <v>301.13333333333333</v>
      </c>
      <c r="H19" s="184">
        <v>4517</v>
      </c>
      <c r="I19" s="185">
        <v>0</v>
      </c>
      <c r="J19" s="186">
        <f t="shared" ref="J19" si="64">SUM(H19:I19)</f>
        <v>4517</v>
      </c>
      <c r="K19" s="187">
        <f t="shared" ref="K19" si="65">IF(H19/15&lt;=SMG,0,I19/2)</f>
        <v>0</v>
      </c>
      <c r="L19" s="187">
        <f t="shared" ref="L19" si="66">H19+K19</f>
        <v>4517</v>
      </c>
      <c r="M19" s="187">
        <f t="shared" ref="M19" si="67">VLOOKUP(L19,Tarifa1,1)</f>
        <v>2699.41</v>
      </c>
      <c r="N19" s="187">
        <f t="shared" ref="N19" si="68">L19-M19</f>
        <v>1817.5900000000001</v>
      </c>
      <c r="O19" s="188">
        <f t="shared" ref="O19" si="69">VLOOKUP(L19,Tarifa1,3)</f>
        <v>0.10879999999999999</v>
      </c>
      <c r="P19" s="187">
        <f t="shared" ref="P19" si="70">N19*O19</f>
        <v>197.753792</v>
      </c>
      <c r="Q19" s="189">
        <f t="shared" ref="Q19" si="71">VLOOKUP(L19,Tarifa1,2)</f>
        <v>158.55000000000001</v>
      </c>
      <c r="R19" s="187">
        <f t="shared" ref="R19" si="72">P19+Q19</f>
        <v>356.30379200000004</v>
      </c>
      <c r="S19" s="190">
        <f t="shared" ref="S19" si="73">VLOOKUP(L19,Credito1,2)</f>
        <v>0</v>
      </c>
      <c r="T19" s="187">
        <f t="shared" ref="T19" si="74">ROUND(R19-S19,2)</f>
        <v>356.3</v>
      </c>
      <c r="U19" s="186">
        <f t="shared" si="51"/>
        <v>0</v>
      </c>
      <c r="V19" s="186">
        <f t="shared" ref="V19" si="75">IF(T19&lt;0,0,T19)</f>
        <v>356.3</v>
      </c>
      <c r="W19" s="186">
        <f>SUM(V19:V19)</f>
        <v>356.3</v>
      </c>
      <c r="X19" s="186">
        <f>J19+U19-W19</f>
        <v>4160.7</v>
      </c>
      <c r="Y19" s="119"/>
      <c r="AE19" s="98"/>
    </row>
    <row r="20" spans="1:31" s="52" customFormat="1" ht="39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 t="shared" ref="H20:X20" si="76">SUM(H9:H19)</f>
        <v>80496.39</v>
      </c>
      <c r="I20" s="193">
        <f t="shared" si="76"/>
        <v>4905.67</v>
      </c>
      <c r="J20" s="193">
        <f t="shared" si="76"/>
        <v>84079.01</v>
      </c>
      <c r="K20" s="194">
        <f t="shared" si="76"/>
        <v>2452.835</v>
      </c>
      <c r="L20" s="194">
        <f t="shared" si="76"/>
        <v>82949.225000000006</v>
      </c>
      <c r="M20" s="194">
        <f t="shared" si="76"/>
        <v>64691.959999999992</v>
      </c>
      <c r="N20" s="194">
        <f t="shared" si="76"/>
        <v>18257.264999999999</v>
      </c>
      <c r="O20" s="194">
        <f t="shared" si="76"/>
        <v>2.1224000000000003</v>
      </c>
      <c r="P20" s="194">
        <f t="shared" si="76"/>
        <v>3647.7934759999994</v>
      </c>
      <c r="Q20" s="194">
        <f t="shared" si="76"/>
        <v>6443.2500000000009</v>
      </c>
      <c r="R20" s="194">
        <f t="shared" si="76"/>
        <v>10091.043475999999</v>
      </c>
      <c r="S20" s="194">
        <f t="shared" si="76"/>
        <v>0</v>
      </c>
      <c r="T20" s="194">
        <f t="shared" si="76"/>
        <v>10091.039999999999</v>
      </c>
      <c r="U20" s="193">
        <f t="shared" si="76"/>
        <v>0</v>
      </c>
      <c r="V20" s="193">
        <f t="shared" si="76"/>
        <v>10091.039999999999</v>
      </c>
      <c r="W20" s="193">
        <f t="shared" si="76"/>
        <v>10091.039999999999</v>
      </c>
      <c r="X20" s="193">
        <f t="shared" si="76"/>
        <v>75311.02</v>
      </c>
      <c r="Y20" s="120"/>
    </row>
    <row r="21" spans="1:31" s="52" customFormat="1" ht="39" customHeight="1" thickTop="1" x14ac:dyDescent="0.25">
      <c r="A21" s="112"/>
      <c r="B21" s="112"/>
      <c r="C21" s="112"/>
      <c r="D21" s="112"/>
      <c r="E21" s="112"/>
      <c r="F21" s="112"/>
      <c r="G21" s="112"/>
      <c r="H21" s="113"/>
      <c r="I21" s="113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3"/>
      <c r="V21" s="113"/>
      <c r="W21" s="113"/>
      <c r="X21" s="113"/>
    </row>
    <row r="22" spans="1:31" s="52" customFormat="1" ht="39" customHeight="1" x14ac:dyDescent="0.25">
      <c r="A22" s="112"/>
      <c r="B22" s="112"/>
      <c r="C22" s="112"/>
      <c r="D22" s="112"/>
      <c r="E22" s="112"/>
      <c r="F22" s="112"/>
      <c r="G22" s="112"/>
      <c r="H22" s="113"/>
      <c r="I22" s="113"/>
      <c r="J22" s="113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3"/>
      <c r="V22" s="113"/>
      <c r="W22" s="113"/>
      <c r="X22" s="113"/>
    </row>
    <row r="23" spans="1:31" s="52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6:D19 D12:D13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0"/>
  <sheetViews>
    <sheetView topLeftCell="D19" zoomScale="82" zoomScaleNormal="82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73" t="s">
        <v>1</v>
      </c>
      <c r="I6" s="274"/>
      <c r="J6" s="275"/>
      <c r="K6" s="50" t="s">
        <v>26</v>
      </c>
      <c r="L6" s="51"/>
      <c r="M6" s="276" t="s">
        <v>9</v>
      </c>
      <c r="N6" s="277"/>
      <c r="O6" s="277"/>
      <c r="P6" s="277"/>
      <c r="Q6" s="277"/>
      <c r="R6" s="278"/>
      <c r="S6" s="50" t="s">
        <v>30</v>
      </c>
      <c r="T6" s="50" t="s">
        <v>10</v>
      </c>
      <c r="U6" s="49" t="s">
        <v>54</v>
      </c>
      <c r="V6" s="279" t="s">
        <v>2</v>
      </c>
      <c r="W6" s="280"/>
      <c r="X6" s="49" t="s">
        <v>0</v>
      </c>
      <c r="Y6" s="48"/>
    </row>
    <row r="7" spans="1:25" s="52" customFormat="1" ht="24" x14ac:dyDescent="0.2">
      <c r="A7" s="53" t="s">
        <v>109</v>
      </c>
      <c r="B7" s="47" t="s">
        <v>104</v>
      </c>
      <c r="C7" s="47" t="s">
        <v>127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59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7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58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60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8" t="s">
        <v>15</v>
      </c>
      <c r="R8" s="50" t="s">
        <v>39</v>
      </c>
      <c r="S8" s="55" t="s">
        <v>19</v>
      </c>
      <c r="T8" s="56" t="s">
        <v>128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99"/>
      <c r="B9" s="126"/>
      <c r="C9" s="126"/>
      <c r="D9" s="126" t="s">
        <v>72</v>
      </c>
      <c r="E9" s="126" t="s">
        <v>62</v>
      </c>
      <c r="F9" s="126"/>
      <c r="G9" s="126"/>
      <c r="H9" s="127">
        <f>SUM(H10:H20)</f>
        <v>39431.19</v>
      </c>
      <c r="I9" s="127">
        <f>SUM(I10:I20)</f>
        <v>2047.4</v>
      </c>
      <c r="J9" s="127">
        <f>SUM(J10:J20)</f>
        <v>41478.589999999997</v>
      </c>
      <c r="K9" s="126"/>
      <c r="L9" s="126"/>
      <c r="M9" s="126"/>
      <c r="N9" s="126"/>
      <c r="O9" s="126"/>
      <c r="P9" s="126"/>
      <c r="Q9" s="128"/>
      <c r="R9" s="126"/>
      <c r="S9" s="126"/>
      <c r="T9" s="126"/>
      <c r="U9" s="127">
        <f>SUM(U10:U20)</f>
        <v>41.47</v>
      </c>
      <c r="V9" s="127">
        <f>SUM(V10:V20)</f>
        <v>2181.5</v>
      </c>
      <c r="W9" s="127">
        <f>SUM(W10:W20)</f>
        <v>2181.5</v>
      </c>
      <c r="X9" s="127">
        <f>SUM(X10:X20)</f>
        <v>39338.559999999998</v>
      </c>
      <c r="Y9" s="100"/>
    </row>
    <row r="10" spans="1:25" s="4" customFormat="1" ht="80.099999999999994" customHeight="1" x14ac:dyDescent="0.25">
      <c r="A10" s="44"/>
      <c r="B10" s="179" t="s">
        <v>187</v>
      </c>
      <c r="C10" s="179" t="s">
        <v>118</v>
      </c>
      <c r="D10" s="180" t="s">
        <v>181</v>
      </c>
      <c r="E10" s="181" t="s">
        <v>180</v>
      </c>
      <c r="F10" s="182">
        <v>15</v>
      </c>
      <c r="G10" s="183">
        <f>H10/F10</f>
        <v>226.8</v>
      </c>
      <c r="H10" s="184">
        <v>3402</v>
      </c>
      <c r="I10" s="185">
        <v>0</v>
      </c>
      <c r="J10" s="186">
        <f t="shared" ref="J10" si="0">SUM(H10:I10)</f>
        <v>3402</v>
      </c>
      <c r="K10" s="187">
        <f t="shared" ref="K10:K14" si="1">IF(H10/15&lt;=SMG,0,I10/2)</f>
        <v>0</v>
      </c>
      <c r="L10" s="187">
        <f t="shared" ref="L10" si="2">H10+K10</f>
        <v>3402</v>
      </c>
      <c r="M10" s="187">
        <f t="shared" ref="M10:M14" si="3">VLOOKUP(L10,Tarifa1,1)</f>
        <v>2699.41</v>
      </c>
      <c r="N10" s="187">
        <f t="shared" ref="N10" si="4">L10-M10</f>
        <v>702.59000000000015</v>
      </c>
      <c r="O10" s="188">
        <f t="shared" ref="O10:O14" si="5">VLOOKUP(L10,Tarifa1,3)</f>
        <v>0.10879999999999999</v>
      </c>
      <c r="P10" s="187">
        <f t="shared" ref="P10" si="6">N10*O10</f>
        <v>76.441792000000007</v>
      </c>
      <c r="Q10" s="189">
        <f t="shared" ref="Q10:Q14" si="7">VLOOKUP(L10,Tarifa1,2)</f>
        <v>158.55000000000001</v>
      </c>
      <c r="R10" s="187">
        <f t="shared" ref="R10" si="8">P10+Q10</f>
        <v>234.99179200000003</v>
      </c>
      <c r="S10" s="190">
        <f t="shared" ref="S10:S14" si="9">VLOOKUP(L10,Credito1,2)</f>
        <v>125.1</v>
      </c>
      <c r="T10" s="187">
        <f t="shared" ref="T10" si="10">ROUND(R10-S10,2)</f>
        <v>109.89</v>
      </c>
      <c r="U10" s="186">
        <f t="shared" ref="U10" si="11">-IF(T10&gt;0,0,T10)</f>
        <v>0</v>
      </c>
      <c r="V10" s="186">
        <f t="shared" ref="V10" si="12">IF(T10&lt;0,0,T10)</f>
        <v>109.89</v>
      </c>
      <c r="W10" s="186">
        <f>SUM(V10:V10)</f>
        <v>109.89</v>
      </c>
      <c r="X10" s="186">
        <f>J10+U10-W10</f>
        <v>3292.11</v>
      </c>
      <c r="Y10" s="91"/>
    </row>
    <row r="11" spans="1:25" s="4" customFormat="1" ht="80.099999999999994" customHeight="1" x14ac:dyDescent="0.25">
      <c r="A11" s="44"/>
      <c r="B11" s="179" t="s">
        <v>106</v>
      </c>
      <c r="C11" s="179" t="s">
        <v>118</v>
      </c>
      <c r="D11" s="181" t="s">
        <v>73</v>
      </c>
      <c r="E11" s="180" t="s">
        <v>74</v>
      </c>
      <c r="F11" s="182">
        <v>15</v>
      </c>
      <c r="G11" s="183">
        <f>H11/F11</f>
        <v>230.5</v>
      </c>
      <c r="H11" s="184">
        <v>3457.5</v>
      </c>
      <c r="I11" s="185">
        <v>0</v>
      </c>
      <c r="J11" s="186">
        <f t="shared" ref="J11" si="13">SUM(H11:I11)</f>
        <v>3457.5</v>
      </c>
      <c r="K11" s="187">
        <f t="shared" si="1"/>
        <v>0</v>
      </c>
      <c r="L11" s="187">
        <f t="shared" ref="L11:L17" si="14">H11+K11</f>
        <v>3457.5</v>
      </c>
      <c r="M11" s="187">
        <f t="shared" si="3"/>
        <v>2699.41</v>
      </c>
      <c r="N11" s="187">
        <f t="shared" ref="N11:N17" si="15">L11-M11</f>
        <v>758.09000000000015</v>
      </c>
      <c r="O11" s="188">
        <f t="shared" si="5"/>
        <v>0.10879999999999999</v>
      </c>
      <c r="P11" s="187">
        <f t="shared" ref="P11:P17" si="16">N11*O11</f>
        <v>82.480192000000017</v>
      </c>
      <c r="Q11" s="189">
        <f t="shared" si="7"/>
        <v>158.55000000000001</v>
      </c>
      <c r="R11" s="187">
        <f t="shared" ref="R11:R17" si="17">P11+Q11</f>
        <v>241.03019200000003</v>
      </c>
      <c r="S11" s="190">
        <f t="shared" si="9"/>
        <v>125.1</v>
      </c>
      <c r="T11" s="187">
        <f t="shared" ref="T11:T17" si="18">ROUND(R11-S11,2)</f>
        <v>115.93</v>
      </c>
      <c r="U11" s="186">
        <f t="shared" ref="U11:U12" si="19">-IF(T11&gt;0,0,T11)</f>
        <v>0</v>
      </c>
      <c r="V11" s="186">
        <f t="shared" ref="V11:V12" si="20">IF(T11&lt;0,0,T11)</f>
        <v>115.93</v>
      </c>
      <c r="W11" s="186">
        <f>SUM(V11:V11)</f>
        <v>115.93</v>
      </c>
      <c r="X11" s="186">
        <f>J11+U11-W11</f>
        <v>3341.57</v>
      </c>
      <c r="Y11" s="91"/>
    </row>
    <row r="12" spans="1:25" s="4" customFormat="1" ht="80.099999999999994" customHeight="1" x14ac:dyDescent="0.25">
      <c r="A12" s="44"/>
      <c r="B12" s="179" t="s">
        <v>217</v>
      </c>
      <c r="C12" s="179" t="s">
        <v>118</v>
      </c>
      <c r="D12" s="180" t="s">
        <v>218</v>
      </c>
      <c r="E12" s="181" t="s">
        <v>180</v>
      </c>
      <c r="F12" s="182">
        <v>15</v>
      </c>
      <c r="G12" s="183"/>
      <c r="H12" s="184">
        <v>3402</v>
      </c>
      <c r="I12" s="185">
        <v>661.06</v>
      </c>
      <c r="J12" s="186">
        <f t="shared" ref="J12" si="21">SUM(H12:I12)</f>
        <v>4063.06</v>
      </c>
      <c r="K12" s="187">
        <f t="shared" si="1"/>
        <v>330.53</v>
      </c>
      <c r="L12" s="187">
        <f t="shared" si="14"/>
        <v>3732.5299999999997</v>
      </c>
      <c r="M12" s="187">
        <f t="shared" si="3"/>
        <v>2699.41</v>
      </c>
      <c r="N12" s="187">
        <f t="shared" si="15"/>
        <v>1033.1199999999999</v>
      </c>
      <c r="O12" s="188">
        <f t="shared" si="5"/>
        <v>0.10879999999999999</v>
      </c>
      <c r="P12" s="187">
        <f t="shared" si="16"/>
        <v>112.40345599999998</v>
      </c>
      <c r="Q12" s="189">
        <f t="shared" si="7"/>
        <v>158.55000000000001</v>
      </c>
      <c r="R12" s="187">
        <f t="shared" si="17"/>
        <v>270.95345599999996</v>
      </c>
      <c r="S12" s="190">
        <f t="shared" si="9"/>
        <v>0</v>
      </c>
      <c r="T12" s="187">
        <f t="shared" si="18"/>
        <v>270.95</v>
      </c>
      <c r="U12" s="186">
        <f t="shared" si="19"/>
        <v>0</v>
      </c>
      <c r="V12" s="186">
        <f t="shared" si="20"/>
        <v>270.95</v>
      </c>
      <c r="W12" s="186">
        <f>SUM(V12:V12)</f>
        <v>270.95</v>
      </c>
      <c r="X12" s="186">
        <f>J12+U12-W12</f>
        <v>3792.11</v>
      </c>
      <c r="Y12" s="91"/>
    </row>
    <row r="13" spans="1:25" s="4" customFormat="1" ht="80.099999999999994" customHeight="1" x14ac:dyDescent="0.25">
      <c r="A13" s="44"/>
      <c r="B13" s="179" t="s">
        <v>135</v>
      </c>
      <c r="C13" s="179" t="s">
        <v>118</v>
      </c>
      <c r="D13" s="206" t="s">
        <v>134</v>
      </c>
      <c r="E13" s="181" t="s">
        <v>105</v>
      </c>
      <c r="F13" s="182">
        <v>15</v>
      </c>
      <c r="G13" s="183">
        <f>H13/F13</f>
        <v>251.72266666666667</v>
      </c>
      <c r="H13" s="184">
        <v>3775.84</v>
      </c>
      <c r="I13" s="185">
        <v>0</v>
      </c>
      <c r="J13" s="186">
        <f t="shared" ref="J13" si="22">SUM(H13:I13)</f>
        <v>3775.84</v>
      </c>
      <c r="K13" s="187">
        <f t="shared" si="1"/>
        <v>0</v>
      </c>
      <c r="L13" s="187">
        <f t="shared" si="14"/>
        <v>3775.84</v>
      </c>
      <c r="M13" s="187">
        <f t="shared" si="3"/>
        <v>2699.41</v>
      </c>
      <c r="N13" s="187">
        <f t="shared" si="15"/>
        <v>1076.4300000000003</v>
      </c>
      <c r="O13" s="188">
        <f t="shared" si="5"/>
        <v>0.10879999999999999</v>
      </c>
      <c r="P13" s="187">
        <f t="shared" si="16"/>
        <v>117.11558400000003</v>
      </c>
      <c r="Q13" s="189">
        <f t="shared" si="7"/>
        <v>158.55000000000001</v>
      </c>
      <c r="R13" s="187">
        <f t="shared" si="17"/>
        <v>275.66558400000002</v>
      </c>
      <c r="S13" s="190">
        <f t="shared" si="9"/>
        <v>0</v>
      </c>
      <c r="T13" s="187">
        <f t="shared" si="18"/>
        <v>275.67</v>
      </c>
      <c r="U13" s="186">
        <f>-IF(T13&gt;0,0,T13)</f>
        <v>0</v>
      </c>
      <c r="V13" s="186">
        <f>IF(T13&lt;0,0,T13)</f>
        <v>275.67</v>
      </c>
      <c r="W13" s="186">
        <f>SUM(V13:V13)</f>
        <v>275.67</v>
      </c>
      <c r="X13" s="186">
        <f>J13+U13-W13</f>
        <v>3500.17</v>
      </c>
      <c r="Y13" s="91"/>
    </row>
    <row r="14" spans="1:25" s="4" customFormat="1" ht="80.099999999999994" customHeight="1" x14ac:dyDescent="0.25">
      <c r="A14" s="44"/>
      <c r="B14" s="179" t="s">
        <v>201</v>
      </c>
      <c r="C14" s="179" t="s">
        <v>118</v>
      </c>
      <c r="D14" s="202" t="s">
        <v>202</v>
      </c>
      <c r="E14" s="181" t="s">
        <v>275</v>
      </c>
      <c r="F14" s="182">
        <v>15</v>
      </c>
      <c r="G14" s="183"/>
      <c r="H14" s="184">
        <v>3303.5</v>
      </c>
      <c r="I14" s="185">
        <v>0</v>
      </c>
      <c r="J14" s="186">
        <f t="shared" ref="J14" si="23">SUM(H14:I14)</f>
        <v>3303.5</v>
      </c>
      <c r="K14" s="187">
        <f t="shared" si="1"/>
        <v>0</v>
      </c>
      <c r="L14" s="187">
        <f t="shared" si="14"/>
        <v>3303.5</v>
      </c>
      <c r="M14" s="187">
        <f t="shared" si="3"/>
        <v>2699.41</v>
      </c>
      <c r="N14" s="187">
        <f t="shared" si="15"/>
        <v>604.09000000000015</v>
      </c>
      <c r="O14" s="188">
        <f t="shared" si="5"/>
        <v>0.10879999999999999</v>
      </c>
      <c r="P14" s="187">
        <f t="shared" si="16"/>
        <v>65.724992000000015</v>
      </c>
      <c r="Q14" s="189">
        <f t="shared" si="7"/>
        <v>158.55000000000001</v>
      </c>
      <c r="R14" s="187">
        <f t="shared" si="17"/>
        <v>224.27499200000003</v>
      </c>
      <c r="S14" s="190">
        <f t="shared" si="9"/>
        <v>125.1</v>
      </c>
      <c r="T14" s="187">
        <f t="shared" si="18"/>
        <v>99.17</v>
      </c>
      <c r="U14" s="186">
        <f t="shared" ref="U14" si="24">-IF(T14&gt;0,0,T14)</f>
        <v>0</v>
      </c>
      <c r="V14" s="186">
        <f t="shared" ref="V14" si="25">IF(T14&lt;0,0,T14)</f>
        <v>99.17</v>
      </c>
      <c r="W14" s="186">
        <f>SUM(V14:V14)</f>
        <v>99.17</v>
      </c>
      <c r="X14" s="186">
        <f>J14+U14-W14</f>
        <v>3204.33</v>
      </c>
      <c r="Y14" s="91"/>
    </row>
    <row r="15" spans="1:25" s="4" customFormat="1" ht="80.099999999999994" customHeight="1" x14ac:dyDescent="0.25">
      <c r="A15" s="44"/>
      <c r="B15" s="179" t="s">
        <v>276</v>
      </c>
      <c r="C15" s="179" t="s">
        <v>118</v>
      </c>
      <c r="D15" s="206" t="s">
        <v>278</v>
      </c>
      <c r="E15" s="181" t="s">
        <v>277</v>
      </c>
      <c r="F15" s="182">
        <v>15</v>
      </c>
      <c r="G15" s="183"/>
      <c r="H15" s="184">
        <v>2304.35</v>
      </c>
      <c r="I15" s="185">
        <v>0</v>
      </c>
      <c r="J15" s="186">
        <f>SUM(H15:I15)</f>
        <v>2304.35</v>
      </c>
      <c r="K15" s="187">
        <f>IF(H15/15&lt;=SMG,0,I15/2)</f>
        <v>0</v>
      </c>
      <c r="L15" s="187">
        <f t="shared" si="14"/>
        <v>2304.35</v>
      </c>
      <c r="M15" s="187">
        <f>VLOOKUP(L15,Tarifa1,1)</f>
        <v>318.01</v>
      </c>
      <c r="N15" s="187">
        <f t="shared" si="15"/>
        <v>1986.34</v>
      </c>
      <c r="O15" s="188">
        <f>VLOOKUP(L15,Tarifa1,3)</f>
        <v>6.4000000000000001E-2</v>
      </c>
      <c r="P15" s="187">
        <f t="shared" si="16"/>
        <v>127.12576</v>
      </c>
      <c r="Q15" s="189">
        <f>VLOOKUP(L15,Tarifa1,2)</f>
        <v>6.15</v>
      </c>
      <c r="R15" s="187">
        <f t="shared" si="17"/>
        <v>133.27575999999999</v>
      </c>
      <c r="S15" s="187">
        <f>VLOOKUP(L15,Credito1,2)</f>
        <v>174.75</v>
      </c>
      <c r="T15" s="187">
        <f t="shared" si="18"/>
        <v>-41.47</v>
      </c>
      <c r="U15" s="186">
        <f>-IF(T15&gt;0,0,T15)</f>
        <v>41.47</v>
      </c>
      <c r="V15" s="186">
        <f>IF(T15&lt;0,0,T15)</f>
        <v>0</v>
      </c>
      <c r="W15" s="186">
        <f>SUM(V15:V15)</f>
        <v>0</v>
      </c>
      <c r="X15" s="186">
        <f>J15+U15-W15</f>
        <v>2345.8199999999997</v>
      </c>
      <c r="Y15" s="91"/>
    </row>
    <row r="16" spans="1:25" s="4" customFormat="1" ht="80.099999999999994" customHeight="1" x14ac:dyDescent="0.25">
      <c r="A16" s="44"/>
      <c r="B16" s="178" t="s">
        <v>245</v>
      </c>
      <c r="C16" s="179" t="s">
        <v>118</v>
      </c>
      <c r="D16" s="181" t="s">
        <v>264</v>
      </c>
      <c r="E16" s="180" t="s">
        <v>75</v>
      </c>
      <c r="F16" s="182">
        <v>15</v>
      </c>
      <c r="G16" s="183">
        <f>H16/F16</f>
        <v>410</v>
      </c>
      <c r="H16" s="184">
        <v>6150</v>
      </c>
      <c r="I16" s="185">
        <v>878.73</v>
      </c>
      <c r="J16" s="186">
        <f>SUM(H16:I16)</f>
        <v>7028.73</v>
      </c>
      <c r="K16" s="187">
        <f>IF(H16/15&lt;=SMG,0,I16/2)</f>
        <v>439.36500000000001</v>
      </c>
      <c r="L16" s="187">
        <f t="shared" si="14"/>
        <v>6589.3649999999998</v>
      </c>
      <c r="M16" s="187">
        <f>VLOOKUP(L16,Tarifa1,1)</f>
        <v>5514.76</v>
      </c>
      <c r="N16" s="187">
        <f t="shared" si="15"/>
        <v>1074.6049999999996</v>
      </c>
      <c r="O16" s="188">
        <f>VLOOKUP(L16,Tarifa1,3)</f>
        <v>0.1792</v>
      </c>
      <c r="P16" s="187">
        <f t="shared" si="16"/>
        <v>192.56921599999993</v>
      </c>
      <c r="Q16" s="189">
        <f>VLOOKUP(L16,Tarifa1,2)</f>
        <v>504.3</v>
      </c>
      <c r="R16" s="187">
        <f t="shared" si="17"/>
        <v>696.86921599999994</v>
      </c>
      <c r="S16" s="190">
        <f>VLOOKUP(L16,Credito1,2)</f>
        <v>0</v>
      </c>
      <c r="T16" s="187">
        <f t="shared" si="18"/>
        <v>696.87</v>
      </c>
      <c r="U16" s="186">
        <f>-IF(T16&gt;0,0,T16)</f>
        <v>0</v>
      </c>
      <c r="V16" s="186">
        <f>IF(T16&lt;0,0,T16)</f>
        <v>696.87</v>
      </c>
      <c r="W16" s="186">
        <f>SUM(V16:V16)</f>
        <v>696.87</v>
      </c>
      <c r="X16" s="186">
        <f>J16+U16-W16</f>
        <v>6331.86</v>
      </c>
      <c r="Y16" s="91"/>
    </row>
    <row r="17" spans="1:31" s="4" customFormat="1" ht="80.099999999999994" customHeight="1" x14ac:dyDescent="0.25">
      <c r="A17" s="44"/>
      <c r="B17" s="178" t="s">
        <v>246</v>
      </c>
      <c r="C17" s="179" t="s">
        <v>118</v>
      </c>
      <c r="D17" s="180" t="s">
        <v>263</v>
      </c>
      <c r="E17" s="181" t="s">
        <v>179</v>
      </c>
      <c r="F17" s="182">
        <v>15</v>
      </c>
      <c r="G17" s="183"/>
      <c r="H17" s="184">
        <v>3868.5</v>
      </c>
      <c r="I17" s="185">
        <v>507.61</v>
      </c>
      <c r="J17" s="186">
        <f>SUM(H17:I17)</f>
        <v>4376.1099999999997</v>
      </c>
      <c r="K17" s="187">
        <f>IF(H17/15&lt;=SMG,0,I17/2)</f>
        <v>253.80500000000001</v>
      </c>
      <c r="L17" s="187">
        <f t="shared" si="14"/>
        <v>4122.3050000000003</v>
      </c>
      <c r="M17" s="187">
        <f>VLOOKUP(L17,Tarifa1,1)</f>
        <v>2699.41</v>
      </c>
      <c r="N17" s="187">
        <f t="shared" si="15"/>
        <v>1422.8950000000004</v>
      </c>
      <c r="O17" s="188">
        <f>VLOOKUP(L17,Tarifa1,3)</f>
        <v>0.10879999999999999</v>
      </c>
      <c r="P17" s="187">
        <f t="shared" si="16"/>
        <v>154.81097600000004</v>
      </c>
      <c r="Q17" s="189">
        <f>VLOOKUP(L17,Tarifa1,2)</f>
        <v>158.55000000000001</v>
      </c>
      <c r="R17" s="187">
        <f t="shared" si="17"/>
        <v>313.36097600000005</v>
      </c>
      <c r="S17" s="190">
        <f>VLOOKUP(L17,Credito1,2)</f>
        <v>0</v>
      </c>
      <c r="T17" s="187">
        <f t="shared" si="18"/>
        <v>313.36</v>
      </c>
      <c r="U17" s="186">
        <f>-IF(T17&gt;0,0,T17)</f>
        <v>0</v>
      </c>
      <c r="V17" s="195">
        <f>IF(T17&lt;0,0,T17)</f>
        <v>313.36</v>
      </c>
      <c r="W17" s="186">
        <f>SUM(V17:V17)</f>
        <v>313.36</v>
      </c>
      <c r="X17" s="186">
        <f>J17+U17-W17</f>
        <v>4062.7499999999995</v>
      </c>
      <c r="Y17" s="91"/>
    </row>
    <row r="18" spans="1:31" s="4" customFormat="1" ht="80.099999999999994" customHeight="1" x14ac:dyDescent="0.25">
      <c r="A18" s="121"/>
      <c r="B18" s="178" t="s">
        <v>215</v>
      </c>
      <c r="C18" s="179" t="s">
        <v>118</v>
      </c>
      <c r="D18" s="181" t="s">
        <v>84</v>
      </c>
      <c r="E18" s="181" t="s">
        <v>196</v>
      </c>
      <c r="F18" s="182">
        <v>15</v>
      </c>
      <c r="G18" s="183">
        <f>H18/F18</f>
        <v>208.46666666666667</v>
      </c>
      <c r="H18" s="184">
        <v>3127</v>
      </c>
      <c r="I18" s="185">
        <v>0</v>
      </c>
      <c r="J18" s="186">
        <f>SUM(H18:I18)</f>
        <v>3127</v>
      </c>
      <c r="K18" s="187">
        <f>IF(H18/15&lt;=SMG,0,I18/2)</f>
        <v>0</v>
      </c>
      <c r="L18" s="187">
        <f t="shared" ref="L18:L20" si="26">H18+K18</f>
        <v>3127</v>
      </c>
      <c r="M18" s="187">
        <f>VLOOKUP(L18,Tarifa1,1)</f>
        <v>2699.41</v>
      </c>
      <c r="N18" s="187">
        <f t="shared" ref="N18:N20" si="27">L18-M18</f>
        <v>427.59000000000015</v>
      </c>
      <c r="O18" s="188">
        <f>VLOOKUP(L18,Tarifa1,3)</f>
        <v>0.10879999999999999</v>
      </c>
      <c r="P18" s="187">
        <f t="shared" ref="P18:P20" si="28">N18*O18</f>
        <v>46.521792000000012</v>
      </c>
      <c r="Q18" s="189">
        <f>VLOOKUP(L18,Tarifa1,2)</f>
        <v>158.55000000000001</v>
      </c>
      <c r="R18" s="187">
        <f t="shared" ref="R18:R20" si="29">P18+Q18</f>
        <v>205.07179200000002</v>
      </c>
      <c r="S18" s="190">
        <f>VLOOKUP(L18,Credito1,2)</f>
        <v>125.1</v>
      </c>
      <c r="T18" s="187">
        <f t="shared" ref="T18:T20" si="30">ROUND(R18-S18,2)</f>
        <v>79.97</v>
      </c>
      <c r="U18" s="186">
        <f>-IF(T18&gt;0,0,T18)</f>
        <v>0</v>
      </c>
      <c r="V18" s="186">
        <f>IF(T18&lt;0,0,T18)</f>
        <v>79.97</v>
      </c>
      <c r="W18" s="186">
        <f>SUM(V18:V18)</f>
        <v>79.97</v>
      </c>
      <c r="X18" s="186">
        <f>J18+U18-W18</f>
        <v>3047.03</v>
      </c>
      <c r="Y18" s="91"/>
      <c r="Z18" s="89"/>
    </row>
    <row r="19" spans="1:31" s="4" customFormat="1" ht="80.099999999999994" customHeight="1" x14ac:dyDescent="0.25">
      <c r="A19" s="121"/>
      <c r="B19" s="178" t="s">
        <v>247</v>
      </c>
      <c r="C19" s="179" t="s">
        <v>118</v>
      </c>
      <c r="D19" s="181" t="s">
        <v>259</v>
      </c>
      <c r="E19" s="181" t="s">
        <v>148</v>
      </c>
      <c r="F19" s="182">
        <v>15</v>
      </c>
      <c r="G19" s="183"/>
      <c r="H19" s="184">
        <v>3513.5</v>
      </c>
      <c r="I19" s="185">
        <v>0</v>
      </c>
      <c r="J19" s="186">
        <f t="shared" ref="J19" si="31">SUM(H19:I19)</f>
        <v>3513.5</v>
      </c>
      <c r="K19" s="187">
        <f t="shared" ref="K19" si="32">IF(H19/15&lt;=SMG,0,I19/2)</f>
        <v>0</v>
      </c>
      <c r="L19" s="187">
        <f t="shared" si="26"/>
        <v>3513.5</v>
      </c>
      <c r="M19" s="187">
        <f t="shared" ref="M19" si="33">VLOOKUP(L19,Tarifa1,1)</f>
        <v>2699.41</v>
      </c>
      <c r="N19" s="187">
        <f t="shared" si="27"/>
        <v>814.09000000000015</v>
      </c>
      <c r="O19" s="188">
        <f t="shared" ref="O19" si="34">VLOOKUP(L19,Tarifa1,3)</f>
        <v>0.10879999999999999</v>
      </c>
      <c r="P19" s="187">
        <f t="shared" si="28"/>
        <v>88.572992000000013</v>
      </c>
      <c r="Q19" s="189">
        <f t="shared" ref="Q19" si="35">VLOOKUP(L19,Tarifa1,2)</f>
        <v>158.55000000000001</v>
      </c>
      <c r="R19" s="187">
        <f t="shared" si="29"/>
        <v>247.12299200000001</v>
      </c>
      <c r="S19" s="190">
        <f t="shared" ref="S19" si="36">VLOOKUP(L19,Credito1,2)</f>
        <v>107.4</v>
      </c>
      <c r="T19" s="187">
        <f t="shared" si="30"/>
        <v>139.72</v>
      </c>
      <c r="U19" s="186">
        <f t="shared" ref="U19" si="37">-IF(T19&gt;0,0,T19)</f>
        <v>0</v>
      </c>
      <c r="V19" s="186">
        <f t="shared" ref="V19" si="38">IF(T19&lt;0,0,T19)</f>
        <v>139.72</v>
      </c>
      <c r="W19" s="186">
        <f>SUM(V19:V19)</f>
        <v>139.72</v>
      </c>
      <c r="X19" s="186">
        <f>J19+U19-W19</f>
        <v>3373.78</v>
      </c>
      <c r="Y19" s="91"/>
      <c r="Z19" s="89"/>
    </row>
    <row r="20" spans="1:31" s="4" customFormat="1" ht="80.099999999999994" customHeight="1" x14ac:dyDescent="0.25">
      <c r="A20" s="121"/>
      <c r="B20" s="178" t="s">
        <v>280</v>
      </c>
      <c r="C20" s="179" t="s">
        <v>118</v>
      </c>
      <c r="D20" s="180" t="s">
        <v>261</v>
      </c>
      <c r="E20" s="181" t="s">
        <v>148</v>
      </c>
      <c r="F20" s="182">
        <v>15</v>
      </c>
      <c r="G20" s="183"/>
      <c r="H20" s="184">
        <v>3127</v>
      </c>
      <c r="I20" s="185">
        <v>0</v>
      </c>
      <c r="J20" s="186">
        <f>SUM(H20:I20)</f>
        <v>3127</v>
      </c>
      <c r="K20" s="187">
        <f>IF(H20/15&lt;=SMG,0,I20/2)</f>
        <v>0</v>
      </c>
      <c r="L20" s="187">
        <f t="shared" si="26"/>
        <v>3127</v>
      </c>
      <c r="M20" s="187">
        <f>VLOOKUP(L20,Tarifa1,1)</f>
        <v>2699.41</v>
      </c>
      <c r="N20" s="187">
        <f t="shared" si="27"/>
        <v>427.59000000000015</v>
      </c>
      <c r="O20" s="188">
        <f>VLOOKUP(L20,Tarifa1,3)</f>
        <v>0.10879999999999999</v>
      </c>
      <c r="P20" s="187">
        <f t="shared" si="28"/>
        <v>46.521792000000012</v>
      </c>
      <c r="Q20" s="189">
        <f>VLOOKUP(L20,Tarifa1,2)</f>
        <v>158.55000000000001</v>
      </c>
      <c r="R20" s="187">
        <f t="shared" si="29"/>
        <v>205.07179200000002</v>
      </c>
      <c r="S20" s="190">
        <f>VLOOKUP(L20,Credito1,2)</f>
        <v>125.1</v>
      </c>
      <c r="T20" s="187">
        <f t="shared" si="30"/>
        <v>79.97</v>
      </c>
      <c r="U20" s="186">
        <f>-IF(T20&gt;0,0,T20)</f>
        <v>0</v>
      </c>
      <c r="V20" s="186">
        <f>IF(T20&lt;0,0,T20)</f>
        <v>79.97</v>
      </c>
      <c r="W20" s="186">
        <f>SUM(V20:V20)</f>
        <v>79.97</v>
      </c>
      <c r="X20" s="186">
        <f>J20+U20-W20</f>
        <v>3047.03</v>
      </c>
      <c r="Y20" s="91"/>
      <c r="Z20" s="89"/>
    </row>
    <row r="21" spans="1:31" s="4" customFormat="1" ht="75" customHeight="1" x14ac:dyDescent="0.2">
      <c r="A21" s="121"/>
      <c r="B21" s="162"/>
      <c r="C21" s="121"/>
      <c r="D21" s="173"/>
      <c r="E21" s="173"/>
      <c r="F21" s="163"/>
      <c r="G21" s="164"/>
      <c r="H21" s="165"/>
      <c r="I21" s="166"/>
      <c r="J21" s="167"/>
      <c r="K21" s="168"/>
      <c r="L21" s="168"/>
      <c r="M21" s="168"/>
      <c r="N21" s="168"/>
      <c r="O21" s="169"/>
      <c r="P21" s="168"/>
      <c r="Q21" s="170"/>
      <c r="R21" s="168"/>
      <c r="S21" s="171"/>
      <c r="T21" s="168"/>
      <c r="U21" s="167"/>
      <c r="V21" s="167"/>
      <c r="W21" s="167"/>
      <c r="X21" s="167"/>
      <c r="Z21" s="89"/>
    </row>
    <row r="22" spans="1:31" s="4" customFormat="1" ht="24" customHeight="1" x14ac:dyDescent="0.25">
      <c r="A22" s="121"/>
      <c r="B22" s="261" t="s">
        <v>81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31" s="4" customFormat="1" ht="24" customHeight="1" x14ac:dyDescent="0.25">
      <c r="A23" s="121"/>
      <c r="B23" s="261" t="s">
        <v>65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4" customFormat="1" ht="25.5" customHeight="1" x14ac:dyDescent="0.25">
      <c r="A24" s="121"/>
      <c r="B24" s="252" t="s">
        <v>304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4" customFormat="1" ht="24" customHeight="1" x14ac:dyDescent="0.2">
      <c r="A25" s="121"/>
      <c r="B25" s="162"/>
      <c r="C25" s="121"/>
      <c r="D25" s="173"/>
      <c r="E25" s="173"/>
      <c r="F25" s="163"/>
      <c r="G25" s="164"/>
      <c r="H25" s="165"/>
      <c r="I25" s="166"/>
      <c r="J25" s="167"/>
      <c r="K25" s="168"/>
      <c r="L25" s="168"/>
      <c r="M25" s="168"/>
      <c r="N25" s="168"/>
      <c r="O25" s="169"/>
      <c r="P25" s="168"/>
      <c r="Q25" s="170"/>
      <c r="R25" s="168"/>
      <c r="S25" s="171"/>
      <c r="T25" s="168"/>
      <c r="U25" s="167"/>
      <c r="V25" s="167"/>
      <c r="W25" s="167"/>
      <c r="X25" s="167"/>
      <c r="Z25" s="89"/>
    </row>
    <row r="26" spans="1:31" s="4" customFormat="1" ht="21.75" customHeight="1" x14ac:dyDescent="0.2">
      <c r="A26" s="121"/>
      <c r="B26" s="162"/>
      <c r="C26" s="121"/>
      <c r="D26" s="173"/>
      <c r="E26" s="173"/>
      <c r="F26" s="163"/>
      <c r="G26" s="164"/>
      <c r="H26" s="165"/>
      <c r="I26" s="166"/>
      <c r="J26" s="167"/>
      <c r="K26" s="168"/>
      <c r="L26" s="168"/>
      <c r="M26" s="168"/>
      <c r="N26" s="168"/>
      <c r="O26" s="169"/>
      <c r="P26" s="168"/>
      <c r="Q26" s="170"/>
      <c r="R26" s="168"/>
      <c r="S26" s="171"/>
      <c r="T26" s="168"/>
      <c r="U26" s="167"/>
      <c r="V26" s="167"/>
      <c r="W26" s="167"/>
      <c r="X26" s="167"/>
      <c r="Z26" s="89"/>
    </row>
    <row r="27" spans="1:31" s="4" customFormat="1" ht="57.75" customHeight="1" x14ac:dyDescent="0.25">
      <c r="A27" s="115"/>
      <c r="B27" s="125" t="s">
        <v>104</v>
      </c>
      <c r="C27" s="125" t="s">
        <v>127</v>
      </c>
      <c r="D27" s="126" t="s">
        <v>126</v>
      </c>
      <c r="E27" s="126" t="s">
        <v>62</v>
      </c>
      <c r="F27" s="126"/>
      <c r="G27" s="126"/>
      <c r="H27" s="127">
        <f>SUM(H28:H29)</f>
        <v>9508</v>
      </c>
      <c r="I27" s="127">
        <f>SUM(I28:I29)</f>
        <v>860.15000000000009</v>
      </c>
      <c r="J27" s="127">
        <f>SUM(J28:J29)</f>
        <v>10368.15</v>
      </c>
      <c r="K27" s="126"/>
      <c r="L27" s="126"/>
      <c r="M27" s="126"/>
      <c r="N27" s="126"/>
      <c r="O27" s="126"/>
      <c r="P27" s="126"/>
      <c r="Q27" s="128"/>
      <c r="R27" s="126"/>
      <c r="S27" s="126"/>
      <c r="T27" s="126"/>
      <c r="U27" s="127">
        <f>SUM(U28:U29)</f>
        <v>0</v>
      </c>
      <c r="V27" s="127">
        <f>SUM(V28:V29)</f>
        <v>836.96</v>
      </c>
      <c r="W27" s="127">
        <f>SUM(W28:W29)</f>
        <v>836.96</v>
      </c>
      <c r="X27" s="127">
        <f>SUM(X28:X29)</f>
        <v>9531.1899999999987</v>
      </c>
      <c r="Y27" s="100"/>
    </row>
    <row r="28" spans="1:31" s="4" customFormat="1" ht="80.099999999999994" customHeight="1" x14ac:dyDescent="0.25">
      <c r="A28" s="118" t="s">
        <v>87</v>
      </c>
      <c r="B28" s="178" t="s">
        <v>164</v>
      </c>
      <c r="C28" s="179" t="s">
        <v>118</v>
      </c>
      <c r="D28" s="181" t="s">
        <v>150</v>
      </c>
      <c r="E28" s="181" t="s">
        <v>149</v>
      </c>
      <c r="F28" s="182">
        <v>15</v>
      </c>
      <c r="G28" s="183">
        <f>H28/F28</f>
        <v>332.73333333333335</v>
      </c>
      <c r="H28" s="184">
        <v>4991</v>
      </c>
      <c r="I28" s="185">
        <v>521.74</v>
      </c>
      <c r="J28" s="186">
        <f>SUM(H28:I28)</f>
        <v>5512.74</v>
      </c>
      <c r="K28" s="187">
        <f>IF(H28/15&lt;=SMG,0,I28/2)</f>
        <v>260.87</v>
      </c>
      <c r="L28" s="187">
        <f t="shared" ref="L28:L29" si="39">H28+K28</f>
        <v>5251.87</v>
      </c>
      <c r="M28" s="187">
        <f>VLOOKUP(L28,Tarifa1,1)</f>
        <v>4744.0600000000004</v>
      </c>
      <c r="N28" s="187">
        <f t="shared" ref="N28:N29" si="40">L28-M28</f>
        <v>507.80999999999949</v>
      </c>
      <c r="O28" s="188">
        <f>VLOOKUP(L28,Tarifa1,3)</f>
        <v>0.16</v>
      </c>
      <c r="P28" s="187">
        <f t="shared" ref="P28:P29" si="41">N28*O28</f>
        <v>81.249599999999916</v>
      </c>
      <c r="Q28" s="189">
        <f>VLOOKUP(L28,Tarifa1,2)</f>
        <v>381</v>
      </c>
      <c r="R28" s="187">
        <f t="shared" ref="R28:R29" si="42">P28+Q28</f>
        <v>462.24959999999993</v>
      </c>
      <c r="S28" s="190">
        <f>VLOOKUP(L28,Credito1,2)</f>
        <v>0</v>
      </c>
      <c r="T28" s="187">
        <f t="shared" ref="T28:T29" si="43">ROUND(R28-S28,2)</f>
        <v>462.25</v>
      </c>
      <c r="U28" s="186">
        <f>-IF(T28&gt;0,0,T28)</f>
        <v>0</v>
      </c>
      <c r="V28" s="186">
        <f>IF(T28&lt;0,0,T28)</f>
        <v>462.25</v>
      </c>
      <c r="W28" s="186">
        <f>SUM(V28:V28)</f>
        <v>462.25</v>
      </c>
      <c r="X28" s="186">
        <f>J28+U28-W28</f>
        <v>5050.49</v>
      </c>
      <c r="Y28" s="91"/>
      <c r="AE28" s="96"/>
    </row>
    <row r="29" spans="1:31" s="4" customFormat="1" ht="80.099999999999994" customHeight="1" x14ac:dyDescent="0.25">
      <c r="A29" s="118"/>
      <c r="B29" s="178" t="s">
        <v>188</v>
      </c>
      <c r="C29" s="179" t="s">
        <v>118</v>
      </c>
      <c r="D29" s="180" t="s">
        <v>177</v>
      </c>
      <c r="E29" s="181" t="s">
        <v>178</v>
      </c>
      <c r="F29" s="182">
        <v>15</v>
      </c>
      <c r="G29" s="183"/>
      <c r="H29" s="184">
        <v>4517</v>
      </c>
      <c r="I29" s="185">
        <v>338.41</v>
      </c>
      <c r="J29" s="186">
        <f>SUM(H29:I29)</f>
        <v>4855.41</v>
      </c>
      <c r="K29" s="187">
        <f>IF(H29/15&lt;=SMG,0,I29/2)</f>
        <v>169.20500000000001</v>
      </c>
      <c r="L29" s="187">
        <f t="shared" si="39"/>
        <v>4686.2049999999999</v>
      </c>
      <c r="M29" s="187">
        <f>VLOOKUP(L29,Tarifa1,1)</f>
        <v>2699.41</v>
      </c>
      <c r="N29" s="187">
        <f t="shared" si="40"/>
        <v>1986.7950000000001</v>
      </c>
      <c r="O29" s="188">
        <f>VLOOKUP(L29,Tarifa1,3)</f>
        <v>0.10879999999999999</v>
      </c>
      <c r="P29" s="187">
        <f t="shared" si="41"/>
        <v>216.163296</v>
      </c>
      <c r="Q29" s="189">
        <f>VLOOKUP(L29,Tarifa1,2)</f>
        <v>158.55000000000001</v>
      </c>
      <c r="R29" s="187">
        <f t="shared" si="42"/>
        <v>374.71329600000001</v>
      </c>
      <c r="S29" s="190">
        <f>VLOOKUP(L29,Credito1,2)</f>
        <v>0</v>
      </c>
      <c r="T29" s="187">
        <f t="shared" si="43"/>
        <v>374.71</v>
      </c>
      <c r="U29" s="186">
        <f>-IF(T29&gt;0,0,T29)</f>
        <v>0</v>
      </c>
      <c r="V29" s="186">
        <f>IF(T29&lt;0,0,T29)</f>
        <v>374.71</v>
      </c>
      <c r="W29" s="186">
        <f>SUM(V29:V29)</f>
        <v>374.71</v>
      </c>
      <c r="X29" s="186">
        <f>J29+U29-W29</f>
        <v>4480.7</v>
      </c>
      <c r="Y29" s="91"/>
      <c r="AE29" s="96"/>
    </row>
    <row r="30" spans="1:31" s="4" customFormat="1" ht="27.75" customHeight="1" x14ac:dyDescent="0.25">
      <c r="A30" s="214"/>
      <c r="B30" s="214"/>
      <c r="C30" s="214"/>
      <c r="D30" s="214"/>
      <c r="E30" s="214"/>
      <c r="F30" s="214"/>
      <c r="G30" s="214"/>
      <c r="H30" s="220"/>
      <c r="I30" s="220"/>
      <c r="J30" s="220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</row>
    <row r="31" spans="1:31" s="4" customFormat="1" ht="75" customHeight="1" thickBot="1" x14ac:dyDescent="0.3">
      <c r="A31" s="248" t="s">
        <v>45</v>
      </c>
      <c r="B31" s="249"/>
      <c r="C31" s="249"/>
      <c r="D31" s="249"/>
      <c r="E31" s="249"/>
      <c r="F31" s="249"/>
      <c r="G31" s="250"/>
      <c r="H31" s="193">
        <f>H9+H27</f>
        <v>48939.19</v>
      </c>
      <c r="I31" s="193">
        <f>I9+I27</f>
        <v>2907.55</v>
      </c>
      <c r="J31" s="193">
        <f>J9+J27</f>
        <v>51846.74</v>
      </c>
      <c r="K31" s="194">
        <f t="shared" ref="K31:T31" si="44">SUM(K10:K30)</f>
        <v>1453.7750000000001</v>
      </c>
      <c r="L31" s="194">
        <f t="shared" si="44"/>
        <v>50392.965000000004</v>
      </c>
      <c r="M31" s="194">
        <f t="shared" si="44"/>
        <v>37570.929999999993</v>
      </c>
      <c r="N31" s="194">
        <f t="shared" si="44"/>
        <v>12822.035</v>
      </c>
      <c r="O31" s="194">
        <f t="shared" si="44"/>
        <v>1.4911999999999999</v>
      </c>
      <c r="P31" s="194">
        <f t="shared" si="44"/>
        <v>1407.7014399999998</v>
      </c>
      <c r="Q31" s="194">
        <f t="shared" si="44"/>
        <v>2476.9499999999998</v>
      </c>
      <c r="R31" s="194">
        <f t="shared" si="44"/>
        <v>3884.6514400000005</v>
      </c>
      <c r="S31" s="194">
        <f t="shared" si="44"/>
        <v>907.65</v>
      </c>
      <c r="T31" s="194">
        <f t="shared" si="44"/>
        <v>2976.99</v>
      </c>
      <c r="U31" s="193">
        <f>U9+U27</f>
        <v>41.47</v>
      </c>
      <c r="V31" s="193">
        <f>V9+V27</f>
        <v>3018.46</v>
      </c>
      <c r="W31" s="193">
        <f>W9+W27</f>
        <v>3018.46</v>
      </c>
      <c r="X31" s="193">
        <f>X9+X27</f>
        <v>48869.75</v>
      </c>
    </row>
    <row r="32" spans="1:31" s="4" customFormat="1" ht="18" customHeight="1" thickTop="1" x14ac:dyDescent="0.25">
      <c r="A32" s="174"/>
      <c r="B32" s="174"/>
      <c r="C32" s="174"/>
      <c r="D32" s="174"/>
      <c r="E32" s="174"/>
      <c r="F32" s="174"/>
      <c r="G32" s="174"/>
      <c r="H32" s="175"/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5"/>
      <c r="V32" s="175"/>
      <c r="W32" s="175"/>
      <c r="X32" s="175"/>
    </row>
    <row r="33" spans="1:24" s="4" customFormat="1" ht="18" customHeight="1" x14ac:dyDescent="0.25">
      <c r="A33" s="174"/>
      <c r="B33" s="174"/>
      <c r="C33" s="174"/>
      <c r="D33" s="174"/>
      <c r="E33" s="174"/>
      <c r="F33" s="174"/>
      <c r="G33" s="174"/>
      <c r="H33" s="175"/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5"/>
      <c r="V33" s="175"/>
      <c r="W33" s="175"/>
      <c r="X33" s="175"/>
    </row>
    <row r="34" spans="1:24" s="4" customFormat="1" ht="18" customHeight="1" x14ac:dyDescent="0.25">
      <c r="A34" s="174"/>
      <c r="B34" s="174"/>
      <c r="C34" s="174"/>
      <c r="D34" s="174"/>
      <c r="E34" s="174"/>
      <c r="F34" s="174"/>
      <c r="G34" s="174"/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5"/>
      <c r="V34" s="175"/>
      <c r="W34" s="175"/>
      <c r="X34" s="175"/>
    </row>
    <row r="35" spans="1:24" s="4" customFormat="1" ht="18" customHeight="1" x14ac:dyDescent="0.25">
      <c r="A35" s="174"/>
      <c r="B35" s="174"/>
      <c r="C35" s="174"/>
      <c r="D35" s="174"/>
      <c r="E35" s="174"/>
      <c r="F35" s="174"/>
      <c r="G35" s="174"/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5"/>
      <c r="V35" s="175"/>
      <c r="W35" s="175"/>
      <c r="X35" s="175"/>
    </row>
    <row r="36" spans="1:24" s="4" customFormat="1" ht="18" customHeight="1" x14ac:dyDescent="0.25">
      <c r="A36" s="174"/>
      <c r="B36" s="174"/>
      <c r="C36" s="174"/>
      <c r="D36" s="174"/>
      <c r="E36" s="174"/>
      <c r="F36" s="174"/>
      <c r="G36" s="174"/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5"/>
      <c r="V36" s="175"/>
      <c r="W36" s="175"/>
      <c r="X36" s="175"/>
    </row>
    <row r="37" spans="1:24" s="4" customFormat="1" x14ac:dyDescent="0.2"/>
    <row r="38" spans="1:24" s="4" customFormat="1" x14ac:dyDescent="0.2"/>
    <row r="39" spans="1:24" s="4" customFormat="1" x14ac:dyDescent="0.2"/>
    <row r="40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7"/>
  <sheetViews>
    <sheetView topLeftCell="B16" zoomScale="66" zoomScaleNormal="66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127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7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53"/>
      <c r="B7" s="53"/>
      <c r="C7" s="272"/>
      <c r="D7" s="53"/>
      <c r="E7" s="53"/>
      <c r="F7" s="53"/>
      <c r="G7" s="53"/>
      <c r="H7" s="53" t="s">
        <v>47</v>
      </c>
      <c r="I7" s="53" t="s">
        <v>60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8" t="s">
        <v>15</v>
      </c>
      <c r="R7" s="50" t="s">
        <v>39</v>
      </c>
      <c r="S7" s="55" t="s">
        <v>19</v>
      </c>
      <c r="T7" s="56" t="s">
        <v>128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46.5" customHeight="1" x14ac:dyDescent="0.25">
      <c r="A8" s="37"/>
      <c r="B8" s="104" t="s">
        <v>104</v>
      </c>
      <c r="C8" s="104" t="s">
        <v>127</v>
      </c>
      <c r="D8" s="37" t="s">
        <v>154</v>
      </c>
      <c r="E8" s="37" t="s">
        <v>62</v>
      </c>
      <c r="F8" s="37"/>
      <c r="G8" s="37"/>
      <c r="H8" s="101">
        <f>SUM(H9:H9)</f>
        <v>6808.5</v>
      </c>
      <c r="I8" s="101">
        <f>SUM(I9:I9)</f>
        <v>0</v>
      </c>
      <c r="J8" s="101">
        <f>SUM(J9:J9)</f>
        <v>6808.5</v>
      </c>
      <c r="K8" s="37"/>
      <c r="L8" s="37"/>
      <c r="M8" s="37"/>
      <c r="N8" s="37"/>
      <c r="O8" s="37"/>
      <c r="P8" s="37"/>
      <c r="Q8" s="102"/>
      <c r="R8" s="37"/>
      <c r="S8" s="37"/>
      <c r="T8" s="37"/>
      <c r="U8" s="101">
        <f>SUM(U9:U9)</f>
        <v>0</v>
      </c>
      <c r="V8" s="101">
        <f>SUM(V9:V9)</f>
        <v>743.26</v>
      </c>
      <c r="W8" s="101">
        <f>SUM(W9:W9)</f>
        <v>743.26</v>
      </c>
      <c r="X8" s="101">
        <f>SUM(X9:X9)</f>
        <v>6065.24</v>
      </c>
      <c r="Y8" s="103"/>
    </row>
    <row r="9" spans="1:31" s="52" customFormat="1" ht="75" customHeight="1" x14ac:dyDescent="0.25">
      <c r="A9" s="37"/>
      <c r="B9" s="221">
        <v>275</v>
      </c>
      <c r="C9" s="222" t="s">
        <v>118</v>
      </c>
      <c r="D9" s="223" t="s">
        <v>274</v>
      </c>
      <c r="E9" s="224" t="s">
        <v>242</v>
      </c>
      <c r="F9" s="208">
        <v>15</v>
      </c>
      <c r="G9" s="208"/>
      <c r="H9" s="184">
        <v>6808.5</v>
      </c>
      <c r="I9" s="185">
        <v>0</v>
      </c>
      <c r="J9" s="186">
        <f>SUM(H9:I9)</f>
        <v>6808.5</v>
      </c>
      <c r="K9" s="187">
        <f>IF(H9/15&lt;=SMG,0,I9/2)</f>
        <v>0</v>
      </c>
      <c r="L9" s="187">
        <f t="shared" ref="L9" si="0">H9+K9</f>
        <v>6808.5</v>
      </c>
      <c r="M9" s="187">
        <f>VLOOKUP(L9,Tarifa1,1)</f>
        <v>6602.71</v>
      </c>
      <c r="N9" s="187">
        <f t="shared" ref="N9" si="1">L9-M9</f>
        <v>205.78999999999996</v>
      </c>
      <c r="O9" s="188">
        <f>VLOOKUP(L9,Tarifa1,3)</f>
        <v>0.21360000000000001</v>
      </c>
      <c r="P9" s="187">
        <f t="shared" ref="P9" si="2">N9*O9</f>
        <v>43.956743999999993</v>
      </c>
      <c r="Q9" s="189">
        <f>VLOOKUP(L9,Tarifa1,2)</f>
        <v>699.3</v>
      </c>
      <c r="R9" s="187">
        <f t="shared" ref="R9" si="3">P9+Q9</f>
        <v>743.25674399999991</v>
      </c>
      <c r="S9" s="190">
        <f>VLOOKUP(L9,Credito1,2)</f>
        <v>0</v>
      </c>
      <c r="T9" s="187">
        <f t="shared" ref="T9" si="4">ROUND(R9-S9,2)</f>
        <v>743.26</v>
      </c>
      <c r="U9" s="186">
        <f>-IF(T9&gt;0,0,T9)</f>
        <v>0</v>
      </c>
      <c r="V9" s="186">
        <f>IF(T9&lt;0,0,T9)</f>
        <v>743.26</v>
      </c>
      <c r="W9" s="186">
        <f>SUM(V9:V9)</f>
        <v>743.26</v>
      </c>
      <c r="X9" s="186">
        <f>J9+U9-W9</f>
        <v>6065.24</v>
      </c>
      <c r="Y9" s="172"/>
    </row>
    <row r="10" spans="1:31" s="52" customFormat="1" ht="42.75" customHeight="1" x14ac:dyDescent="0.25">
      <c r="A10" s="46"/>
      <c r="B10" s="104" t="s">
        <v>104</v>
      </c>
      <c r="C10" s="104" t="s">
        <v>127</v>
      </c>
      <c r="D10" s="37" t="s">
        <v>206</v>
      </c>
      <c r="E10" s="37" t="s">
        <v>62</v>
      </c>
      <c r="F10" s="37"/>
      <c r="G10" s="37"/>
      <c r="H10" s="101">
        <f>SUM(H11)</f>
        <v>6808.5</v>
      </c>
      <c r="I10" s="101">
        <f>SUM(I11)</f>
        <v>0</v>
      </c>
      <c r="J10" s="101">
        <f>SUM(J11)</f>
        <v>6808.5</v>
      </c>
      <c r="K10" s="37"/>
      <c r="L10" s="37"/>
      <c r="M10" s="37"/>
      <c r="N10" s="37"/>
      <c r="O10" s="37"/>
      <c r="P10" s="37"/>
      <c r="Q10" s="102"/>
      <c r="R10" s="37"/>
      <c r="S10" s="37"/>
      <c r="T10" s="37"/>
      <c r="U10" s="101">
        <f>SUM(U11)</f>
        <v>0</v>
      </c>
      <c r="V10" s="101">
        <f>SUM(V11)</f>
        <v>743.26</v>
      </c>
      <c r="W10" s="101">
        <f>SUM(W11)</f>
        <v>743.26</v>
      </c>
      <c r="X10" s="101">
        <f>SUM(X11)</f>
        <v>6065.24</v>
      </c>
      <c r="Y10" s="103"/>
      <c r="AE10" s="60"/>
    </row>
    <row r="11" spans="1:31" s="52" customFormat="1" ht="75" customHeight="1" x14ac:dyDescent="0.25">
      <c r="A11" s="46"/>
      <c r="B11" s="178" t="s">
        <v>207</v>
      </c>
      <c r="C11" s="179" t="s">
        <v>118</v>
      </c>
      <c r="D11" s="192" t="s">
        <v>205</v>
      </c>
      <c r="E11" s="181" t="s">
        <v>283</v>
      </c>
      <c r="F11" s="182">
        <v>15</v>
      </c>
      <c r="G11" s="183">
        <f>H11/F11</f>
        <v>453.9</v>
      </c>
      <c r="H11" s="184">
        <v>6808.5</v>
      </c>
      <c r="I11" s="185">
        <v>0</v>
      </c>
      <c r="J11" s="186">
        <f>SUM(H11:I11)</f>
        <v>6808.5</v>
      </c>
      <c r="K11" s="187">
        <f>IF(H11/15&lt;=SMG,0,I11/2)</f>
        <v>0</v>
      </c>
      <c r="L11" s="187">
        <f t="shared" ref="L11" si="5">H11+K11</f>
        <v>6808.5</v>
      </c>
      <c r="M11" s="187">
        <f>VLOOKUP(L11,Tarifa1,1)</f>
        <v>6602.71</v>
      </c>
      <c r="N11" s="187">
        <f t="shared" ref="N11" si="6">L11-M11</f>
        <v>205.78999999999996</v>
      </c>
      <c r="O11" s="188">
        <f>VLOOKUP(L11,Tarifa1,3)</f>
        <v>0.21360000000000001</v>
      </c>
      <c r="P11" s="187">
        <f t="shared" ref="P11" si="7">N11*O11</f>
        <v>43.956743999999993</v>
      </c>
      <c r="Q11" s="189">
        <f>VLOOKUP(L11,Tarifa1,2)</f>
        <v>699.3</v>
      </c>
      <c r="R11" s="187">
        <f t="shared" ref="R11" si="8">P11+Q11</f>
        <v>743.25674399999991</v>
      </c>
      <c r="S11" s="190">
        <f>VLOOKUP(L11,Credito1,2)</f>
        <v>0</v>
      </c>
      <c r="T11" s="187">
        <f t="shared" ref="T11" si="9">ROUND(R11-S11,2)</f>
        <v>743.26</v>
      </c>
      <c r="U11" s="186">
        <f>-IF(T11&gt;0,0,T11)</f>
        <v>0</v>
      </c>
      <c r="V11" s="186">
        <f>IF(T11&lt;0,0,T11)</f>
        <v>743.26</v>
      </c>
      <c r="W11" s="186">
        <f>SUM(V11:V11)</f>
        <v>743.26</v>
      </c>
      <c r="X11" s="186">
        <f>J11+U11-W11</f>
        <v>6065.24</v>
      </c>
      <c r="Y11" s="94"/>
      <c r="AE11" s="60"/>
    </row>
    <row r="12" spans="1:31" s="52" customFormat="1" ht="45.75" customHeight="1" x14ac:dyDescent="0.25">
      <c r="A12" s="46"/>
      <c r="B12" s="104" t="s">
        <v>104</v>
      </c>
      <c r="C12" s="104" t="s">
        <v>127</v>
      </c>
      <c r="D12" s="37" t="s">
        <v>130</v>
      </c>
      <c r="E12" s="37" t="s">
        <v>62</v>
      </c>
      <c r="F12" s="37"/>
      <c r="G12" s="37"/>
      <c r="H12" s="101">
        <f>SUM(H13:H15)</f>
        <v>14107.5</v>
      </c>
      <c r="I12" s="101">
        <f>SUM(I13:I15)</f>
        <v>0</v>
      </c>
      <c r="J12" s="101">
        <f>SUM(J13:J15)</f>
        <v>14107.5</v>
      </c>
      <c r="K12" s="37"/>
      <c r="L12" s="37"/>
      <c r="M12" s="37"/>
      <c r="N12" s="37"/>
      <c r="O12" s="37"/>
      <c r="P12" s="37"/>
      <c r="Q12" s="102"/>
      <c r="R12" s="37"/>
      <c r="S12" s="37"/>
      <c r="T12" s="37"/>
      <c r="U12" s="101">
        <f>SUM(U13:U15)</f>
        <v>0</v>
      </c>
      <c r="V12" s="101">
        <f>SUM(V13:V15)</f>
        <v>1229.1500000000001</v>
      </c>
      <c r="W12" s="101">
        <f>SUM(W13:W15)</f>
        <v>1229.1500000000001</v>
      </c>
      <c r="X12" s="101">
        <f>SUM(X13:X15)</f>
        <v>12878.35</v>
      </c>
      <c r="Y12" s="103"/>
      <c r="AE12" s="60"/>
    </row>
    <row r="13" spans="1:31" s="52" customFormat="1" ht="75" customHeight="1" x14ac:dyDescent="0.25">
      <c r="A13" s="46" t="s">
        <v>90</v>
      </c>
      <c r="B13" s="179" t="s">
        <v>117</v>
      </c>
      <c r="C13" s="179" t="s">
        <v>118</v>
      </c>
      <c r="D13" s="192" t="s">
        <v>96</v>
      </c>
      <c r="E13" s="181" t="s">
        <v>97</v>
      </c>
      <c r="F13" s="182">
        <v>15</v>
      </c>
      <c r="G13" s="183">
        <f t="shared" ref="G13:G21" si="10">H13/F13</f>
        <v>424.7</v>
      </c>
      <c r="H13" s="184">
        <v>6370.5</v>
      </c>
      <c r="I13" s="185">
        <v>0</v>
      </c>
      <c r="J13" s="186">
        <f>H13</f>
        <v>6370.5</v>
      </c>
      <c r="K13" s="187">
        <f>IF(H13/15&lt;=SMG,0,I13/2)</f>
        <v>0</v>
      </c>
      <c r="L13" s="187">
        <f t="shared" ref="L13:L15" si="11">H13+K13</f>
        <v>6370.5</v>
      </c>
      <c r="M13" s="187">
        <f>VLOOKUP(L13,Tarifa1,1)</f>
        <v>5514.76</v>
      </c>
      <c r="N13" s="187">
        <f t="shared" ref="N13:N15" si="12">L13-M13</f>
        <v>855.73999999999978</v>
      </c>
      <c r="O13" s="188">
        <f>VLOOKUP(L13,Tarifa1,3)</f>
        <v>0.1792</v>
      </c>
      <c r="P13" s="187">
        <f t="shared" ref="P13:P15" si="13">N13*O13</f>
        <v>153.34860799999996</v>
      </c>
      <c r="Q13" s="189">
        <f>VLOOKUP(L13,Tarifa1,2)</f>
        <v>504.3</v>
      </c>
      <c r="R13" s="187">
        <f t="shared" ref="R13:R15" si="14">P13+Q13</f>
        <v>657.64860799999997</v>
      </c>
      <c r="S13" s="190">
        <f>VLOOKUP(L13,Credito1,2)</f>
        <v>0</v>
      </c>
      <c r="T13" s="187">
        <f t="shared" ref="T13:T15" si="15">ROUND(R13-S13,2)</f>
        <v>657.65</v>
      </c>
      <c r="U13" s="186">
        <f>-IF(T13&gt;0,0,T13)</f>
        <v>0</v>
      </c>
      <c r="V13" s="186">
        <f>IF(T13&lt;0,0,T13)</f>
        <v>657.65</v>
      </c>
      <c r="W13" s="186">
        <f>SUM(V13:V13)</f>
        <v>657.65</v>
      </c>
      <c r="X13" s="186">
        <f>J13+U13-W13</f>
        <v>5712.85</v>
      </c>
      <c r="Y13" s="94"/>
      <c r="AE13" s="65"/>
    </row>
    <row r="14" spans="1:31" s="52" customFormat="1" ht="75" customHeight="1" x14ac:dyDescent="0.25">
      <c r="A14" s="46"/>
      <c r="B14" s="178" t="s">
        <v>189</v>
      </c>
      <c r="C14" s="179" t="s">
        <v>118</v>
      </c>
      <c r="D14" s="192" t="s">
        <v>174</v>
      </c>
      <c r="E14" s="181" t="s">
        <v>175</v>
      </c>
      <c r="F14" s="182">
        <v>15</v>
      </c>
      <c r="G14" s="183"/>
      <c r="H14" s="184">
        <v>3868.5</v>
      </c>
      <c r="I14" s="185">
        <v>0</v>
      </c>
      <c r="J14" s="186">
        <f>SUM(H14:I14)</f>
        <v>3868.5</v>
      </c>
      <c r="K14" s="187">
        <f>IF(H14/15&lt;=SMG,0,I14/2)</f>
        <v>0</v>
      </c>
      <c r="L14" s="187">
        <f t="shared" si="11"/>
        <v>3868.5</v>
      </c>
      <c r="M14" s="187">
        <f>VLOOKUP(L14,Tarifa1,1)</f>
        <v>2699.41</v>
      </c>
      <c r="N14" s="187">
        <f t="shared" si="12"/>
        <v>1169.0900000000001</v>
      </c>
      <c r="O14" s="188">
        <f>VLOOKUP(L14,Tarifa1,3)</f>
        <v>0.10879999999999999</v>
      </c>
      <c r="P14" s="187">
        <f t="shared" si="13"/>
        <v>127.19699200000001</v>
      </c>
      <c r="Q14" s="189">
        <f>VLOOKUP(L14,Tarifa1,2)</f>
        <v>158.55000000000001</v>
      </c>
      <c r="R14" s="187">
        <f t="shared" si="14"/>
        <v>285.74699200000003</v>
      </c>
      <c r="S14" s="190">
        <f>VLOOKUP(L14,Credito1,2)</f>
        <v>0</v>
      </c>
      <c r="T14" s="187">
        <f t="shared" si="15"/>
        <v>285.75</v>
      </c>
      <c r="U14" s="186">
        <f>-IF(T14&gt;0,0,T14)</f>
        <v>0</v>
      </c>
      <c r="V14" s="195">
        <f>IF(T14&lt;0,0,T14)</f>
        <v>285.75</v>
      </c>
      <c r="W14" s="186">
        <f>SUM(V14:V14)</f>
        <v>285.75</v>
      </c>
      <c r="X14" s="186">
        <f>J14+U14-W14</f>
        <v>3582.75</v>
      </c>
      <c r="Y14" s="94"/>
      <c r="AE14" s="65"/>
    </row>
    <row r="15" spans="1:31" s="52" customFormat="1" ht="75" customHeight="1" x14ac:dyDescent="0.25">
      <c r="A15" s="46"/>
      <c r="B15" s="178" t="s">
        <v>211</v>
      </c>
      <c r="C15" s="179" t="s">
        <v>161</v>
      </c>
      <c r="D15" s="192" t="s">
        <v>208</v>
      </c>
      <c r="E15" s="181" t="s">
        <v>175</v>
      </c>
      <c r="F15" s="182">
        <v>15</v>
      </c>
      <c r="G15" s="183"/>
      <c r="H15" s="184">
        <v>3868.5</v>
      </c>
      <c r="I15" s="185">
        <v>0</v>
      </c>
      <c r="J15" s="186">
        <f>SUM(H15:I15)</f>
        <v>3868.5</v>
      </c>
      <c r="K15" s="187">
        <f>IF(H15/15&lt;=SMG,0,I15/2)</f>
        <v>0</v>
      </c>
      <c r="L15" s="187">
        <f t="shared" si="11"/>
        <v>3868.5</v>
      </c>
      <c r="M15" s="187">
        <f>VLOOKUP(L15,Tarifa1,1)</f>
        <v>2699.41</v>
      </c>
      <c r="N15" s="187">
        <f t="shared" si="12"/>
        <v>1169.0900000000001</v>
      </c>
      <c r="O15" s="188">
        <f>VLOOKUP(L15,Tarifa1,3)</f>
        <v>0.10879999999999999</v>
      </c>
      <c r="P15" s="187">
        <f t="shared" si="13"/>
        <v>127.19699200000001</v>
      </c>
      <c r="Q15" s="189">
        <f>VLOOKUP(L15,Tarifa1,2)</f>
        <v>158.55000000000001</v>
      </c>
      <c r="R15" s="187">
        <f t="shared" si="14"/>
        <v>285.74699200000003</v>
      </c>
      <c r="S15" s="190">
        <f>VLOOKUP(L15,Credito1,2)</f>
        <v>0</v>
      </c>
      <c r="T15" s="187">
        <f t="shared" si="15"/>
        <v>285.75</v>
      </c>
      <c r="U15" s="186">
        <f>-IF(T15&gt;0,0,T15)</f>
        <v>0</v>
      </c>
      <c r="V15" s="195">
        <f>IF(T15&lt;0,0,T15)</f>
        <v>285.75</v>
      </c>
      <c r="W15" s="186">
        <f>SUM(V15:V15)</f>
        <v>285.75</v>
      </c>
      <c r="X15" s="186">
        <f>J15+U15-W15</f>
        <v>3582.75</v>
      </c>
      <c r="Y15" s="94"/>
      <c r="AE15" s="65"/>
    </row>
    <row r="16" spans="1:31" s="52" customFormat="1" ht="50.25" customHeight="1" x14ac:dyDescent="0.25">
      <c r="A16" s="46"/>
      <c r="B16" s="104" t="s">
        <v>104</v>
      </c>
      <c r="C16" s="104" t="s">
        <v>127</v>
      </c>
      <c r="D16" s="37" t="s">
        <v>131</v>
      </c>
      <c r="E16" s="37" t="s">
        <v>62</v>
      </c>
      <c r="F16" s="37"/>
      <c r="G16" s="37"/>
      <c r="H16" s="101">
        <f>SUM(H17:H19)</f>
        <v>16337.5</v>
      </c>
      <c r="I16" s="101">
        <f>SUM(I17:I19)</f>
        <v>0</v>
      </c>
      <c r="J16" s="101">
        <f>SUM(J17:J19)</f>
        <v>16337.5</v>
      </c>
      <c r="K16" s="37"/>
      <c r="L16" s="37"/>
      <c r="M16" s="37"/>
      <c r="N16" s="37"/>
      <c r="O16" s="37"/>
      <c r="P16" s="37"/>
      <c r="Q16" s="102"/>
      <c r="R16" s="37"/>
      <c r="S16" s="37"/>
      <c r="T16" s="37"/>
      <c r="U16" s="101">
        <f>SUM(U17:U19)</f>
        <v>0</v>
      </c>
      <c r="V16" s="101">
        <f>SUM(V17:V19)</f>
        <v>1580.08</v>
      </c>
      <c r="W16" s="101">
        <f>SUM(W17:W19)</f>
        <v>1580.08</v>
      </c>
      <c r="X16" s="101">
        <f>SUM(X17:X19)</f>
        <v>14757.420000000002</v>
      </c>
      <c r="Y16" s="103"/>
      <c r="AE16" s="65"/>
    </row>
    <row r="17" spans="1:31" s="52" customFormat="1" ht="75" customHeight="1" x14ac:dyDescent="0.25">
      <c r="A17" s="46" t="s">
        <v>91</v>
      </c>
      <c r="B17" s="225">
        <v>185</v>
      </c>
      <c r="C17" s="179" t="s">
        <v>118</v>
      </c>
      <c r="D17" s="226" t="s">
        <v>159</v>
      </c>
      <c r="E17" s="181" t="s">
        <v>98</v>
      </c>
      <c r="F17" s="182">
        <v>15</v>
      </c>
      <c r="G17" s="183">
        <f t="shared" si="10"/>
        <v>483.1</v>
      </c>
      <c r="H17" s="184">
        <v>7246.5</v>
      </c>
      <c r="I17" s="185">
        <v>0</v>
      </c>
      <c r="J17" s="186">
        <f t="shared" ref="J17" si="16">SUM(H17:I17)</f>
        <v>7246.5</v>
      </c>
      <c r="K17" s="187">
        <f>IF(H17/15&lt;=SMG,0,I17/2)</f>
        <v>0</v>
      </c>
      <c r="L17" s="187">
        <f t="shared" ref="L17:L19" si="17">H17+K17</f>
        <v>7246.5</v>
      </c>
      <c r="M17" s="187">
        <f>VLOOKUP(L17,Tarifa1,1)</f>
        <v>6602.71</v>
      </c>
      <c r="N17" s="187">
        <f t="shared" ref="N17:N19" si="18">L17-M17</f>
        <v>643.79</v>
      </c>
      <c r="O17" s="188">
        <f>VLOOKUP(L17,Tarifa1,3)</f>
        <v>0.21360000000000001</v>
      </c>
      <c r="P17" s="187">
        <f t="shared" ref="P17:P19" si="19">N17*O17</f>
        <v>137.513544</v>
      </c>
      <c r="Q17" s="189">
        <f>VLOOKUP(L17,Tarifa1,2)</f>
        <v>699.3</v>
      </c>
      <c r="R17" s="187">
        <f t="shared" ref="R17:R19" si="20">P17+Q17</f>
        <v>836.81354399999998</v>
      </c>
      <c r="S17" s="190">
        <f>VLOOKUP(L17,Credito1,2)</f>
        <v>0</v>
      </c>
      <c r="T17" s="187">
        <f t="shared" ref="T17:T19" si="21">ROUND(R17-S17,2)</f>
        <v>836.81</v>
      </c>
      <c r="U17" s="186">
        <f t="shared" ref="U17" si="22">-IF(T17&gt;0,0,T17)</f>
        <v>0</v>
      </c>
      <c r="V17" s="186">
        <f t="shared" ref="V17" si="23">IF(T17&lt;0,0,T17)</f>
        <v>836.81</v>
      </c>
      <c r="W17" s="186">
        <f>SUM(V17:V17)</f>
        <v>836.81</v>
      </c>
      <c r="X17" s="186">
        <f>J17+U17-W17</f>
        <v>6409.6900000000005</v>
      </c>
      <c r="Y17" s="94"/>
      <c r="AE17" s="65"/>
    </row>
    <row r="18" spans="1:31" s="52" customFormat="1" ht="75" customHeight="1" x14ac:dyDescent="0.25">
      <c r="A18" s="46"/>
      <c r="B18" s="178" t="s">
        <v>165</v>
      </c>
      <c r="C18" s="179" t="s">
        <v>118</v>
      </c>
      <c r="D18" s="202" t="s">
        <v>152</v>
      </c>
      <c r="E18" s="181" t="s">
        <v>151</v>
      </c>
      <c r="F18" s="182">
        <v>15</v>
      </c>
      <c r="G18" s="183">
        <f>H18/F18</f>
        <v>348.13333333333333</v>
      </c>
      <c r="H18" s="184">
        <v>5222</v>
      </c>
      <c r="I18" s="185">
        <v>0</v>
      </c>
      <c r="J18" s="186">
        <f>SUM(H18:I18)</f>
        <v>5222</v>
      </c>
      <c r="K18" s="187">
        <f>IF(H18/15&lt;=SMG,0,I18/2)</f>
        <v>0</v>
      </c>
      <c r="L18" s="187">
        <f t="shared" si="17"/>
        <v>5222</v>
      </c>
      <c r="M18" s="187">
        <f>VLOOKUP(L18,Tarifa1,1)</f>
        <v>4744.0600000000004</v>
      </c>
      <c r="N18" s="187">
        <f t="shared" si="18"/>
        <v>477.9399999999996</v>
      </c>
      <c r="O18" s="188">
        <f>VLOOKUP(L18,Tarifa1,3)</f>
        <v>0.16</v>
      </c>
      <c r="P18" s="187">
        <f t="shared" si="19"/>
        <v>76.470399999999941</v>
      </c>
      <c r="Q18" s="189">
        <f>VLOOKUP(L18,Tarifa1,2)</f>
        <v>381</v>
      </c>
      <c r="R18" s="187">
        <f t="shared" si="20"/>
        <v>457.47039999999993</v>
      </c>
      <c r="S18" s="190">
        <f>VLOOKUP(L18,Credito1,2)</f>
        <v>0</v>
      </c>
      <c r="T18" s="187">
        <f t="shared" si="21"/>
        <v>457.47</v>
      </c>
      <c r="U18" s="186">
        <f>-IF(T18&gt;0,0,T18)</f>
        <v>0</v>
      </c>
      <c r="V18" s="186">
        <f>IF(T18&lt;0,0,T18)</f>
        <v>457.47</v>
      </c>
      <c r="W18" s="186">
        <f>SUM(V18:V18)</f>
        <v>457.47</v>
      </c>
      <c r="X18" s="186">
        <f>J18+U18-W18</f>
        <v>4764.53</v>
      </c>
      <c r="Y18" s="94"/>
      <c r="AE18" s="65"/>
    </row>
    <row r="19" spans="1:31" s="52" customFormat="1" ht="75" customHeight="1" x14ac:dyDescent="0.25">
      <c r="A19" s="46"/>
      <c r="B19" s="178" t="s">
        <v>200</v>
      </c>
      <c r="C19" s="179" t="s">
        <v>118</v>
      </c>
      <c r="D19" s="202" t="s">
        <v>197</v>
      </c>
      <c r="E19" s="181" t="s">
        <v>198</v>
      </c>
      <c r="F19" s="182">
        <v>15</v>
      </c>
      <c r="G19" s="183"/>
      <c r="H19" s="184">
        <v>3869</v>
      </c>
      <c r="I19" s="185">
        <v>0</v>
      </c>
      <c r="J19" s="186">
        <f>SUM(H19:I19)</f>
        <v>3869</v>
      </c>
      <c r="K19" s="187">
        <f>IF(H19/15&lt;=SMG,0,I19/2)</f>
        <v>0</v>
      </c>
      <c r="L19" s="187">
        <f t="shared" si="17"/>
        <v>3869</v>
      </c>
      <c r="M19" s="187">
        <f>VLOOKUP(L19,Tarifa1,1)</f>
        <v>2699.41</v>
      </c>
      <c r="N19" s="187">
        <f t="shared" si="18"/>
        <v>1169.5900000000001</v>
      </c>
      <c r="O19" s="188">
        <f>VLOOKUP(L19,Tarifa1,3)</f>
        <v>0.10879999999999999</v>
      </c>
      <c r="P19" s="187">
        <f t="shared" si="19"/>
        <v>127.25139200000001</v>
      </c>
      <c r="Q19" s="189">
        <f>VLOOKUP(L19,Tarifa1,2)</f>
        <v>158.55000000000001</v>
      </c>
      <c r="R19" s="187">
        <f t="shared" si="20"/>
        <v>285.80139200000002</v>
      </c>
      <c r="S19" s="190">
        <f>VLOOKUP(L19,Credito1,2)</f>
        <v>0</v>
      </c>
      <c r="T19" s="187">
        <f t="shared" si="21"/>
        <v>285.8</v>
      </c>
      <c r="U19" s="186">
        <f>-IF(T19&gt;0,0,T19)</f>
        <v>0</v>
      </c>
      <c r="V19" s="195">
        <f>IF(T19&lt;0,0,T19)</f>
        <v>285.8</v>
      </c>
      <c r="W19" s="186">
        <f>SUM(V19:V19)</f>
        <v>285.8</v>
      </c>
      <c r="X19" s="186">
        <f>J19+U19-W19</f>
        <v>3583.2</v>
      </c>
      <c r="Y19" s="94"/>
      <c r="AE19" s="65"/>
    </row>
    <row r="20" spans="1:31" s="52" customFormat="1" ht="52.5" customHeight="1" x14ac:dyDescent="0.25">
      <c r="A20" s="46"/>
      <c r="B20" s="104" t="s">
        <v>104</v>
      </c>
      <c r="C20" s="104" t="s">
        <v>127</v>
      </c>
      <c r="D20" s="37" t="s">
        <v>132</v>
      </c>
      <c r="E20" s="37" t="s">
        <v>62</v>
      </c>
      <c r="F20" s="37"/>
      <c r="G20" s="37"/>
      <c r="H20" s="101">
        <f>SUM(H21)</f>
        <v>4799</v>
      </c>
      <c r="I20" s="101">
        <f>SUM(I21)</f>
        <v>0</v>
      </c>
      <c r="J20" s="101">
        <f>SUM(J21)</f>
        <v>4799</v>
      </c>
      <c r="K20" s="37"/>
      <c r="L20" s="37"/>
      <c r="M20" s="37"/>
      <c r="N20" s="37"/>
      <c r="O20" s="37"/>
      <c r="P20" s="37"/>
      <c r="Q20" s="102"/>
      <c r="R20" s="37"/>
      <c r="S20" s="37"/>
      <c r="T20" s="37"/>
      <c r="U20" s="101">
        <f>SUM(U21)</f>
        <v>0</v>
      </c>
      <c r="V20" s="101">
        <f>SUM(V21)</f>
        <v>389.79</v>
      </c>
      <c r="W20" s="101">
        <f>SUM(W21)</f>
        <v>389.79</v>
      </c>
      <c r="X20" s="101">
        <f>SUM(X21)</f>
        <v>4409.21</v>
      </c>
      <c r="Y20" s="103"/>
      <c r="AE20" s="65"/>
    </row>
    <row r="21" spans="1:31" s="52" customFormat="1" ht="75" customHeight="1" x14ac:dyDescent="0.25">
      <c r="A21" s="46" t="s">
        <v>92</v>
      </c>
      <c r="B21" s="178" t="s">
        <v>167</v>
      </c>
      <c r="C21" s="179" t="s">
        <v>118</v>
      </c>
      <c r="D21" s="181" t="s">
        <v>238</v>
      </c>
      <c r="E21" s="181" t="s">
        <v>103</v>
      </c>
      <c r="F21" s="182">
        <v>15</v>
      </c>
      <c r="G21" s="183">
        <f t="shared" si="10"/>
        <v>319.93333333333334</v>
      </c>
      <c r="H21" s="184">
        <v>4799</v>
      </c>
      <c r="I21" s="185">
        <v>0</v>
      </c>
      <c r="J21" s="186">
        <f>SUM(H21:I21)</f>
        <v>4799</v>
      </c>
      <c r="K21" s="187">
        <f>IF(H21/15&lt;=SMG,0,I21/2)</f>
        <v>0</v>
      </c>
      <c r="L21" s="187">
        <f t="shared" ref="L21" si="24">H21+K21</f>
        <v>4799</v>
      </c>
      <c r="M21" s="187">
        <f>VLOOKUP(L21,Tarifa1,1)</f>
        <v>4744.0600000000004</v>
      </c>
      <c r="N21" s="187">
        <f t="shared" ref="N21" si="25">L21-M21</f>
        <v>54.9399999999996</v>
      </c>
      <c r="O21" s="188">
        <f>VLOOKUP(L21,Tarifa1,3)</f>
        <v>0.16</v>
      </c>
      <c r="P21" s="187">
        <f t="shared" ref="P21" si="26">N21*O21</f>
        <v>8.790399999999936</v>
      </c>
      <c r="Q21" s="189">
        <f>VLOOKUP(L21,Tarifa1,2)</f>
        <v>381</v>
      </c>
      <c r="R21" s="187">
        <f t="shared" ref="R21" si="27">P21+Q21</f>
        <v>389.79039999999992</v>
      </c>
      <c r="S21" s="190">
        <f>VLOOKUP(L21,Credito1,2)</f>
        <v>0</v>
      </c>
      <c r="T21" s="187">
        <f t="shared" ref="T21" si="28">ROUND(R21-S21,2)</f>
        <v>389.79</v>
      </c>
      <c r="U21" s="186">
        <f>-IF(T21&gt;0,0,T21)</f>
        <v>0</v>
      </c>
      <c r="V21" s="186">
        <f>IF(T21&lt;0,0,T21)</f>
        <v>389.79</v>
      </c>
      <c r="W21" s="186">
        <f>SUM(V21:V21)</f>
        <v>389.79</v>
      </c>
      <c r="X21" s="186">
        <f>J21+U21-W21</f>
        <v>4409.21</v>
      </c>
      <c r="Y21" s="94"/>
      <c r="AE21" s="65"/>
    </row>
    <row r="22" spans="1:31" s="52" customFormat="1" ht="42.75" customHeight="1" x14ac:dyDescent="0.25">
      <c r="A22" s="105"/>
      <c r="B22" s="104" t="s">
        <v>104</v>
      </c>
      <c r="C22" s="104" t="s">
        <v>127</v>
      </c>
      <c r="D22" s="37" t="s">
        <v>153</v>
      </c>
      <c r="E22" s="37" t="s">
        <v>62</v>
      </c>
      <c r="F22" s="37"/>
      <c r="G22" s="37"/>
      <c r="H22" s="101">
        <f>SUM(H23)</f>
        <v>5212.5</v>
      </c>
      <c r="I22" s="101">
        <f>SUM(I23)</f>
        <v>872.35</v>
      </c>
      <c r="J22" s="101">
        <f>SUM(J23)</f>
        <v>6084.85</v>
      </c>
      <c r="K22" s="37"/>
      <c r="L22" s="37"/>
      <c r="M22" s="37"/>
      <c r="N22" s="37"/>
      <c r="O22" s="37"/>
      <c r="P22" s="37"/>
      <c r="Q22" s="102"/>
      <c r="R22" s="37"/>
      <c r="S22" s="37"/>
      <c r="T22" s="37"/>
      <c r="U22" s="101">
        <f>SUM(U23)</f>
        <v>0</v>
      </c>
      <c r="V22" s="101">
        <f>SUM(V23)</f>
        <v>528.29999999999995</v>
      </c>
      <c r="W22" s="101">
        <f>SUM(W23)</f>
        <v>528.29999999999995</v>
      </c>
      <c r="X22" s="101">
        <f>SUM(X23)</f>
        <v>5556.55</v>
      </c>
      <c r="Y22" s="103"/>
    </row>
    <row r="23" spans="1:31" s="52" customFormat="1" ht="75" customHeight="1" x14ac:dyDescent="0.25">
      <c r="A23" s="105"/>
      <c r="B23" s="178" t="s">
        <v>166</v>
      </c>
      <c r="C23" s="179" t="s">
        <v>118</v>
      </c>
      <c r="D23" s="180" t="s">
        <v>156</v>
      </c>
      <c r="E23" s="181" t="s">
        <v>157</v>
      </c>
      <c r="F23" s="182">
        <v>15</v>
      </c>
      <c r="G23" s="183">
        <f>H23/F23</f>
        <v>347.5</v>
      </c>
      <c r="H23" s="184">
        <v>5212.5</v>
      </c>
      <c r="I23" s="185">
        <v>872.35</v>
      </c>
      <c r="J23" s="186">
        <f>SUM(H23:I23)</f>
        <v>6084.85</v>
      </c>
      <c r="K23" s="187">
        <f>IF(H23/15&lt;=SMG,0,I23/2)</f>
        <v>436.17500000000001</v>
      </c>
      <c r="L23" s="187">
        <f t="shared" ref="L23" si="29">H23+K23</f>
        <v>5648.6750000000002</v>
      </c>
      <c r="M23" s="187">
        <f>VLOOKUP(L23,Tarifa1,1)</f>
        <v>5514.76</v>
      </c>
      <c r="N23" s="187">
        <f t="shared" ref="N23" si="30">L23-M23</f>
        <v>133.91499999999996</v>
      </c>
      <c r="O23" s="188">
        <f>VLOOKUP(L23,Tarifa1,3)</f>
        <v>0.1792</v>
      </c>
      <c r="P23" s="187">
        <f t="shared" ref="P23" si="31">N23*O23</f>
        <v>23.997567999999994</v>
      </c>
      <c r="Q23" s="189">
        <f>VLOOKUP(L23,Tarifa1,2)</f>
        <v>504.3</v>
      </c>
      <c r="R23" s="187">
        <f t="shared" ref="R23" si="32">P23+Q23</f>
        <v>528.29756799999996</v>
      </c>
      <c r="S23" s="190">
        <f>VLOOKUP(L23,Credito1,2)</f>
        <v>0</v>
      </c>
      <c r="T23" s="187">
        <f t="shared" ref="T23" si="33">ROUND(R23-S23,2)</f>
        <v>528.29999999999995</v>
      </c>
      <c r="U23" s="186">
        <f>-IF(T23&gt;0,0,T23)</f>
        <v>0</v>
      </c>
      <c r="V23" s="186">
        <f>IF(T23&lt;0,0,T23)</f>
        <v>528.29999999999995</v>
      </c>
      <c r="W23" s="186">
        <f>SUM(V23:V23)</f>
        <v>528.29999999999995</v>
      </c>
      <c r="X23" s="186">
        <f>J23+U23-W23</f>
        <v>5556.55</v>
      </c>
      <c r="Y23" s="94"/>
    </row>
    <row r="24" spans="1:31" s="52" customFormat="1" ht="15" x14ac:dyDescent="0.25">
      <c r="A24" s="105"/>
      <c r="B24" s="105"/>
      <c r="C24" s="105"/>
      <c r="D24" s="105"/>
      <c r="E24" s="105"/>
      <c r="F24" s="105"/>
      <c r="G24" s="105"/>
      <c r="H24" s="106"/>
      <c r="I24" s="106"/>
      <c r="J24" s="106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94"/>
    </row>
    <row r="25" spans="1:31" s="52" customFormat="1" ht="39" customHeight="1" x14ac:dyDescent="0.25">
      <c r="A25" s="281" t="s">
        <v>45</v>
      </c>
      <c r="B25" s="281"/>
      <c r="C25" s="281"/>
      <c r="D25" s="281"/>
      <c r="E25" s="281"/>
      <c r="F25" s="281"/>
      <c r="G25" s="281"/>
      <c r="H25" s="227">
        <f>H8+H10+H12+H16+H20+H22</f>
        <v>54073.5</v>
      </c>
      <c r="I25" s="227">
        <f>I8+I10+I12+I16+I20+I22</f>
        <v>872.35</v>
      </c>
      <c r="J25" s="227">
        <f>J8+J10+J12+J16+J20+J22</f>
        <v>54945.85</v>
      </c>
      <c r="K25" s="228">
        <f t="shared" ref="K25:T25" si="34">SUM(K10:K24)</f>
        <v>436.17500000000001</v>
      </c>
      <c r="L25" s="228">
        <f t="shared" si="34"/>
        <v>47701.175000000003</v>
      </c>
      <c r="M25" s="228">
        <f t="shared" si="34"/>
        <v>41821.29</v>
      </c>
      <c r="N25" s="228">
        <f t="shared" si="34"/>
        <v>5879.8849999999993</v>
      </c>
      <c r="O25" s="228">
        <f t="shared" si="34"/>
        <v>1.4319999999999999</v>
      </c>
      <c r="P25" s="228">
        <f t="shared" si="34"/>
        <v>825.72263999999984</v>
      </c>
      <c r="Q25" s="228">
        <f t="shared" si="34"/>
        <v>3644.8500000000004</v>
      </c>
      <c r="R25" s="228">
        <f t="shared" si="34"/>
        <v>4470.5726400000003</v>
      </c>
      <c r="S25" s="228">
        <f t="shared" si="34"/>
        <v>0</v>
      </c>
      <c r="T25" s="228">
        <f t="shared" si="34"/>
        <v>4470.58</v>
      </c>
      <c r="U25" s="227">
        <f>U8+U10+U12+U16+U20+U22</f>
        <v>0</v>
      </c>
      <c r="V25" s="227">
        <f>V8+V10+V12+V16+V20+V22</f>
        <v>5213.84</v>
      </c>
      <c r="W25" s="227">
        <f>W8+W10+W12+W16+W20+W22</f>
        <v>5213.84</v>
      </c>
      <c r="X25" s="227">
        <f>X8+X10+X12+X16+X20+X22</f>
        <v>49732.01</v>
      </c>
      <c r="Y25" s="94"/>
    </row>
    <row r="26" spans="1:31" s="52" customFormat="1" ht="12" x14ac:dyDescent="0.2"/>
    <row r="27" spans="1:31" s="52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27559055118110237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2" zoomScale="77" zoomScaleNormal="77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33.7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4"/>
      <c r="B9" s="144"/>
      <c r="C9" s="144"/>
      <c r="D9" s="143" t="s">
        <v>115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108"/>
    </row>
    <row r="10" spans="1:25" s="4" customFormat="1" ht="95.1" customHeight="1" x14ac:dyDescent="0.25">
      <c r="A10" s="118" t="s">
        <v>86</v>
      </c>
      <c r="B10" s="179" t="s">
        <v>113</v>
      </c>
      <c r="C10" s="179" t="s">
        <v>118</v>
      </c>
      <c r="D10" s="181" t="s">
        <v>102</v>
      </c>
      <c r="E10" s="181" t="s">
        <v>240</v>
      </c>
      <c r="F10" s="182">
        <v>15</v>
      </c>
      <c r="G10" s="183">
        <f>H10/F10</f>
        <v>1077.7333333333333</v>
      </c>
      <c r="H10" s="184">
        <v>16166</v>
      </c>
      <c r="I10" s="185">
        <v>0</v>
      </c>
      <c r="J10" s="186">
        <f>SUM(H10:I10)</f>
        <v>16166</v>
      </c>
      <c r="K10" s="187">
        <f>IF(H10/15&lt;=SMG,0,I10/2)</f>
        <v>0</v>
      </c>
      <c r="L10" s="187">
        <f t="shared" ref="L10" si="0">H10+K10</f>
        <v>16166</v>
      </c>
      <c r="M10" s="187">
        <f>VLOOKUP(L10,Tarifa1,1)</f>
        <v>13316.71</v>
      </c>
      <c r="N10" s="187">
        <f t="shared" ref="N10" si="1">L10-M10</f>
        <v>2849.2900000000009</v>
      </c>
      <c r="O10" s="188">
        <f>VLOOKUP(L10,Tarifa1,3)</f>
        <v>0.23519999999999999</v>
      </c>
      <c r="P10" s="187">
        <f t="shared" ref="P10" si="2">N10*O10</f>
        <v>670.15300800000023</v>
      </c>
      <c r="Q10" s="189">
        <f>VLOOKUP(L10,Tarifa1,2)</f>
        <v>2133.3000000000002</v>
      </c>
      <c r="R10" s="187">
        <f t="shared" ref="R10" si="3">P10+Q10</f>
        <v>2803.4530080000004</v>
      </c>
      <c r="S10" s="190">
        <f>VLOOKUP(L10,Credito1,2)</f>
        <v>0</v>
      </c>
      <c r="T10" s="187">
        <f t="shared" ref="T10" si="4">ROUND(R10-S10,2)</f>
        <v>2803.45</v>
      </c>
      <c r="U10" s="186">
        <f>-IF(T10&gt;0,0,T10)</f>
        <v>0</v>
      </c>
      <c r="V10" s="195">
        <f>IF(T10&lt;0,0,T10)</f>
        <v>2803.45</v>
      </c>
      <c r="W10" s="186">
        <f>SUM(V10:V10)</f>
        <v>2803.45</v>
      </c>
      <c r="X10" s="186">
        <f>J10+U10-W10</f>
        <v>13362.55</v>
      </c>
      <c r="Y10" s="91"/>
    </row>
    <row r="11" spans="1:25" s="4" customFormat="1" ht="95.1" customHeight="1" x14ac:dyDescent="0.25">
      <c r="A11" s="118" t="s">
        <v>88</v>
      </c>
      <c r="B11" s="179" t="s">
        <v>107</v>
      </c>
      <c r="C11" s="179" t="s">
        <v>118</v>
      </c>
      <c r="D11" s="180" t="s">
        <v>76</v>
      </c>
      <c r="E11" s="181" t="s">
        <v>241</v>
      </c>
      <c r="F11" s="182">
        <v>15</v>
      </c>
      <c r="G11" s="183">
        <f>H11/F11</f>
        <v>652</v>
      </c>
      <c r="H11" s="184">
        <v>9780</v>
      </c>
      <c r="I11" s="185">
        <v>0</v>
      </c>
      <c r="J11" s="186">
        <f>H11</f>
        <v>9780</v>
      </c>
      <c r="K11" s="187">
        <f>IF(H11/15&lt;=SMG,0,I11/2)</f>
        <v>0</v>
      </c>
      <c r="L11" s="187">
        <f t="shared" ref="L11:L12" si="5">H11+K11</f>
        <v>9780</v>
      </c>
      <c r="M11" s="187">
        <f>VLOOKUP(L11,Tarifa1,1)</f>
        <v>6602.71</v>
      </c>
      <c r="N11" s="187">
        <f t="shared" ref="N11:N12" si="6">L11-M11</f>
        <v>3177.29</v>
      </c>
      <c r="O11" s="188">
        <f>VLOOKUP(L11,Tarifa1,3)</f>
        <v>0.21360000000000001</v>
      </c>
      <c r="P11" s="187">
        <f t="shared" ref="P11:P12" si="7">N11*O11</f>
        <v>678.66914400000007</v>
      </c>
      <c r="Q11" s="189">
        <f>VLOOKUP(L11,Tarifa1,2)</f>
        <v>699.3</v>
      </c>
      <c r="R11" s="187">
        <f t="shared" ref="R11:R12" si="8">P11+Q11</f>
        <v>1377.9691440000001</v>
      </c>
      <c r="S11" s="190">
        <f>VLOOKUP(L11,Credito1,2)</f>
        <v>0</v>
      </c>
      <c r="T11" s="187">
        <f t="shared" ref="T11:T12" si="9">ROUND(R11-S11,2)</f>
        <v>1377.97</v>
      </c>
      <c r="U11" s="186">
        <f>-IF(T11&gt;0,0,T11)</f>
        <v>0</v>
      </c>
      <c r="V11" s="186">
        <f>IF(T11&lt;0,0,T11)</f>
        <v>1377.97</v>
      </c>
      <c r="W11" s="186">
        <f>SUM(V11:V11)</f>
        <v>1377.97</v>
      </c>
      <c r="X11" s="186">
        <f>J11+U11-W11</f>
        <v>8402.0300000000007</v>
      </c>
      <c r="Y11" s="91"/>
    </row>
    <row r="12" spans="1:25" s="4" customFormat="1" ht="95.1" customHeight="1" x14ac:dyDescent="0.25">
      <c r="A12" s="118" t="s">
        <v>89</v>
      </c>
      <c r="B12" s="179" t="s">
        <v>114</v>
      </c>
      <c r="C12" s="179" t="s">
        <v>118</v>
      </c>
      <c r="D12" s="180" t="s">
        <v>99</v>
      </c>
      <c r="E12" s="181" t="s">
        <v>241</v>
      </c>
      <c r="F12" s="182">
        <v>15</v>
      </c>
      <c r="G12" s="183">
        <f>H12/F12</f>
        <v>399.7</v>
      </c>
      <c r="H12" s="184">
        <v>5995.5</v>
      </c>
      <c r="I12" s="185">
        <v>0</v>
      </c>
      <c r="J12" s="186">
        <f>SUM(H12:I12)</f>
        <v>5995.5</v>
      </c>
      <c r="K12" s="187">
        <f>IF(H12/15&lt;=SMG,0,I12/2)</f>
        <v>0</v>
      </c>
      <c r="L12" s="187">
        <f t="shared" si="5"/>
        <v>5995.5</v>
      </c>
      <c r="M12" s="187">
        <f>VLOOKUP(L12,Tarifa1,1)</f>
        <v>5514.76</v>
      </c>
      <c r="N12" s="187">
        <f t="shared" si="6"/>
        <v>480.73999999999978</v>
      </c>
      <c r="O12" s="188">
        <f>VLOOKUP(L12,Tarifa1,3)</f>
        <v>0.1792</v>
      </c>
      <c r="P12" s="187">
        <f t="shared" si="7"/>
        <v>86.148607999999953</v>
      </c>
      <c r="Q12" s="189">
        <f>VLOOKUP(L12,Tarifa1,2)</f>
        <v>504.3</v>
      </c>
      <c r="R12" s="187">
        <f t="shared" si="8"/>
        <v>590.44860799999992</v>
      </c>
      <c r="S12" s="190">
        <f>VLOOKUP(L12,Credito1,2)</f>
        <v>0</v>
      </c>
      <c r="T12" s="187">
        <f t="shared" si="9"/>
        <v>590.45000000000005</v>
      </c>
      <c r="U12" s="186">
        <f>-IF(T12&gt;0,0,T12)</f>
        <v>0</v>
      </c>
      <c r="V12" s="186">
        <f>IF(T12&lt;0,0,T12)</f>
        <v>590.45000000000005</v>
      </c>
      <c r="W12" s="186">
        <f>SUM(V12:V12)</f>
        <v>590.45000000000005</v>
      </c>
      <c r="X12" s="186">
        <f>J12+U12-W12</f>
        <v>5405.05</v>
      </c>
      <c r="Y12" s="91"/>
    </row>
    <row r="13" spans="1:25" s="4" customFormat="1" ht="36" customHeight="1" x14ac:dyDescent="0.25">
      <c r="A13" s="214"/>
      <c r="B13" s="214"/>
      <c r="C13" s="214"/>
      <c r="D13" s="214"/>
      <c r="E13" s="214"/>
      <c r="F13" s="214"/>
      <c r="G13" s="214"/>
      <c r="H13" s="220"/>
      <c r="I13" s="220"/>
      <c r="J13" s="220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</row>
    <row r="14" spans="1:25" s="4" customFormat="1" ht="60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3">
        <f>SUM(H10:H13)</f>
        <v>31941.5</v>
      </c>
      <c r="I14" s="193">
        <f>SUM(I10:I13)</f>
        <v>0</v>
      </c>
      <c r="J14" s="193">
        <f>SUM(J10:J13)</f>
        <v>31941.5</v>
      </c>
      <c r="K14" s="194">
        <f t="shared" ref="K14:T14" si="10">SUM(K10:K13)</f>
        <v>0</v>
      </c>
      <c r="L14" s="194">
        <f t="shared" si="10"/>
        <v>31941.5</v>
      </c>
      <c r="M14" s="194">
        <f t="shared" si="10"/>
        <v>25434.18</v>
      </c>
      <c r="N14" s="194">
        <f t="shared" si="10"/>
        <v>6507.3200000000006</v>
      </c>
      <c r="O14" s="194">
        <f t="shared" si="10"/>
        <v>0.628</v>
      </c>
      <c r="P14" s="194">
        <f t="shared" si="10"/>
        <v>1434.9707600000002</v>
      </c>
      <c r="Q14" s="194">
        <f t="shared" si="10"/>
        <v>3336.9000000000005</v>
      </c>
      <c r="R14" s="194">
        <f t="shared" si="10"/>
        <v>4771.8707600000007</v>
      </c>
      <c r="S14" s="194">
        <f t="shared" si="10"/>
        <v>0</v>
      </c>
      <c r="T14" s="194">
        <f t="shared" si="10"/>
        <v>4771.87</v>
      </c>
      <c r="U14" s="193">
        <f>SUM(U10:U13)</f>
        <v>0</v>
      </c>
      <c r="V14" s="193">
        <f>SUM(V10:V13)</f>
        <v>4771.87</v>
      </c>
      <c r="W14" s="193">
        <f>SUM(W10:W13)</f>
        <v>4771.87</v>
      </c>
      <c r="X14" s="193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4"/>
      <c r="J6" s="24" t="s">
        <v>26</v>
      </c>
      <c r="K6" s="25"/>
      <c r="L6" s="265" t="s">
        <v>9</v>
      </c>
      <c r="M6" s="266"/>
      <c r="N6" s="266"/>
      <c r="O6" s="266"/>
      <c r="P6" s="266"/>
      <c r="Q6" s="267"/>
      <c r="R6" s="24" t="s">
        <v>30</v>
      </c>
      <c r="S6" s="24" t="s">
        <v>10</v>
      </c>
      <c r="T6" s="23" t="s">
        <v>54</v>
      </c>
      <c r="U6" s="268" t="s">
        <v>2</v>
      </c>
      <c r="V6" s="269"/>
      <c r="W6" s="23" t="s">
        <v>0</v>
      </c>
      <c r="X6" s="34"/>
    </row>
    <row r="7" spans="1:25" ht="33.75" customHeight="1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8" t="s">
        <v>86</v>
      </c>
      <c r="B10" s="178" t="s">
        <v>267</v>
      </c>
      <c r="C10" s="179" t="s">
        <v>118</v>
      </c>
      <c r="D10" s="181" t="s">
        <v>250</v>
      </c>
      <c r="E10" s="180" t="s">
        <v>78</v>
      </c>
      <c r="F10" s="182">
        <v>15</v>
      </c>
      <c r="G10" s="229">
        <f>H10/F10</f>
        <v>572.79999999999995</v>
      </c>
      <c r="H10" s="184">
        <v>8592</v>
      </c>
      <c r="I10" s="186">
        <f t="shared" ref="I10:I18" si="0">SUM(H10:H10)</f>
        <v>8592</v>
      </c>
      <c r="J10" s="187">
        <v>0</v>
      </c>
      <c r="K10" s="187">
        <f>I10+J10</f>
        <v>8592</v>
      </c>
      <c r="L10" s="187">
        <f t="shared" ref="L10" si="1">VLOOKUP(K10,Tarifa1,1)</f>
        <v>6602.71</v>
      </c>
      <c r="M10" s="187">
        <f>K10-L10</f>
        <v>1989.29</v>
      </c>
      <c r="N10" s="188">
        <f t="shared" ref="N10" si="2">VLOOKUP(K10,Tarifa1,3)</f>
        <v>0.21360000000000001</v>
      </c>
      <c r="O10" s="187">
        <f>M10*N10</f>
        <v>424.91234400000002</v>
      </c>
      <c r="P10" s="189">
        <f t="shared" ref="P10" si="3">VLOOKUP(K10,Tarifa1,2)</f>
        <v>699.3</v>
      </c>
      <c r="Q10" s="187">
        <f>O10+P10</f>
        <v>1124.212344</v>
      </c>
      <c r="R10" s="187">
        <f t="shared" ref="R10" si="4">VLOOKUP(K10,Credito1,2)</f>
        <v>0</v>
      </c>
      <c r="S10" s="187">
        <f>ROUND(Q10-R10,2)</f>
        <v>1124.21</v>
      </c>
      <c r="T10" s="186">
        <f t="shared" ref="T10:T18" si="5">-IF(S10&gt;0,0,S10)</f>
        <v>0</v>
      </c>
      <c r="U10" s="186">
        <f t="shared" ref="U10:U18" si="6">IF(S10&lt;0,0,S10)</f>
        <v>1124.21</v>
      </c>
      <c r="V10" s="186">
        <f>SUM(U10:U10)</f>
        <v>1124.21</v>
      </c>
      <c r="W10" s="186">
        <f>I10+T10-V10</f>
        <v>7467.79</v>
      </c>
      <c r="X10" s="33"/>
    </row>
    <row r="11" spans="1:25" ht="75" customHeight="1" x14ac:dyDescent="0.25">
      <c r="A11" s="118" t="s">
        <v>87</v>
      </c>
      <c r="B11" s="178" t="s">
        <v>248</v>
      </c>
      <c r="C11" s="179" t="s">
        <v>118</v>
      </c>
      <c r="D11" s="181" t="s">
        <v>251</v>
      </c>
      <c r="E11" s="180" t="s">
        <v>78</v>
      </c>
      <c r="F11" s="182">
        <v>15</v>
      </c>
      <c r="G11" s="229">
        <f t="shared" ref="G11:G18" si="7">H11/F11</f>
        <v>572.79999999999995</v>
      </c>
      <c r="H11" s="184">
        <v>8592</v>
      </c>
      <c r="I11" s="186">
        <f t="shared" si="0"/>
        <v>8592</v>
      </c>
      <c r="J11" s="187">
        <v>0</v>
      </c>
      <c r="K11" s="187">
        <f t="shared" ref="K11:K18" si="8">I11+J11</f>
        <v>8592</v>
      </c>
      <c r="L11" s="187">
        <f t="shared" ref="L11:L18" si="9">VLOOKUP(K11,Tarifa1,1)</f>
        <v>6602.71</v>
      </c>
      <c r="M11" s="187">
        <f t="shared" ref="M11:M18" si="10">K11-L11</f>
        <v>1989.29</v>
      </c>
      <c r="N11" s="188">
        <f t="shared" ref="N11:N18" si="11">VLOOKUP(K11,Tarifa1,3)</f>
        <v>0.21360000000000001</v>
      </c>
      <c r="O11" s="187">
        <f t="shared" ref="O11:O18" si="12">M11*N11</f>
        <v>424.91234400000002</v>
      </c>
      <c r="P11" s="189">
        <f t="shared" ref="P11:P18" si="13">VLOOKUP(K11,Tarifa1,2)</f>
        <v>699.3</v>
      </c>
      <c r="Q11" s="187">
        <f t="shared" ref="Q11:Q18" si="14">O11+P11</f>
        <v>1124.212344</v>
      </c>
      <c r="R11" s="187">
        <f t="shared" ref="R11:R18" si="15">VLOOKUP(K11,Credito1,2)</f>
        <v>0</v>
      </c>
      <c r="S11" s="187">
        <f t="shared" ref="S11:S18" si="16">ROUND(Q11-R11,2)</f>
        <v>1124.21</v>
      </c>
      <c r="T11" s="186">
        <f t="shared" si="5"/>
        <v>0</v>
      </c>
      <c r="U11" s="186">
        <f t="shared" si="6"/>
        <v>1124.21</v>
      </c>
      <c r="V11" s="186">
        <f>SUM(U11:U11)</f>
        <v>1124.21</v>
      </c>
      <c r="W11" s="186">
        <f>I11+T11-V11</f>
        <v>7467.79</v>
      </c>
      <c r="X11" s="33"/>
    </row>
    <row r="12" spans="1:25" ht="75" customHeight="1" x14ac:dyDescent="0.25">
      <c r="A12" s="118" t="s">
        <v>88</v>
      </c>
      <c r="B12" s="178" t="s">
        <v>249</v>
      </c>
      <c r="C12" s="179" t="s">
        <v>118</v>
      </c>
      <c r="D12" s="181" t="s">
        <v>252</v>
      </c>
      <c r="E12" s="180" t="s">
        <v>78</v>
      </c>
      <c r="F12" s="182">
        <v>15</v>
      </c>
      <c r="G12" s="229">
        <f t="shared" si="7"/>
        <v>572.79999999999995</v>
      </c>
      <c r="H12" s="184">
        <v>8592</v>
      </c>
      <c r="I12" s="186">
        <f t="shared" si="0"/>
        <v>8592</v>
      </c>
      <c r="J12" s="187">
        <v>0</v>
      </c>
      <c r="K12" s="187">
        <f t="shared" si="8"/>
        <v>8592</v>
      </c>
      <c r="L12" s="187">
        <f t="shared" si="9"/>
        <v>6602.71</v>
      </c>
      <c r="M12" s="187">
        <f t="shared" si="10"/>
        <v>1989.29</v>
      </c>
      <c r="N12" s="188">
        <f t="shared" si="11"/>
        <v>0.21360000000000001</v>
      </c>
      <c r="O12" s="187">
        <f t="shared" si="12"/>
        <v>424.91234400000002</v>
      </c>
      <c r="P12" s="189">
        <f t="shared" si="13"/>
        <v>699.3</v>
      </c>
      <c r="Q12" s="187">
        <f t="shared" si="14"/>
        <v>1124.212344</v>
      </c>
      <c r="R12" s="187">
        <f t="shared" si="15"/>
        <v>0</v>
      </c>
      <c r="S12" s="187">
        <f t="shared" si="16"/>
        <v>1124.21</v>
      </c>
      <c r="T12" s="186">
        <f t="shared" si="5"/>
        <v>0</v>
      </c>
      <c r="U12" s="186">
        <f t="shared" si="6"/>
        <v>1124.21</v>
      </c>
      <c r="V12" s="186">
        <f>SUM(U12:U12)</f>
        <v>1124.21</v>
      </c>
      <c r="W12" s="186">
        <f>I12+T12-V12</f>
        <v>7467.79</v>
      </c>
      <c r="X12" s="33"/>
    </row>
    <row r="13" spans="1:25" ht="75" customHeight="1" x14ac:dyDescent="0.25">
      <c r="A13" s="118" t="s">
        <v>89</v>
      </c>
      <c r="B13" s="178" t="s">
        <v>268</v>
      </c>
      <c r="C13" s="179" t="s">
        <v>118</v>
      </c>
      <c r="D13" s="180" t="s">
        <v>253</v>
      </c>
      <c r="E13" s="180" t="s">
        <v>78</v>
      </c>
      <c r="F13" s="182">
        <v>10</v>
      </c>
      <c r="G13" s="229">
        <f t="shared" si="7"/>
        <v>859.2</v>
      </c>
      <c r="H13" s="184">
        <v>8592</v>
      </c>
      <c r="I13" s="186">
        <f t="shared" ref="I13" si="17">SUM(H13:H13)</f>
        <v>8592</v>
      </c>
      <c r="J13" s="187">
        <v>0</v>
      </c>
      <c r="K13" s="187">
        <f t="shared" ref="K13" si="18">I13+J13</f>
        <v>8592</v>
      </c>
      <c r="L13" s="187">
        <f t="shared" ref="L13" si="19">VLOOKUP(K13,Tarifa1,1)</f>
        <v>6602.71</v>
      </c>
      <c r="M13" s="187">
        <f t="shared" ref="M13" si="20">K13-L13</f>
        <v>1989.29</v>
      </c>
      <c r="N13" s="188">
        <f t="shared" ref="N13" si="21">VLOOKUP(K13,Tarifa1,3)</f>
        <v>0.21360000000000001</v>
      </c>
      <c r="O13" s="187">
        <f t="shared" ref="O13" si="22">M13*N13</f>
        <v>424.91234400000002</v>
      </c>
      <c r="P13" s="189">
        <f t="shared" ref="P13" si="23">VLOOKUP(K13,Tarifa1,2)</f>
        <v>699.3</v>
      </c>
      <c r="Q13" s="187">
        <f t="shared" ref="Q13" si="24">O13+P13</f>
        <v>1124.212344</v>
      </c>
      <c r="R13" s="187">
        <f t="shared" ref="R13" si="25">VLOOKUP(K13,Credito1,2)</f>
        <v>0</v>
      </c>
      <c r="S13" s="187">
        <f t="shared" ref="S13" si="26">ROUND(Q13-R13,2)</f>
        <v>1124.21</v>
      </c>
      <c r="T13" s="186">
        <f t="shared" si="5"/>
        <v>0</v>
      </c>
      <c r="U13" s="186">
        <f t="shared" si="6"/>
        <v>1124.21</v>
      </c>
      <c r="V13" s="186">
        <f>SUM(U13:U13)</f>
        <v>1124.21</v>
      </c>
      <c r="W13" s="186">
        <f>I13+T13-V13</f>
        <v>7467.79</v>
      </c>
      <c r="X13" s="33"/>
    </row>
    <row r="14" spans="1:25" ht="75" customHeight="1" x14ac:dyDescent="0.25">
      <c r="A14" s="118" t="s">
        <v>90</v>
      </c>
      <c r="B14" s="178" t="s">
        <v>269</v>
      </c>
      <c r="C14" s="179" t="s">
        <v>118</v>
      </c>
      <c r="D14" s="206" t="s">
        <v>254</v>
      </c>
      <c r="E14" s="202" t="s">
        <v>78</v>
      </c>
      <c r="F14" s="203">
        <v>15</v>
      </c>
      <c r="G14" s="230">
        <f t="shared" si="7"/>
        <v>572.79999999999995</v>
      </c>
      <c r="H14" s="184">
        <v>8592</v>
      </c>
      <c r="I14" s="186">
        <f t="shared" ref="I14" si="27">SUM(H14:H14)</f>
        <v>8592</v>
      </c>
      <c r="J14" s="187">
        <v>0</v>
      </c>
      <c r="K14" s="187">
        <f t="shared" si="8"/>
        <v>8592</v>
      </c>
      <c r="L14" s="187">
        <f t="shared" si="9"/>
        <v>6602.71</v>
      </c>
      <c r="M14" s="187">
        <f t="shared" si="10"/>
        <v>1989.29</v>
      </c>
      <c r="N14" s="188">
        <f t="shared" si="11"/>
        <v>0.21360000000000001</v>
      </c>
      <c r="O14" s="187">
        <f t="shared" si="12"/>
        <v>424.91234400000002</v>
      </c>
      <c r="P14" s="189">
        <f t="shared" si="13"/>
        <v>699.3</v>
      </c>
      <c r="Q14" s="187">
        <f t="shared" si="14"/>
        <v>1124.212344</v>
      </c>
      <c r="R14" s="187">
        <f t="shared" si="15"/>
        <v>0</v>
      </c>
      <c r="S14" s="187">
        <f t="shared" si="16"/>
        <v>1124.21</v>
      </c>
      <c r="T14" s="186">
        <f t="shared" ref="T14" si="28">-IF(S14&gt;0,0,S14)</f>
        <v>0</v>
      </c>
      <c r="U14" s="186">
        <f t="shared" ref="U14" si="29">IF(S14&lt;0,0,S14)</f>
        <v>1124.21</v>
      </c>
      <c r="V14" s="186">
        <f>SUM(U14:U14)</f>
        <v>1124.21</v>
      </c>
      <c r="W14" s="186">
        <f>I14+T14-V14</f>
        <v>7467.79</v>
      </c>
      <c r="X14" s="33"/>
    </row>
    <row r="15" spans="1:25" ht="75" customHeight="1" x14ac:dyDescent="0.25">
      <c r="A15" s="118" t="s">
        <v>91</v>
      </c>
      <c r="B15" s="178" t="s">
        <v>270</v>
      </c>
      <c r="C15" s="179" t="s">
        <v>118</v>
      </c>
      <c r="D15" s="181" t="s">
        <v>255</v>
      </c>
      <c r="E15" s="180" t="s">
        <v>78</v>
      </c>
      <c r="F15" s="182">
        <v>15</v>
      </c>
      <c r="G15" s="229">
        <f t="shared" si="7"/>
        <v>572.79999999999995</v>
      </c>
      <c r="H15" s="184">
        <v>8592</v>
      </c>
      <c r="I15" s="186">
        <f t="shared" si="0"/>
        <v>8592</v>
      </c>
      <c r="J15" s="187">
        <v>0</v>
      </c>
      <c r="K15" s="187">
        <f t="shared" si="8"/>
        <v>8592</v>
      </c>
      <c r="L15" s="187">
        <f t="shared" si="9"/>
        <v>6602.71</v>
      </c>
      <c r="M15" s="187">
        <f t="shared" si="10"/>
        <v>1989.29</v>
      </c>
      <c r="N15" s="188">
        <f t="shared" si="11"/>
        <v>0.21360000000000001</v>
      </c>
      <c r="O15" s="187">
        <f t="shared" si="12"/>
        <v>424.91234400000002</v>
      </c>
      <c r="P15" s="189">
        <f t="shared" si="13"/>
        <v>699.3</v>
      </c>
      <c r="Q15" s="187">
        <f t="shared" si="14"/>
        <v>1124.212344</v>
      </c>
      <c r="R15" s="187">
        <f t="shared" si="15"/>
        <v>0</v>
      </c>
      <c r="S15" s="187">
        <f t="shared" si="16"/>
        <v>1124.21</v>
      </c>
      <c r="T15" s="186">
        <f t="shared" si="5"/>
        <v>0</v>
      </c>
      <c r="U15" s="186">
        <f t="shared" si="6"/>
        <v>1124.21</v>
      </c>
      <c r="V15" s="186">
        <f>SUM(U15:U15)</f>
        <v>1124.21</v>
      </c>
      <c r="W15" s="186">
        <f>I15+T15-V15</f>
        <v>7467.79</v>
      </c>
      <c r="X15" s="33"/>
    </row>
    <row r="16" spans="1:25" ht="75" customHeight="1" x14ac:dyDescent="0.25">
      <c r="A16" s="118" t="s">
        <v>92</v>
      </c>
      <c r="B16" s="178" t="s">
        <v>256</v>
      </c>
      <c r="C16" s="179" t="s">
        <v>118</v>
      </c>
      <c r="D16" s="181" t="s">
        <v>257</v>
      </c>
      <c r="E16" s="180" t="s">
        <v>78</v>
      </c>
      <c r="F16" s="182">
        <v>15</v>
      </c>
      <c r="G16" s="229">
        <f t="shared" si="7"/>
        <v>572.79999999999995</v>
      </c>
      <c r="H16" s="184">
        <v>8592</v>
      </c>
      <c r="I16" s="186">
        <f t="shared" si="0"/>
        <v>8592</v>
      </c>
      <c r="J16" s="187">
        <v>0</v>
      </c>
      <c r="K16" s="187">
        <f t="shared" si="8"/>
        <v>8592</v>
      </c>
      <c r="L16" s="187">
        <f t="shared" si="9"/>
        <v>6602.71</v>
      </c>
      <c r="M16" s="187">
        <f t="shared" si="10"/>
        <v>1989.29</v>
      </c>
      <c r="N16" s="188">
        <f t="shared" si="11"/>
        <v>0.21360000000000001</v>
      </c>
      <c r="O16" s="187">
        <f t="shared" si="12"/>
        <v>424.91234400000002</v>
      </c>
      <c r="P16" s="189">
        <f t="shared" si="13"/>
        <v>699.3</v>
      </c>
      <c r="Q16" s="187">
        <f t="shared" si="14"/>
        <v>1124.212344</v>
      </c>
      <c r="R16" s="187">
        <f t="shared" si="15"/>
        <v>0</v>
      </c>
      <c r="S16" s="187">
        <f t="shared" si="16"/>
        <v>1124.21</v>
      </c>
      <c r="T16" s="186">
        <f t="shared" si="5"/>
        <v>0</v>
      </c>
      <c r="U16" s="186">
        <f t="shared" si="6"/>
        <v>1124.21</v>
      </c>
      <c r="V16" s="186">
        <f>SUM(U16:U16)</f>
        <v>1124.21</v>
      </c>
      <c r="W16" s="186">
        <f>I16+T16-V16</f>
        <v>7467.79</v>
      </c>
      <c r="X16" s="33"/>
    </row>
    <row r="17" spans="1:24" ht="75" customHeight="1" x14ac:dyDescent="0.25">
      <c r="A17" s="118" t="s">
        <v>93</v>
      </c>
      <c r="B17" s="178" t="s">
        <v>271</v>
      </c>
      <c r="C17" s="179" t="s">
        <v>118</v>
      </c>
      <c r="D17" s="181" t="s">
        <v>258</v>
      </c>
      <c r="E17" s="180" t="s">
        <v>78</v>
      </c>
      <c r="F17" s="182">
        <v>15</v>
      </c>
      <c r="G17" s="229">
        <f t="shared" si="7"/>
        <v>572.79999999999995</v>
      </c>
      <c r="H17" s="184">
        <v>8592</v>
      </c>
      <c r="I17" s="186">
        <f t="shared" si="0"/>
        <v>8592</v>
      </c>
      <c r="J17" s="187">
        <v>0</v>
      </c>
      <c r="K17" s="187">
        <f t="shared" si="8"/>
        <v>8592</v>
      </c>
      <c r="L17" s="187">
        <f t="shared" si="9"/>
        <v>6602.71</v>
      </c>
      <c r="M17" s="187">
        <f t="shared" si="10"/>
        <v>1989.29</v>
      </c>
      <c r="N17" s="188">
        <f t="shared" si="11"/>
        <v>0.21360000000000001</v>
      </c>
      <c r="O17" s="187">
        <f t="shared" si="12"/>
        <v>424.91234400000002</v>
      </c>
      <c r="P17" s="189">
        <f t="shared" si="13"/>
        <v>699.3</v>
      </c>
      <c r="Q17" s="187">
        <f t="shared" si="14"/>
        <v>1124.212344</v>
      </c>
      <c r="R17" s="187">
        <f t="shared" si="15"/>
        <v>0</v>
      </c>
      <c r="S17" s="187">
        <f t="shared" si="16"/>
        <v>1124.21</v>
      </c>
      <c r="T17" s="186">
        <f t="shared" si="5"/>
        <v>0</v>
      </c>
      <c r="U17" s="186">
        <f t="shared" si="6"/>
        <v>1124.21</v>
      </c>
      <c r="V17" s="186">
        <f>SUM(U17:U17)</f>
        <v>1124.21</v>
      </c>
      <c r="W17" s="186">
        <f>I17+T17-V17</f>
        <v>7467.79</v>
      </c>
      <c r="X17" s="33"/>
    </row>
    <row r="18" spans="1:24" ht="75" customHeight="1" x14ac:dyDescent="0.25">
      <c r="A18" s="118" t="s">
        <v>94</v>
      </c>
      <c r="B18" s="178" t="s">
        <v>272</v>
      </c>
      <c r="C18" s="179" t="s">
        <v>118</v>
      </c>
      <c r="D18" s="180" t="s">
        <v>279</v>
      </c>
      <c r="E18" s="180" t="s">
        <v>78</v>
      </c>
      <c r="F18" s="182">
        <v>15</v>
      </c>
      <c r="G18" s="229">
        <f t="shared" si="7"/>
        <v>572.79999999999995</v>
      </c>
      <c r="H18" s="184">
        <v>8592</v>
      </c>
      <c r="I18" s="186">
        <f t="shared" si="0"/>
        <v>8592</v>
      </c>
      <c r="J18" s="187">
        <v>0</v>
      </c>
      <c r="K18" s="187">
        <f t="shared" si="8"/>
        <v>8592</v>
      </c>
      <c r="L18" s="187">
        <f t="shared" si="9"/>
        <v>6602.71</v>
      </c>
      <c r="M18" s="187">
        <f t="shared" si="10"/>
        <v>1989.29</v>
      </c>
      <c r="N18" s="188">
        <f t="shared" si="11"/>
        <v>0.21360000000000001</v>
      </c>
      <c r="O18" s="187">
        <f t="shared" si="12"/>
        <v>424.91234400000002</v>
      </c>
      <c r="P18" s="189">
        <f t="shared" si="13"/>
        <v>699.3</v>
      </c>
      <c r="Q18" s="187">
        <f t="shared" si="14"/>
        <v>1124.212344</v>
      </c>
      <c r="R18" s="187">
        <f t="shared" si="15"/>
        <v>0</v>
      </c>
      <c r="S18" s="187">
        <f t="shared" si="16"/>
        <v>1124.21</v>
      </c>
      <c r="T18" s="186">
        <f t="shared" si="5"/>
        <v>0</v>
      </c>
      <c r="U18" s="186">
        <f t="shared" si="6"/>
        <v>1124.21</v>
      </c>
      <c r="V18" s="186">
        <f>SUM(U18:U18)</f>
        <v>1124.21</v>
      </c>
      <c r="W18" s="186">
        <f>I18+T18-V18</f>
        <v>7467.79</v>
      </c>
      <c r="X18" s="33"/>
    </row>
    <row r="19" spans="1:24" ht="21.75" customHeight="1" x14ac:dyDescent="0.25">
      <c r="A19" s="214"/>
      <c r="B19" s="214"/>
      <c r="C19" s="214"/>
      <c r="D19" s="214"/>
      <c r="E19" s="214"/>
      <c r="F19" s="214"/>
      <c r="G19" s="214"/>
      <c r="H19" s="220"/>
      <c r="I19" s="220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4" ht="40.5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>SUM(H10:H19)</f>
        <v>77328</v>
      </c>
      <c r="I20" s="193">
        <f>SUM(I10:I19)</f>
        <v>77328</v>
      </c>
      <c r="J20" s="194">
        <f t="shared" ref="J20:S20" si="30">SUM(J10:J19)</f>
        <v>0</v>
      </c>
      <c r="K20" s="194">
        <f t="shared" si="30"/>
        <v>77328</v>
      </c>
      <c r="L20" s="194">
        <f t="shared" si="30"/>
        <v>59424.39</v>
      </c>
      <c r="M20" s="194">
        <f t="shared" si="30"/>
        <v>17903.610000000004</v>
      </c>
      <c r="N20" s="194">
        <f t="shared" si="30"/>
        <v>1.9224000000000001</v>
      </c>
      <c r="O20" s="194">
        <f t="shared" si="30"/>
        <v>3824.2110959999995</v>
      </c>
      <c r="P20" s="194">
        <f t="shared" si="30"/>
        <v>6293.7000000000007</v>
      </c>
      <c r="Q20" s="194">
        <f t="shared" si="30"/>
        <v>10117.911095999998</v>
      </c>
      <c r="R20" s="194">
        <f t="shared" si="30"/>
        <v>0</v>
      </c>
      <c r="S20" s="194">
        <f t="shared" si="30"/>
        <v>10117.89</v>
      </c>
      <c r="T20" s="193">
        <f>SUM(T10:T19)</f>
        <v>0</v>
      </c>
      <c r="U20" s="193">
        <f>SUM(U10:U19)</f>
        <v>10117.89</v>
      </c>
      <c r="V20" s="193">
        <f>SUM(V10:V19)</f>
        <v>10117.89</v>
      </c>
      <c r="W20" s="193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2022-04-27T15:31:50Z</cp:lastPrinted>
  <dcterms:created xsi:type="dcterms:W3CDTF">2000-05-05T04:08:27Z</dcterms:created>
  <dcterms:modified xsi:type="dcterms:W3CDTF">2023-09-14T20:55:51Z</dcterms:modified>
</cp:coreProperties>
</file>