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0770B4D4-7F56-4A45-B5C6-07243FDB431F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SINDICO!$1:$25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35" l="1"/>
  <c r="J21" i="135" s="1"/>
  <c r="H21" i="135"/>
  <c r="K10" i="132"/>
  <c r="L10" i="132" s="1"/>
  <c r="J10" i="132"/>
  <c r="K10" i="118"/>
  <c r="L10" i="118" s="1"/>
  <c r="S10" i="118" s="1"/>
  <c r="J10" i="118"/>
  <c r="K10" i="119"/>
  <c r="L10" i="119" s="1"/>
  <c r="J10" i="119"/>
  <c r="J11" i="136"/>
  <c r="K11" i="136" s="1"/>
  <c r="I11" i="136"/>
  <c r="K17" i="123"/>
  <c r="L17" i="123" s="1"/>
  <c r="J17" i="123"/>
  <c r="Q21" i="135" l="1"/>
  <c r="M21" i="135"/>
  <c r="O21" i="135"/>
  <c r="K21" i="135"/>
  <c r="L21" i="135" s="1"/>
  <c r="N21" i="135" s="1"/>
  <c r="O10" i="132"/>
  <c r="S10" i="132"/>
  <c r="Q10" i="132"/>
  <c r="M10" i="132"/>
  <c r="N10" i="132" s="1"/>
  <c r="M10" i="118"/>
  <c r="N10" i="118" s="1"/>
  <c r="Q10" i="118"/>
  <c r="O10" i="118"/>
  <c r="S10" i="119"/>
  <c r="Q10" i="119"/>
  <c r="M10" i="119"/>
  <c r="N10" i="119" s="1"/>
  <c r="P10" i="119" s="1"/>
  <c r="R10" i="119" s="1"/>
  <c r="T10" i="119" s="1"/>
  <c r="O10" i="119"/>
  <c r="R11" i="136"/>
  <c r="N11" i="136"/>
  <c r="P11" i="136"/>
  <c r="L11" i="136"/>
  <c r="M11" i="136" s="1"/>
  <c r="O11" i="136" s="1"/>
  <c r="Q11" i="136" s="1"/>
  <c r="S11" i="136" s="1"/>
  <c r="S17" i="123"/>
  <c r="O17" i="123"/>
  <c r="Q17" i="123"/>
  <c r="M17" i="123"/>
  <c r="N17" i="123" s="1"/>
  <c r="P17" i="123" l="1"/>
  <c r="P21" i="135"/>
  <c r="R21" i="135" s="1"/>
  <c r="P10" i="132"/>
  <c r="R10" i="132" s="1"/>
  <c r="T10" i="132" s="1"/>
  <c r="V10" i="132" s="1"/>
  <c r="W10" i="132" s="1"/>
  <c r="P10" i="118"/>
  <c r="R10" i="118" s="1"/>
  <c r="T10" i="118" s="1"/>
  <c r="V10" i="119"/>
  <c r="W10" i="119" s="1"/>
  <c r="U10" i="119"/>
  <c r="U11" i="136"/>
  <c r="V11" i="136" s="1"/>
  <c r="T11" i="136"/>
  <c r="R17" i="123"/>
  <c r="T17" i="123" s="1"/>
  <c r="W11" i="136" l="1"/>
  <c r="T21" i="135"/>
  <c r="U21" i="135" s="1"/>
  <c r="S21" i="135"/>
  <c r="U10" i="132"/>
  <c r="X10" i="132" s="1"/>
  <c r="V10" i="118"/>
  <c r="W10" i="118" s="1"/>
  <c r="U10" i="118"/>
  <c r="X10" i="119"/>
  <c r="V17" i="123"/>
  <c r="W17" i="123" s="1"/>
  <c r="U17" i="123"/>
  <c r="X10" i="118" l="1"/>
  <c r="V21" i="135"/>
  <c r="X17" i="123"/>
  <c r="K14" i="123"/>
  <c r="L14" i="123" s="1"/>
  <c r="J14" i="123"/>
  <c r="K33" i="123"/>
  <c r="L33" i="123" s="1"/>
  <c r="J33" i="123"/>
  <c r="K12" i="134"/>
  <c r="L12" i="134" s="1"/>
  <c r="J12" i="134"/>
  <c r="K9" i="120"/>
  <c r="L9" i="120" s="1"/>
  <c r="J9" i="120"/>
  <c r="K10" i="134"/>
  <c r="L10" i="134" s="1"/>
  <c r="J10" i="134"/>
  <c r="K17" i="119"/>
  <c r="L17" i="119" s="1"/>
  <c r="J17" i="119"/>
  <c r="K15" i="119"/>
  <c r="L15" i="119" s="1"/>
  <c r="J15" i="119"/>
  <c r="V15" i="121"/>
  <c r="V20" i="119"/>
  <c r="S14" i="123" l="1"/>
  <c r="O14" i="123"/>
  <c r="Q14" i="123"/>
  <c r="M14" i="123"/>
  <c r="N14" i="123" s="1"/>
  <c r="Q33" i="123"/>
  <c r="M33" i="123"/>
  <c r="N33" i="123" s="1"/>
  <c r="S33" i="123"/>
  <c r="O33" i="123"/>
  <c r="S12" i="134"/>
  <c r="O12" i="134"/>
  <c r="Q12" i="134"/>
  <c r="M12" i="134"/>
  <c r="N12" i="134" s="1"/>
  <c r="S9" i="120"/>
  <c r="O9" i="120"/>
  <c r="Q9" i="120"/>
  <c r="M9" i="120"/>
  <c r="N9" i="120" s="1"/>
  <c r="P9" i="120" s="1"/>
  <c r="S10" i="134"/>
  <c r="O10" i="134"/>
  <c r="Q10" i="134"/>
  <c r="M10" i="134"/>
  <c r="N10" i="134" s="1"/>
  <c r="P10" i="134" s="1"/>
  <c r="S17" i="119"/>
  <c r="O17" i="119"/>
  <c r="Q17" i="119"/>
  <c r="M17" i="119"/>
  <c r="N17" i="119" s="1"/>
  <c r="S15" i="119"/>
  <c r="O15" i="119"/>
  <c r="Q15" i="119"/>
  <c r="M15" i="119"/>
  <c r="N15" i="119" s="1"/>
  <c r="P15" i="119" s="1"/>
  <c r="R15" i="119" s="1"/>
  <c r="T15" i="119" s="1"/>
  <c r="K29" i="120"/>
  <c r="L29" i="120" s="1"/>
  <c r="J29" i="120"/>
  <c r="I13" i="134"/>
  <c r="H13" i="134"/>
  <c r="K14" i="134"/>
  <c r="L14" i="134" s="1"/>
  <c r="J14" i="134"/>
  <c r="J13" i="134" s="1"/>
  <c r="G14" i="134"/>
  <c r="P14" i="123" l="1"/>
  <c r="R14" i="123" s="1"/>
  <c r="T14" i="123" s="1"/>
  <c r="V14" i="123" s="1"/>
  <c r="W14" i="123" s="1"/>
  <c r="P33" i="123"/>
  <c r="R33" i="123" s="1"/>
  <c r="T33" i="123" s="1"/>
  <c r="V33" i="123" s="1"/>
  <c r="W33" i="123" s="1"/>
  <c r="R9" i="120"/>
  <c r="T9" i="120" s="1"/>
  <c r="V9" i="120" s="1"/>
  <c r="W9" i="120" s="1"/>
  <c r="P12" i="134"/>
  <c r="R12" i="134" s="1"/>
  <c r="T12" i="134" s="1"/>
  <c r="V12" i="134" s="1"/>
  <c r="W12" i="134" s="1"/>
  <c r="R10" i="134"/>
  <c r="T10" i="134" s="1"/>
  <c r="P17" i="119"/>
  <c r="R17" i="119" s="1"/>
  <c r="T17" i="119" s="1"/>
  <c r="V17" i="119" s="1"/>
  <c r="W17" i="119" s="1"/>
  <c r="V15" i="119"/>
  <c r="W15" i="119" s="1"/>
  <c r="U15" i="119"/>
  <c r="Q14" i="134"/>
  <c r="M14" i="134"/>
  <c r="N14" i="134" s="1"/>
  <c r="O14" i="134"/>
  <c r="S14" i="134"/>
  <c r="M29" i="120"/>
  <c r="N29" i="120" s="1"/>
  <c r="S29" i="120"/>
  <c r="Q29" i="120"/>
  <c r="O29" i="120"/>
  <c r="K15" i="123"/>
  <c r="L15" i="123" s="1"/>
  <c r="J15" i="123"/>
  <c r="K26" i="120"/>
  <c r="L26" i="120" s="1"/>
  <c r="J26" i="120"/>
  <c r="K13" i="120"/>
  <c r="L13" i="120" s="1"/>
  <c r="J13" i="120"/>
  <c r="K11" i="120"/>
  <c r="L11" i="120" s="1"/>
  <c r="J11" i="120"/>
  <c r="U33" i="123" l="1"/>
  <c r="P14" i="134"/>
  <c r="R14" i="134" s="1"/>
  <c r="U9" i="120"/>
  <c r="U14" i="123"/>
  <c r="X14" i="123" s="1"/>
  <c r="X33" i="123"/>
  <c r="U12" i="134"/>
  <c r="X12" i="134" s="1"/>
  <c r="X9" i="120"/>
  <c r="V10" i="134"/>
  <c r="W10" i="134" s="1"/>
  <c r="U10" i="134"/>
  <c r="U17" i="119"/>
  <c r="X17" i="119" s="1"/>
  <c r="X15" i="119"/>
  <c r="Q11" i="120"/>
  <c r="O11" i="120"/>
  <c r="M11" i="120"/>
  <c r="N11" i="120" s="1"/>
  <c r="S11" i="120"/>
  <c r="S26" i="120"/>
  <c r="M26" i="120"/>
  <c r="N26" i="120" s="1"/>
  <c r="Q26" i="120"/>
  <c r="O26" i="120"/>
  <c r="T14" i="134"/>
  <c r="S13" i="120"/>
  <c r="Q13" i="120"/>
  <c r="O13" i="120"/>
  <c r="M13" i="120"/>
  <c r="N13" i="120" s="1"/>
  <c r="P13" i="120" s="1"/>
  <c r="M15" i="123"/>
  <c r="N15" i="123" s="1"/>
  <c r="Q15" i="123"/>
  <c r="O15" i="123"/>
  <c r="S15" i="123"/>
  <c r="P29" i="120"/>
  <c r="R29" i="120" s="1"/>
  <c r="T29" i="120" s="1"/>
  <c r="P11" i="120" l="1"/>
  <c r="R11" i="120" s="1"/>
  <c r="T11" i="120" s="1"/>
  <c r="U11" i="120" s="1"/>
  <c r="X10" i="134"/>
  <c r="U29" i="120"/>
  <c r="V29" i="120"/>
  <c r="W29" i="120" s="1"/>
  <c r="P15" i="123"/>
  <c r="R15" i="123" s="1"/>
  <c r="T15" i="123" s="1"/>
  <c r="P26" i="120"/>
  <c r="R26" i="120" s="1"/>
  <c r="T26" i="120" s="1"/>
  <c r="R13" i="120"/>
  <c r="T13" i="120" s="1"/>
  <c r="U14" i="134"/>
  <c r="U13" i="134" s="1"/>
  <c r="V14" i="134"/>
  <c r="V11" i="120" l="1"/>
  <c r="W11" i="120" s="1"/>
  <c r="X11" i="120" s="1"/>
  <c r="X29" i="120"/>
  <c r="U13" i="120"/>
  <c r="V13" i="120"/>
  <c r="W13" i="120" s="1"/>
  <c r="X13" i="120" s="1"/>
  <c r="V15" i="123"/>
  <c r="W15" i="123" s="1"/>
  <c r="U15" i="123"/>
  <c r="W14" i="134"/>
  <c r="V13" i="134"/>
  <c r="V26" i="120"/>
  <c r="W26" i="120" s="1"/>
  <c r="U26" i="120"/>
  <c r="X26" i="120" l="1"/>
  <c r="X15" i="123"/>
  <c r="W13" i="134"/>
  <c r="X14" i="134"/>
  <c r="X13" i="134" s="1"/>
  <c r="K13" i="121"/>
  <c r="L13" i="121" s="1"/>
  <c r="J13" i="121"/>
  <c r="K17" i="121"/>
  <c r="L17" i="121" s="1"/>
  <c r="J17" i="121"/>
  <c r="I20" i="123"/>
  <c r="H20" i="123"/>
  <c r="K21" i="123"/>
  <c r="L21" i="123" s="1"/>
  <c r="J21" i="123"/>
  <c r="J20" i="123" s="1"/>
  <c r="O21" i="123" l="1"/>
  <c r="Q21" i="123"/>
  <c r="S21" i="123"/>
  <c r="M21" i="123"/>
  <c r="N21" i="123" s="1"/>
  <c r="M13" i="121"/>
  <c r="N13" i="121" s="1"/>
  <c r="Q13" i="121"/>
  <c r="S13" i="121"/>
  <c r="O13" i="121"/>
  <c r="M17" i="121"/>
  <c r="N17" i="121" s="1"/>
  <c r="Q17" i="121"/>
  <c r="O17" i="121"/>
  <c r="S17" i="121"/>
  <c r="K10" i="133"/>
  <c r="L10" i="133" s="1"/>
  <c r="J10" i="133"/>
  <c r="I14" i="133"/>
  <c r="H14" i="133"/>
  <c r="I22" i="135"/>
  <c r="J22" i="135" s="1"/>
  <c r="H22" i="135"/>
  <c r="K14" i="132"/>
  <c r="L14" i="132" s="1"/>
  <c r="J14" i="132"/>
  <c r="K28" i="120"/>
  <c r="L28" i="120" s="1"/>
  <c r="J28" i="120"/>
  <c r="K13" i="132"/>
  <c r="L13" i="132" s="1"/>
  <c r="J13" i="132"/>
  <c r="P21" i="123" l="1"/>
  <c r="R21" i="123" s="1"/>
  <c r="T21" i="123" s="1"/>
  <c r="V21" i="123" s="1"/>
  <c r="Q28" i="120"/>
  <c r="O28" i="120"/>
  <c r="S28" i="120"/>
  <c r="M28" i="120"/>
  <c r="N28" i="120" s="1"/>
  <c r="M13" i="132"/>
  <c r="N13" i="132" s="1"/>
  <c r="S13" i="132"/>
  <c r="O13" i="132"/>
  <c r="Q13" i="132"/>
  <c r="S14" i="132"/>
  <c r="Q14" i="132"/>
  <c r="O14" i="132"/>
  <c r="M14" i="132"/>
  <c r="N14" i="132" s="1"/>
  <c r="M22" i="135"/>
  <c r="O22" i="135"/>
  <c r="K22" i="135"/>
  <c r="L22" i="135" s="1"/>
  <c r="N22" i="135" s="1"/>
  <c r="P22" i="135" s="1"/>
  <c r="R22" i="135" s="1"/>
  <c r="Q22" i="135"/>
  <c r="M10" i="133"/>
  <c r="N10" i="133" s="1"/>
  <c r="P10" i="133" s="1"/>
  <c r="S10" i="133"/>
  <c r="Q10" i="133"/>
  <c r="O10" i="133"/>
  <c r="P17" i="121"/>
  <c r="R17" i="121" s="1"/>
  <c r="T17" i="121" s="1"/>
  <c r="P13" i="121"/>
  <c r="R13" i="121" s="1"/>
  <c r="T13" i="121" s="1"/>
  <c r="R10" i="133" l="1"/>
  <c r="P28" i="120"/>
  <c r="R28" i="120" s="1"/>
  <c r="T28" i="120" s="1"/>
  <c r="P14" i="132"/>
  <c r="R14" i="132" s="1"/>
  <c r="T14" i="132" s="1"/>
  <c r="U14" i="132" s="1"/>
  <c r="U21" i="123"/>
  <c r="U20" i="123" s="1"/>
  <c r="S22" i="135"/>
  <c r="T22" i="135"/>
  <c r="U22" i="135" s="1"/>
  <c r="U17" i="121"/>
  <c r="V17" i="121"/>
  <c r="W17" i="121" s="1"/>
  <c r="X17" i="121" s="1"/>
  <c r="P13" i="132"/>
  <c r="R13" i="132" s="1"/>
  <c r="T13" i="132" s="1"/>
  <c r="V13" i="121"/>
  <c r="W13" i="121" s="1"/>
  <c r="X13" i="121" s="1"/>
  <c r="U13" i="121"/>
  <c r="T10" i="133"/>
  <c r="W21" i="123"/>
  <c r="W20" i="123" s="1"/>
  <c r="V20" i="123"/>
  <c r="V14" i="132" l="1"/>
  <c r="W14" i="132" s="1"/>
  <c r="X14" i="132" s="1"/>
  <c r="U28" i="120"/>
  <c r="V28" i="120"/>
  <c r="W28" i="120" s="1"/>
  <c r="X28" i="120" s="1"/>
  <c r="V10" i="133"/>
  <c r="W10" i="133" s="1"/>
  <c r="U10" i="133"/>
  <c r="U13" i="132"/>
  <c r="V13" i="132"/>
  <c r="W13" i="132" s="1"/>
  <c r="X21" i="123"/>
  <c r="X20" i="123" s="1"/>
  <c r="V22" i="135"/>
  <c r="X13" i="132" l="1"/>
  <c r="X10" i="133"/>
  <c r="K37" i="123"/>
  <c r="L37" i="123" s="1"/>
  <c r="J37" i="123"/>
  <c r="K16" i="121"/>
  <c r="L16" i="121" s="1"/>
  <c r="J16" i="121"/>
  <c r="Q37" i="123" l="1"/>
  <c r="O37" i="123"/>
  <c r="S37" i="123"/>
  <c r="M37" i="123"/>
  <c r="N37" i="123" s="1"/>
  <c r="P37" i="123" s="1"/>
  <c r="R37" i="123" s="1"/>
  <c r="M16" i="121"/>
  <c r="N16" i="121" s="1"/>
  <c r="S16" i="121"/>
  <c r="O16" i="121"/>
  <c r="Q16" i="121"/>
  <c r="T37" i="123" l="1"/>
  <c r="V37" i="123"/>
  <c r="W37" i="123" s="1"/>
  <c r="U37" i="123"/>
  <c r="P16" i="121"/>
  <c r="R16" i="121" s="1"/>
  <c r="T16" i="121" s="1"/>
  <c r="X37" i="123" l="1"/>
  <c r="V16" i="121"/>
  <c r="W16" i="121" s="1"/>
  <c r="U16" i="121"/>
  <c r="K10" i="123"/>
  <c r="L10" i="123" s="1"/>
  <c r="J10" i="123"/>
  <c r="K35" i="123"/>
  <c r="L35" i="123" s="1"/>
  <c r="J35" i="123"/>
  <c r="H34" i="123"/>
  <c r="S10" i="123" l="1"/>
  <c r="O10" i="123"/>
  <c r="Q10" i="123"/>
  <c r="M10" i="123"/>
  <c r="N10" i="123" s="1"/>
  <c r="P10" i="123" s="1"/>
  <c r="R10" i="123" s="1"/>
  <c r="T10" i="123" s="1"/>
  <c r="X16" i="121"/>
  <c r="S35" i="123"/>
  <c r="Q35" i="123"/>
  <c r="M35" i="123"/>
  <c r="N35" i="123" s="1"/>
  <c r="P35" i="123" s="1"/>
  <c r="R35" i="123" s="1"/>
  <c r="T35" i="123" s="1"/>
  <c r="O35" i="123"/>
  <c r="I34" i="123"/>
  <c r="J34" i="123"/>
  <c r="U10" i="123" l="1"/>
  <c r="V10" i="123"/>
  <c r="W10" i="123" s="1"/>
  <c r="U35" i="123"/>
  <c r="V35" i="123"/>
  <c r="V34" i="123" l="1"/>
  <c r="X10" i="123"/>
  <c r="U34" i="123"/>
  <c r="W35" i="123" l="1"/>
  <c r="X35" i="123" s="1"/>
  <c r="X34" i="123" s="1"/>
  <c r="W34" i="123" l="1"/>
  <c r="I20" i="135"/>
  <c r="J20" i="135" s="1"/>
  <c r="H20" i="135"/>
  <c r="I13" i="135"/>
  <c r="J13" i="135" s="1"/>
  <c r="H13" i="135"/>
  <c r="I11" i="135"/>
  <c r="J11" i="135" s="1"/>
  <c r="H11" i="135"/>
  <c r="K30" i="120"/>
  <c r="L30" i="120" s="1"/>
  <c r="J30" i="120"/>
  <c r="O13" i="135" l="1"/>
  <c r="K13" i="135"/>
  <c r="L13" i="135" s="1"/>
  <c r="Q13" i="135"/>
  <c r="M13" i="135"/>
  <c r="M20" i="135"/>
  <c r="O20" i="135"/>
  <c r="Q20" i="135"/>
  <c r="K20" i="135"/>
  <c r="L20" i="135" s="1"/>
  <c r="S30" i="120"/>
  <c r="Q30" i="120"/>
  <c r="M30" i="120"/>
  <c r="N30" i="120" s="1"/>
  <c r="O30" i="120"/>
  <c r="Q11" i="135"/>
  <c r="K11" i="135"/>
  <c r="L11" i="135" s="1"/>
  <c r="M11" i="135"/>
  <c r="O11" i="135"/>
  <c r="K11" i="132"/>
  <c r="L11" i="132" s="1"/>
  <c r="J11" i="132"/>
  <c r="I12" i="135"/>
  <c r="J12" i="135" s="1"/>
  <c r="H12" i="135"/>
  <c r="F23" i="135"/>
  <c r="G23" i="135"/>
  <c r="I19" i="135"/>
  <c r="J19" i="135" s="1"/>
  <c r="H19" i="135"/>
  <c r="K12" i="120"/>
  <c r="L12" i="120" s="1"/>
  <c r="J12" i="120"/>
  <c r="K10" i="120"/>
  <c r="L10" i="120" s="1"/>
  <c r="J10" i="120"/>
  <c r="G10" i="120"/>
  <c r="K20" i="119"/>
  <c r="L20" i="119" s="1"/>
  <c r="J20" i="119"/>
  <c r="P30" i="120" l="1"/>
  <c r="R30" i="120" s="1"/>
  <c r="N13" i="135"/>
  <c r="P13" i="135" s="1"/>
  <c r="R13" i="135" s="1"/>
  <c r="N20" i="135"/>
  <c r="P20" i="135" s="1"/>
  <c r="T30" i="120"/>
  <c r="U30" i="120" s="1"/>
  <c r="T13" i="135"/>
  <c r="S13" i="135"/>
  <c r="N11" i="135"/>
  <c r="P11" i="135" s="1"/>
  <c r="R11" i="135" s="1"/>
  <c r="M19" i="135"/>
  <c r="O19" i="135"/>
  <c r="Q19" i="135"/>
  <c r="K19" i="135"/>
  <c r="L19" i="135" s="1"/>
  <c r="Q12" i="135"/>
  <c r="K12" i="135"/>
  <c r="L12" i="135" s="1"/>
  <c r="M12" i="135"/>
  <c r="O12" i="135"/>
  <c r="S20" i="119"/>
  <c r="M20" i="119"/>
  <c r="N20" i="119" s="1"/>
  <c r="O20" i="119"/>
  <c r="Q20" i="119"/>
  <c r="M12" i="120"/>
  <c r="N12" i="120" s="1"/>
  <c r="Q12" i="120"/>
  <c r="O12" i="120"/>
  <c r="S12" i="120"/>
  <c r="Q11" i="132"/>
  <c r="S11" i="132"/>
  <c r="M11" i="132"/>
  <c r="N11" i="132" s="1"/>
  <c r="O11" i="132"/>
  <c r="Q10" i="120"/>
  <c r="M10" i="120"/>
  <c r="N10" i="120" s="1"/>
  <c r="O10" i="120"/>
  <c r="S10" i="120"/>
  <c r="R20" i="135"/>
  <c r="I18" i="135"/>
  <c r="J18" i="135" s="1"/>
  <c r="H18" i="135"/>
  <c r="P20" i="119" l="1"/>
  <c r="R20" i="119" s="1"/>
  <c r="T20" i="119" s="1"/>
  <c r="V30" i="120"/>
  <c r="P11" i="132"/>
  <c r="R11" i="132" s="1"/>
  <c r="T11" i="132" s="1"/>
  <c r="N19" i="135"/>
  <c r="P10" i="120"/>
  <c r="R10" i="120" s="1"/>
  <c r="T10" i="120" s="1"/>
  <c r="V10" i="120" s="1"/>
  <c r="T20" i="135"/>
  <c r="U20" i="135" s="1"/>
  <c r="S20" i="135"/>
  <c r="N12" i="135"/>
  <c r="P12" i="135" s="1"/>
  <c r="R12" i="135" s="1"/>
  <c r="M18" i="135"/>
  <c r="O18" i="135"/>
  <c r="Q18" i="135"/>
  <c r="K18" i="135"/>
  <c r="L18" i="135" s="1"/>
  <c r="P12" i="120"/>
  <c r="R12" i="120" s="1"/>
  <c r="T12" i="120" s="1"/>
  <c r="P19" i="135"/>
  <c r="R19" i="135" s="1"/>
  <c r="S11" i="135"/>
  <c r="T11" i="135"/>
  <c r="U11" i="135" s="1"/>
  <c r="U13" i="135"/>
  <c r="V13" i="135" s="1"/>
  <c r="W30" i="120"/>
  <c r="W20" i="119"/>
  <c r="U10" i="120" l="1"/>
  <c r="V20" i="135"/>
  <c r="U11" i="132"/>
  <c r="V11" i="132"/>
  <c r="W11" i="132" s="1"/>
  <c r="N18" i="135"/>
  <c r="P18" i="135" s="1"/>
  <c r="R18" i="135" s="1"/>
  <c r="S19" i="135"/>
  <c r="T19" i="135"/>
  <c r="U19" i="135" s="1"/>
  <c r="V12" i="120"/>
  <c r="W12" i="120" s="1"/>
  <c r="U12" i="120"/>
  <c r="S12" i="135"/>
  <c r="T12" i="135"/>
  <c r="U12" i="135" s="1"/>
  <c r="V11" i="135"/>
  <c r="X30" i="120"/>
  <c r="W10" i="120"/>
  <c r="X10" i="120" s="1"/>
  <c r="U20" i="119"/>
  <c r="X11" i="132" l="1"/>
  <c r="V12" i="135"/>
  <c r="V19" i="135"/>
  <c r="S18" i="135"/>
  <c r="T18" i="135"/>
  <c r="U18" i="135" s="1"/>
  <c r="X12" i="120"/>
  <c r="V18" i="135" l="1"/>
  <c r="G10" i="134"/>
  <c r="I9" i="134"/>
  <c r="H9" i="134"/>
  <c r="I16" i="119"/>
  <c r="H16" i="119"/>
  <c r="J9" i="134" l="1"/>
  <c r="U9" i="134" l="1"/>
  <c r="W9" i="134"/>
  <c r="V9" i="134"/>
  <c r="X9" i="134" l="1"/>
  <c r="K18" i="119" l="1"/>
  <c r="L18" i="119" s="1"/>
  <c r="J18" i="119"/>
  <c r="Q18" i="119" l="1"/>
  <c r="M18" i="119"/>
  <c r="N18" i="119" s="1"/>
  <c r="O18" i="119"/>
  <c r="S18" i="119"/>
  <c r="P18" i="119" l="1"/>
  <c r="R18" i="119" s="1"/>
  <c r="T18" i="119" s="1"/>
  <c r="V18" i="119" s="1"/>
  <c r="W18" i="119" s="1"/>
  <c r="U18" i="119" l="1"/>
  <c r="X18" i="119" s="1"/>
  <c r="K20" i="121"/>
  <c r="L20" i="121" s="1"/>
  <c r="J20" i="121"/>
  <c r="K19" i="123"/>
  <c r="L19" i="123" s="1"/>
  <c r="J19" i="123"/>
  <c r="K9" i="123"/>
  <c r="L9" i="123" s="1"/>
  <c r="J9" i="123"/>
  <c r="K12" i="132"/>
  <c r="L12" i="132" s="1"/>
  <c r="J12" i="132"/>
  <c r="I11" i="134"/>
  <c r="I15" i="134" s="1"/>
  <c r="H11" i="134"/>
  <c r="H15" i="134" s="1"/>
  <c r="G12" i="134"/>
  <c r="S19" i="123" l="1"/>
  <c r="Q19" i="123"/>
  <c r="O19" i="123"/>
  <c r="M19" i="123"/>
  <c r="N19" i="123" s="1"/>
  <c r="P19" i="123" s="1"/>
  <c r="R19" i="123" s="1"/>
  <c r="T19" i="123" s="1"/>
  <c r="Q12" i="132"/>
  <c r="O12" i="132"/>
  <c r="S12" i="132"/>
  <c r="M12" i="132"/>
  <c r="N12" i="132" s="1"/>
  <c r="Q9" i="123"/>
  <c r="O9" i="123"/>
  <c r="M9" i="123"/>
  <c r="N9" i="123" s="1"/>
  <c r="P9" i="123" s="1"/>
  <c r="R9" i="123" s="1"/>
  <c r="S9" i="123"/>
  <c r="Q20" i="121"/>
  <c r="S20" i="121"/>
  <c r="O20" i="121"/>
  <c r="M20" i="121"/>
  <c r="N20" i="121" s="1"/>
  <c r="J11" i="134"/>
  <c r="J15" i="134" s="1"/>
  <c r="P20" i="121" l="1"/>
  <c r="R20" i="121" s="1"/>
  <c r="T20" i="121" s="1"/>
  <c r="U20" i="121" s="1"/>
  <c r="P12" i="132"/>
  <c r="R12" i="132" s="1"/>
  <c r="T12" i="132" s="1"/>
  <c r="U12" i="132" s="1"/>
  <c r="T9" i="123"/>
  <c r="V19" i="123"/>
  <c r="W19" i="123" s="1"/>
  <c r="U19" i="123"/>
  <c r="V12" i="132" l="1"/>
  <c r="V20" i="121"/>
  <c r="W20" i="121" s="1"/>
  <c r="X20" i="121" s="1"/>
  <c r="U9" i="123"/>
  <c r="V9" i="123"/>
  <c r="W9" i="123" s="1"/>
  <c r="X9" i="123" s="1"/>
  <c r="W12" i="132"/>
  <c r="X12" i="132" s="1"/>
  <c r="X19" i="123"/>
  <c r="V11" i="134"/>
  <c r="V15" i="134" s="1"/>
  <c r="U11" i="134" l="1"/>
  <c r="U15" i="134" s="1"/>
  <c r="W11" i="134"/>
  <c r="W15" i="134" s="1"/>
  <c r="X11" i="134" l="1"/>
  <c r="X15" i="134" s="1"/>
  <c r="K11" i="133" l="1"/>
  <c r="L11" i="133" s="1"/>
  <c r="J11" i="133"/>
  <c r="M11" i="133" l="1"/>
  <c r="N11" i="133" s="1"/>
  <c r="O11" i="133"/>
  <c r="Q11" i="133"/>
  <c r="S11" i="133"/>
  <c r="P11" i="133" l="1"/>
  <c r="R11" i="133" s="1"/>
  <c r="T11" i="133" s="1"/>
  <c r="V11" i="133" l="1"/>
  <c r="W11" i="133" s="1"/>
  <c r="U11" i="133"/>
  <c r="K15" i="121"/>
  <c r="L15" i="121" s="1"/>
  <c r="J15" i="121"/>
  <c r="X11" i="133" l="1"/>
  <c r="Q15" i="121"/>
  <c r="M15" i="121"/>
  <c r="N15" i="121" s="1"/>
  <c r="O15" i="121"/>
  <c r="S15" i="121"/>
  <c r="W15" i="121"/>
  <c r="P15" i="121" l="1"/>
  <c r="R15" i="121" s="1"/>
  <c r="T15" i="121" s="1"/>
  <c r="U15" i="121" s="1"/>
  <c r="X15" i="121" s="1"/>
  <c r="K19" i="121" l="1"/>
  <c r="L19" i="121" s="1"/>
  <c r="J19" i="121"/>
  <c r="O19" i="121" l="1"/>
  <c r="M19" i="121"/>
  <c r="N19" i="121" s="1"/>
  <c r="Q19" i="121"/>
  <c r="S19" i="121"/>
  <c r="I8" i="123"/>
  <c r="H8" i="123"/>
  <c r="J8" i="123"/>
  <c r="P19" i="121" l="1"/>
  <c r="R19" i="121" s="1"/>
  <c r="T19" i="121" s="1"/>
  <c r="U19" i="121" s="1"/>
  <c r="V19" i="121" l="1"/>
  <c r="W19" i="121" s="1"/>
  <c r="X19" i="121" s="1"/>
  <c r="U8" i="123" l="1"/>
  <c r="W8" i="123"/>
  <c r="V8" i="123"/>
  <c r="X8" i="123" l="1"/>
  <c r="I17" i="135" l="1"/>
  <c r="J17" i="135" s="1"/>
  <c r="H17" i="135"/>
  <c r="M17" i="135" l="1"/>
  <c r="O17" i="135"/>
  <c r="K17" i="135"/>
  <c r="L17" i="135" s="1"/>
  <c r="N17" i="135" s="1"/>
  <c r="P17" i="135" s="1"/>
  <c r="Q17" i="135"/>
  <c r="R17" i="135" l="1"/>
  <c r="T17" i="135"/>
  <c r="U17" i="135" s="1"/>
  <c r="S17" i="135"/>
  <c r="V17" i="135" l="1"/>
  <c r="H13" i="136"/>
  <c r="G13" i="136"/>
  <c r="J13" i="136"/>
  <c r="F11" i="136"/>
  <c r="I13" i="136" l="1"/>
  <c r="R13" i="136" l="1"/>
  <c r="P13" i="136"/>
  <c r="N13" i="136"/>
  <c r="K13" i="136"/>
  <c r="L13" i="136" l="1"/>
  <c r="M13" i="136"/>
  <c r="O13" i="136" l="1"/>
  <c r="Q13" i="136" l="1"/>
  <c r="S13" i="136" l="1"/>
  <c r="V13" i="136" l="1"/>
  <c r="U13" i="136"/>
  <c r="T13" i="136"/>
  <c r="W13" i="136" l="1"/>
  <c r="I13" i="131" l="1"/>
  <c r="K13" i="131" l="1"/>
  <c r="K9" i="119"/>
  <c r="L9" i="119" s="1"/>
  <c r="J9" i="119"/>
  <c r="L13" i="131" l="1"/>
  <c r="M13" i="131" s="1"/>
  <c r="P13" i="131"/>
  <c r="N13" i="131"/>
  <c r="Q9" i="119"/>
  <c r="M9" i="119"/>
  <c r="R13" i="131"/>
  <c r="S9" i="119"/>
  <c r="O9" i="119"/>
  <c r="N9" i="119"/>
  <c r="O13" i="131" l="1"/>
  <c r="Q13" i="131" s="1"/>
  <c r="S13" i="131" s="1"/>
  <c r="P9" i="119"/>
  <c r="R9" i="119" s="1"/>
  <c r="T9" i="119" s="1"/>
  <c r="V9" i="119" l="1"/>
  <c r="W9" i="119" s="1"/>
  <c r="T13" i="131"/>
  <c r="U13" i="131"/>
  <c r="V13" i="131" s="1"/>
  <c r="W13" i="131" s="1"/>
  <c r="U9" i="119"/>
  <c r="X9" i="119" l="1"/>
  <c r="K27" i="120"/>
  <c r="L27" i="120" s="1"/>
  <c r="J27" i="120"/>
  <c r="M27" i="120" l="1"/>
  <c r="N27" i="120" s="1"/>
  <c r="Q27" i="120"/>
  <c r="S27" i="120"/>
  <c r="O27" i="120"/>
  <c r="P27" i="120" l="1"/>
  <c r="R27" i="120" s="1"/>
  <c r="T27" i="120" s="1"/>
  <c r="K12" i="133"/>
  <c r="L12" i="133" s="1"/>
  <c r="K13" i="133"/>
  <c r="L13" i="133" s="1"/>
  <c r="I10" i="135"/>
  <c r="J10" i="135" s="1"/>
  <c r="I14" i="135"/>
  <c r="J14" i="135" s="1"/>
  <c r="I15" i="135"/>
  <c r="J15" i="135" s="1"/>
  <c r="I16" i="135"/>
  <c r="J16" i="135" s="1"/>
  <c r="I9" i="135"/>
  <c r="J9" i="135" s="1"/>
  <c r="K11" i="118"/>
  <c r="L11" i="118" s="1"/>
  <c r="K12" i="118"/>
  <c r="L12" i="118" s="1"/>
  <c r="K18" i="123"/>
  <c r="L18" i="123" s="1"/>
  <c r="K12" i="123"/>
  <c r="L12" i="123" s="1"/>
  <c r="K29" i="121"/>
  <c r="L29" i="121" s="1"/>
  <c r="K28" i="121"/>
  <c r="L28" i="121" s="1"/>
  <c r="K18" i="121"/>
  <c r="L18" i="121" s="1"/>
  <c r="K11" i="121"/>
  <c r="L11" i="121" s="1"/>
  <c r="K12" i="121"/>
  <c r="L12" i="121" s="1"/>
  <c r="K14" i="121"/>
  <c r="L14" i="121" s="1"/>
  <c r="K10" i="121"/>
  <c r="L10" i="121" s="1"/>
  <c r="K31" i="120"/>
  <c r="L31" i="120" s="1"/>
  <c r="K14" i="120"/>
  <c r="L14" i="120" s="1"/>
  <c r="K15" i="120"/>
  <c r="L15" i="120" s="1"/>
  <c r="K13" i="119"/>
  <c r="L13" i="119" s="1"/>
  <c r="K11" i="119"/>
  <c r="L11" i="119" s="1"/>
  <c r="O10" i="121" l="1"/>
  <c r="Q10" i="121"/>
  <c r="M10" i="121"/>
  <c r="N10" i="121" s="1"/>
  <c r="P10" i="121" s="1"/>
  <c r="R10" i="121" s="1"/>
  <c r="S10" i="121"/>
  <c r="O16" i="135"/>
  <c r="Q16" i="135"/>
  <c r="K16" i="135"/>
  <c r="L16" i="135" s="1"/>
  <c r="M16" i="135"/>
  <c r="Q31" i="120"/>
  <c r="M31" i="120"/>
  <c r="N31" i="120" s="1"/>
  <c r="S31" i="120"/>
  <c r="O31" i="120"/>
  <c r="O11" i="121"/>
  <c r="Q11" i="121"/>
  <c r="S11" i="121"/>
  <c r="M11" i="121"/>
  <c r="N11" i="121" s="1"/>
  <c r="S12" i="123"/>
  <c r="M12" i="123"/>
  <c r="N12" i="123" s="1"/>
  <c r="O12" i="123"/>
  <c r="Q12" i="123"/>
  <c r="Q9" i="135"/>
  <c r="K9" i="135"/>
  <c r="L9" i="135" s="1"/>
  <c r="O9" i="135"/>
  <c r="M9" i="135"/>
  <c r="Q10" i="135"/>
  <c r="K10" i="135"/>
  <c r="L10" i="135" s="1"/>
  <c r="M10" i="135"/>
  <c r="O10" i="135"/>
  <c r="O11" i="119"/>
  <c r="M11" i="119"/>
  <c r="N11" i="119" s="1"/>
  <c r="P11" i="119" s="1"/>
  <c r="S11" i="119"/>
  <c r="Q11" i="119"/>
  <c r="M15" i="120"/>
  <c r="N15" i="120" s="1"/>
  <c r="Q15" i="120"/>
  <c r="O15" i="120"/>
  <c r="S15" i="120"/>
  <c r="S14" i="121"/>
  <c r="O14" i="121"/>
  <c r="Q14" i="121"/>
  <c r="M14" i="121"/>
  <c r="N14" i="121" s="1"/>
  <c r="P14" i="121" s="1"/>
  <c r="R14" i="121" s="1"/>
  <c r="M28" i="121"/>
  <c r="N28" i="121" s="1"/>
  <c r="O28" i="121"/>
  <c r="S28" i="121"/>
  <c r="Q28" i="121"/>
  <c r="S12" i="118"/>
  <c r="O12" i="118"/>
  <c r="Q12" i="118"/>
  <c r="M12" i="118"/>
  <c r="N12" i="118" s="1"/>
  <c r="P12" i="118" s="1"/>
  <c r="R12" i="118" s="1"/>
  <c r="O15" i="135"/>
  <c r="Q15" i="135"/>
  <c r="K15" i="135"/>
  <c r="L15" i="135" s="1"/>
  <c r="M15" i="135"/>
  <c r="M12" i="133"/>
  <c r="N12" i="133" s="1"/>
  <c r="S12" i="133"/>
  <c r="O12" i="133"/>
  <c r="Q12" i="133"/>
  <c r="O18" i="121"/>
  <c r="M18" i="121"/>
  <c r="S18" i="121"/>
  <c r="N18" i="121"/>
  <c r="P18" i="121" s="1"/>
  <c r="R18" i="121" s="1"/>
  <c r="T18" i="121" s="1"/>
  <c r="Q18" i="121"/>
  <c r="S13" i="133"/>
  <c r="M13" i="133"/>
  <c r="N13" i="133" s="1"/>
  <c r="O13" i="133"/>
  <c r="Q13" i="133"/>
  <c r="S13" i="119"/>
  <c r="M13" i="119"/>
  <c r="N13" i="119" s="1"/>
  <c r="P13" i="119" s="1"/>
  <c r="Q13" i="119"/>
  <c r="O13" i="119"/>
  <c r="Q14" i="120"/>
  <c r="O14" i="120"/>
  <c r="M14" i="120"/>
  <c r="N14" i="120" s="1"/>
  <c r="S14" i="120"/>
  <c r="Q12" i="121"/>
  <c r="S12" i="121"/>
  <c r="M12" i="121"/>
  <c r="N12" i="121" s="1"/>
  <c r="P12" i="121" s="1"/>
  <c r="R12" i="121" s="1"/>
  <c r="T12" i="121" s="1"/>
  <c r="O12" i="121"/>
  <c r="M29" i="121"/>
  <c r="N29" i="121" s="1"/>
  <c r="O29" i="121"/>
  <c r="Q29" i="121"/>
  <c r="S29" i="121"/>
  <c r="Q18" i="123"/>
  <c r="M18" i="123"/>
  <c r="N18" i="123" s="1"/>
  <c r="O18" i="123"/>
  <c r="S18" i="123"/>
  <c r="O11" i="118"/>
  <c r="M11" i="118"/>
  <c r="N11" i="118" s="1"/>
  <c r="P11" i="118" s="1"/>
  <c r="Q11" i="118"/>
  <c r="S11" i="118"/>
  <c r="O14" i="135"/>
  <c r="Q14" i="135"/>
  <c r="K14" i="135"/>
  <c r="L14" i="135" s="1"/>
  <c r="M14" i="135"/>
  <c r="U27" i="120"/>
  <c r="V27" i="120"/>
  <c r="W27" i="120" s="1"/>
  <c r="P28" i="121" l="1"/>
  <c r="P12" i="133"/>
  <c r="R11" i="118"/>
  <c r="T11" i="118" s="1"/>
  <c r="U11" i="118" s="1"/>
  <c r="R11" i="119"/>
  <c r="T11" i="119" s="1"/>
  <c r="V11" i="119" s="1"/>
  <c r="W11" i="119" s="1"/>
  <c r="P15" i="120"/>
  <c r="R15" i="120" s="1"/>
  <c r="T15" i="120" s="1"/>
  <c r="U15" i="120" s="1"/>
  <c r="P29" i="121"/>
  <c r="R29" i="121" s="1"/>
  <c r="T29" i="121" s="1"/>
  <c r="R28" i="121"/>
  <c r="T28" i="121" s="1"/>
  <c r="V28" i="121" s="1"/>
  <c r="R12" i="133"/>
  <c r="T12" i="133" s="1"/>
  <c r="U12" i="133" s="1"/>
  <c r="N10" i="135"/>
  <c r="P10" i="135" s="1"/>
  <c r="R10" i="135" s="1"/>
  <c r="N9" i="135"/>
  <c r="P9" i="135" s="1"/>
  <c r="R9" i="135" s="1"/>
  <c r="T9" i="135" s="1"/>
  <c r="X27" i="120"/>
  <c r="P31" i="120"/>
  <c r="R31" i="120" s="1"/>
  <c r="T31" i="120" s="1"/>
  <c r="U31" i="120" s="1"/>
  <c r="V11" i="118"/>
  <c r="U12" i="121"/>
  <c r="V12" i="121"/>
  <c r="U18" i="121"/>
  <c r="V18" i="121"/>
  <c r="R13" i="119"/>
  <c r="T13" i="119" s="1"/>
  <c r="V13" i="119" s="1"/>
  <c r="P13" i="133"/>
  <c r="R13" i="133" s="1"/>
  <c r="T13" i="133" s="1"/>
  <c r="T12" i="118"/>
  <c r="T14" i="121"/>
  <c r="P12" i="123"/>
  <c r="R12" i="123" s="1"/>
  <c r="T12" i="123" s="1"/>
  <c r="N16" i="135"/>
  <c r="P16" i="135" s="1"/>
  <c r="R16" i="135" s="1"/>
  <c r="T10" i="121"/>
  <c r="U28" i="121"/>
  <c r="P14" i="120"/>
  <c r="R14" i="120" s="1"/>
  <c r="T14" i="120" s="1"/>
  <c r="N15" i="135"/>
  <c r="P15" i="135" s="1"/>
  <c r="R15" i="135" s="1"/>
  <c r="V29" i="121"/>
  <c r="U29" i="121"/>
  <c r="N14" i="135"/>
  <c r="P14" i="135" s="1"/>
  <c r="R14" i="135" s="1"/>
  <c r="P18" i="123"/>
  <c r="R18" i="123" s="1"/>
  <c r="T18" i="123" s="1"/>
  <c r="P11" i="121"/>
  <c r="R11" i="121" s="1"/>
  <c r="T11" i="121" s="1"/>
  <c r="I14" i="131"/>
  <c r="K14" i="131" s="1"/>
  <c r="V15" i="120" l="1"/>
  <c r="V31" i="120"/>
  <c r="T10" i="135"/>
  <c r="S10" i="135"/>
  <c r="V12" i="133"/>
  <c r="S9" i="135"/>
  <c r="U18" i="123"/>
  <c r="V18" i="123"/>
  <c r="V10" i="121"/>
  <c r="U10" i="121"/>
  <c r="S14" i="135"/>
  <c r="T14" i="135"/>
  <c r="U14" i="120"/>
  <c r="V14" i="120"/>
  <c r="S16" i="135"/>
  <c r="T16" i="135"/>
  <c r="U14" i="121"/>
  <c r="V14" i="121"/>
  <c r="U12" i="123"/>
  <c r="V12" i="123"/>
  <c r="U12" i="118"/>
  <c r="V12" i="118"/>
  <c r="S15" i="135"/>
  <c r="T15" i="135"/>
  <c r="P14" i="131"/>
  <c r="L14" i="131"/>
  <c r="M14" i="131" s="1"/>
  <c r="N14" i="131"/>
  <c r="V11" i="121"/>
  <c r="U11" i="121"/>
  <c r="V13" i="133"/>
  <c r="U13" i="133"/>
  <c r="R14" i="131"/>
  <c r="O14" i="131" l="1"/>
  <c r="Q14" i="131"/>
  <c r="S14" i="131" s="1"/>
  <c r="G14" i="131"/>
  <c r="U14" i="131" l="1"/>
  <c r="V14" i="131" s="1"/>
  <c r="T14" i="131"/>
  <c r="W14" i="131" l="1"/>
  <c r="J15" i="120"/>
  <c r="W15" i="120" l="1"/>
  <c r="X15" i="120" l="1"/>
  <c r="J13" i="133" l="1"/>
  <c r="G13" i="133"/>
  <c r="W13" i="133" l="1"/>
  <c r="X13" i="133" l="1"/>
  <c r="J14" i="121"/>
  <c r="W14" i="121" l="1"/>
  <c r="X14" i="121" l="1"/>
  <c r="J12" i="121"/>
  <c r="W12" i="121" l="1"/>
  <c r="X12" i="121" s="1"/>
  <c r="H16" i="135" l="1"/>
  <c r="U16" i="135" l="1"/>
  <c r="V16" i="135" l="1"/>
  <c r="H15" i="135" l="1"/>
  <c r="J12" i="133" l="1"/>
  <c r="J12" i="123" l="1"/>
  <c r="I13" i="123" l="1"/>
  <c r="O23" i="135" l="1"/>
  <c r="K23" i="135"/>
  <c r="I23" i="135"/>
  <c r="H14" i="135"/>
  <c r="H9" i="135"/>
  <c r="H10" i="135" l="1"/>
  <c r="J11" i="123"/>
  <c r="G12" i="123"/>
  <c r="I11" i="123"/>
  <c r="H11" i="123"/>
  <c r="H23" i="135" l="1"/>
  <c r="J23" i="135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L15" i="131" l="1"/>
  <c r="M15" i="131" s="1"/>
  <c r="P15" i="131"/>
  <c r="N15" i="131"/>
  <c r="P16" i="131"/>
  <c r="L16" i="131"/>
  <c r="M16" i="131" s="1"/>
  <c r="N16" i="131"/>
  <c r="L17" i="131"/>
  <c r="M17" i="131" s="1"/>
  <c r="P17" i="131"/>
  <c r="N17" i="131"/>
  <c r="N10" i="131"/>
  <c r="L10" i="131"/>
  <c r="M10" i="131" s="1"/>
  <c r="R10" i="131"/>
  <c r="P10" i="131"/>
  <c r="L11" i="131"/>
  <c r="M11" i="131" s="1"/>
  <c r="P11" i="131"/>
  <c r="P12" i="131"/>
  <c r="L12" i="131"/>
  <c r="M12" i="131" s="1"/>
  <c r="N12" i="131"/>
  <c r="P18" i="131"/>
  <c r="L18" i="131"/>
  <c r="M18" i="131" s="1"/>
  <c r="N18" i="131"/>
  <c r="R17" i="131"/>
  <c r="N11" i="131"/>
  <c r="R11" i="131"/>
  <c r="R12" i="131"/>
  <c r="R18" i="131"/>
  <c r="R16" i="131"/>
  <c r="R15" i="131"/>
  <c r="I32" i="120"/>
  <c r="O17" i="131" l="1"/>
  <c r="O11" i="131"/>
  <c r="O16" i="131"/>
  <c r="O10" i="131"/>
  <c r="Q10" i="131" s="1"/>
  <c r="S10" i="131" s="1"/>
  <c r="U10" i="131" s="1"/>
  <c r="O15" i="131"/>
  <c r="Q15" i="131" s="1"/>
  <c r="S15" i="131" s="1"/>
  <c r="U15" i="131" s="1"/>
  <c r="O18" i="131"/>
  <c r="O12" i="131"/>
  <c r="Q12" i="131" s="1"/>
  <c r="S12" i="131" s="1"/>
  <c r="U12" i="131" s="1"/>
  <c r="Q16" i="131"/>
  <c r="S16" i="131" s="1"/>
  <c r="U16" i="131" s="1"/>
  <c r="Q18" i="131"/>
  <c r="S18" i="131" s="1"/>
  <c r="U18" i="131" s="1"/>
  <c r="Q11" i="131"/>
  <c r="S11" i="131" s="1"/>
  <c r="U11" i="131" s="1"/>
  <c r="Q17" i="131"/>
  <c r="S17" i="131" s="1"/>
  <c r="U17" i="131" s="1"/>
  <c r="T10" i="131" l="1"/>
  <c r="I9" i="121"/>
  <c r="I19" i="119"/>
  <c r="H19" i="119"/>
  <c r="I16" i="123" l="1"/>
  <c r="J10" i="121" l="1"/>
  <c r="Q15" i="134" l="1"/>
  <c r="M15" i="134"/>
  <c r="K15" i="134"/>
  <c r="L15" i="134" l="1"/>
  <c r="O15" i="134" l="1"/>
  <c r="N15" i="134"/>
  <c r="I27" i="121" l="1"/>
  <c r="I31" i="121" s="1"/>
  <c r="P15" i="134" l="1"/>
  <c r="R15" i="134"/>
  <c r="G11" i="121" l="1"/>
  <c r="J29" i="121"/>
  <c r="J31" i="120"/>
  <c r="G31" i="120"/>
  <c r="J11" i="121" l="1"/>
  <c r="J16" i="119" l="1"/>
  <c r="J13" i="119" l="1"/>
  <c r="H27" i="121" l="1"/>
  <c r="H16" i="123"/>
  <c r="H13" i="123"/>
  <c r="H9" i="121" l="1"/>
  <c r="H31" i="121" s="1"/>
  <c r="J28" i="121" l="1"/>
  <c r="J27" i="121" s="1"/>
  <c r="G14" i="120" l="1"/>
  <c r="J14" i="120" l="1"/>
  <c r="J13" i="123" l="1"/>
  <c r="J18" i="123" l="1"/>
  <c r="J16" i="123" s="1"/>
  <c r="J18" i="121" l="1"/>
  <c r="G37" i="123" l="1"/>
  <c r="I36" i="123"/>
  <c r="H36" i="123"/>
  <c r="G12" i="133" l="1"/>
  <c r="Q14" i="133"/>
  <c r="M14" i="133"/>
  <c r="K14" i="133"/>
  <c r="U36" i="123" l="1"/>
  <c r="J36" i="123"/>
  <c r="N14" i="133" l="1"/>
  <c r="V36" i="123"/>
  <c r="J14" i="133"/>
  <c r="L14" i="133" l="1"/>
  <c r="W36" i="123"/>
  <c r="X36" i="123"/>
  <c r="J11" i="118" l="1"/>
  <c r="I14" i="118" l="1"/>
  <c r="I8" i="119" l="1"/>
  <c r="H8" i="119"/>
  <c r="J32" i="123" l="1"/>
  <c r="J39" i="123" s="1"/>
  <c r="I32" i="123"/>
  <c r="I39" i="123" s="1"/>
  <c r="H32" i="123"/>
  <c r="H39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3" i="123"/>
  <c r="G17" i="123"/>
  <c r="G14" i="123"/>
  <c r="G28" i="121"/>
  <c r="J20" i="131" l="1"/>
  <c r="H20" i="131"/>
  <c r="K20" i="131" l="1"/>
  <c r="I20" i="131"/>
  <c r="L20" i="131" l="1"/>
  <c r="P20" i="131"/>
  <c r="M20" i="131" l="1"/>
  <c r="J12" i="118" l="1"/>
  <c r="J14" i="118" l="1"/>
  <c r="K14" i="118"/>
  <c r="K39" i="123"/>
  <c r="K31" i="121"/>
  <c r="K32" i="120"/>
  <c r="H14" i="118" l="1"/>
  <c r="L39" i="123"/>
  <c r="L31" i="121"/>
  <c r="L14" i="118" l="1"/>
  <c r="K22" i="119" l="1"/>
  <c r="J19" i="119"/>
  <c r="J14" i="119" l="1"/>
  <c r="J8" i="119"/>
  <c r="J22" i="119" l="1"/>
  <c r="L22" i="119"/>
  <c r="V18" i="131" l="1"/>
  <c r="Q23" i="135"/>
  <c r="W18" i="123"/>
  <c r="W31" i="120"/>
  <c r="S15" i="134"/>
  <c r="V12" i="131"/>
  <c r="W13" i="119"/>
  <c r="U13" i="119"/>
  <c r="W29" i="121"/>
  <c r="T15" i="131"/>
  <c r="U15" i="135"/>
  <c r="U16" i="119"/>
  <c r="V11" i="131"/>
  <c r="T11" i="131"/>
  <c r="M23" i="135"/>
  <c r="W14" i="120"/>
  <c r="V10" i="131"/>
  <c r="V16" i="131"/>
  <c r="T16" i="131"/>
  <c r="T17" i="131"/>
  <c r="V17" i="131"/>
  <c r="W10" i="121"/>
  <c r="O31" i="121"/>
  <c r="W18" i="121"/>
  <c r="W11" i="121"/>
  <c r="S14" i="133"/>
  <c r="O14" i="133"/>
  <c r="O16" i="132"/>
  <c r="U11" i="119"/>
  <c r="R20" i="131"/>
  <c r="N20" i="131"/>
  <c r="Q32" i="120"/>
  <c r="O39" i="123"/>
  <c r="S22" i="119"/>
  <c r="S39" i="123"/>
  <c r="Q31" i="121"/>
  <c r="M32" i="120"/>
  <c r="M39" i="123"/>
  <c r="S14" i="118"/>
  <c r="O22" i="119"/>
  <c r="Q14" i="118"/>
  <c r="Q39" i="123"/>
  <c r="S31" i="121"/>
  <c r="M22" i="119"/>
  <c r="Q22" i="119"/>
  <c r="O14" i="118"/>
  <c r="M14" i="118"/>
  <c r="M31" i="121"/>
  <c r="W12" i="133" l="1"/>
  <c r="W14" i="133" s="1"/>
  <c r="V14" i="133"/>
  <c r="W16" i="119"/>
  <c r="V16" i="119"/>
  <c r="W16" i="123"/>
  <c r="V15" i="131"/>
  <c r="W15" i="131" s="1"/>
  <c r="T18" i="131"/>
  <c r="W18" i="131" s="1"/>
  <c r="U14" i="135"/>
  <c r="V14" i="135" s="1"/>
  <c r="U10" i="135"/>
  <c r="V10" i="135" s="1"/>
  <c r="T12" i="131"/>
  <c r="W12" i="131" s="1"/>
  <c r="X31" i="120"/>
  <c r="X18" i="123"/>
  <c r="X11" i="121"/>
  <c r="X18" i="121"/>
  <c r="X10" i="121"/>
  <c r="W16" i="131"/>
  <c r="W10" i="131"/>
  <c r="X14" i="120"/>
  <c r="W11" i="131"/>
  <c r="X12" i="133"/>
  <c r="X14" i="133" s="1"/>
  <c r="X29" i="121"/>
  <c r="U27" i="121"/>
  <c r="T15" i="134"/>
  <c r="W28" i="121"/>
  <c r="W27" i="121" s="1"/>
  <c r="V27" i="121"/>
  <c r="X13" i="119"/>
  <c r="W17" i="131"/>
  <c r="U11" i="123"/>
  <c r="U16" i="123"/>
  <c r="V15" i="135"/>
  <c r="W12" i="123"/>
  <c r="W11" i="123" s="1"/>
  <c r="V11" i="123"/>
  <c r="N23" i="135"/>
  <c r="U13" i="123"/>
  <c r="W13" i="123"/>
  <c r="V13" i="123"/>
  <c r="V9" i="121"/>
  <c r="U9" i="121"/>
  <c r="W11" i="118"/>
  <c r="X11" i="118" s="1"/>
  <c r="P14" i="133"/>
  <c r="X11" i="119"/>
  <c r="W32" i="123"/>
  <c r="V32" i="123"/>
  <c r="O20" i="131"/>
  <c r="R16" i="132"/>
  <c r="P16" i="132"/>
  <c r="U32" i="123"/>
  <c r="W12" i="118"/>
  <c r="X12" i="118" s="1"/>
  <c r="N39" i="123"/>
  <c r="N22" i="119"/>
  <c r="U14" i="119"/>
  <c r="N31" i="121"/>
  <c r="U19" i="119"/>
  <c r="V19" i="119"/>
  <c r="N14" i="118"/>
  <c r="U39" i="123" l="1"/>
  <c r="W39" i="123"/>
  <c r="X16" i="119"/>
  <c r="V31" i="121"/>
  <c r="U31" i="121"/>
  <c r="V16" i="123"/>
  <c r="V39" i="123" s="1"/>
  <c r="X28" i="121"/>
  <c r="X27" i="121" s="1"/>
  <c r="X16" i="123"/>
  <c r="X12" i="123"/>
  <c r="X11" i="123" s="1"/>
  <c r="P23" i="135"/>
  <c r="X13" i="123"/>
  <c r="W9" i="121"/>
  <c r="W31" i="121" s="1"/>
  <c r="X9" i="121"/>
  <c r="R14" i="133"/>
  <c r="X32" i="123"/>
  <c r="U12" i="119"/>
  <c r="T16" i="132"/>
  <c r="Q20" i="131"/>
  <c r="W12" i="119"/>
  <c r="V12" i="119"/>
  <c r="W14" i="119"/>
  <c r="V14" i="119"/>
  <c r="W19" i="119"/>
  <c r="P14" i="118"/>
  <c r="P31" i="121"/>
  <c r="P39" i="123"/>
  <c r="P22" i="119"/>
  <c r="X39" i="123" l="1"/>
  <c r="X31" i="121"/>
  <c r="R23" i="135"/>
  <c r="T14" i="133"/>
  <c r="V16" i="132"/>
  <c r="W16" i="132"/>
  <c r="U16" i="132"/>
  <c r="S20" i="131"/>
  <c r="X12" i="119"/>
  <c r="X14" i="119"/>
  <c r="X20" i="119"/>
  <c r="X19" i="119" s="1"/>
  <c r="R31" i="121"/>
  <c r="R39" i="123"/>
  <c r="R14" i="118"/>
  <c r="R22" i="119"/>
  <c r="S23" i="135" l="1"/>
  <c r="T23" i="135"/>
  <c r="U9" i="135"/>
  <c r="U14" i="133"/>
  <c r="X16" i="132"/>
  <c r="V20" i="131"/>
  <c r="U20" i="131"/>
  <c r="T20" i="131"/>
  <c r="V8" i="119"/>
  <c r="V22" i="119" s="1"/>
  <c r="T22" i="119"/>
  <c r="U8" i="119"/>
  <c r="U22" i="119" s="1"/>
  <c r="U14" i="118"/>
  <c r="V14" i="118"/>
  <c r="T14" i="118"/>
  <c r="T39" i="123"/>
  <c r="T31" i="121"/>
  <c r="U23" i="135" l="1"/>
  <c r="V9" i="135"/>
  <c r="V23" i="135" s="1"/>
  <c r="W20" i="131"/>
  <c r="W8" i="119"/>
  <c r="W22" i="119" s="1"/>
  <c r="W14" i="118"/>
  <c r="X8" i="119" l="1"/>
  <c r="X22" i="119" s="1"/>
  <c r="X14" i="118"/>
  <c r="H32" i="120"/>
  <c r="G9" i="120"/>
  <c r="S32" i="120" l="1"/>
  <c r="O32" i="120"/>
  <c r="L32" i="120"/>
  <c r="N32" i="120"/>
  <c r="J32" i="120"/>
  <c r="P32" i="120" l="1"/>
  <c r="R32" i="120" l="1"/>
  <c r="T32" i="120" l="1"/>
  <c r="U32" i="120" l="1"/>
  <c r="W32" i="120"/>
  <c r="V32" i="120" l="1"/>
  <c r="X32" i="120"/>
</calcChain>
</file>

<file path=xl/sharedStrings.xml><?xml version="1.0" encoding="utf-8"?>
<sst xmlns="http://schemas.openxmlformats.org/spreadsheetml/2006/main" count="1058" uniqueCount="318">
  <si>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</si>
  <si>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</si>
  <si>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</si>
  <si>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</si>
  <si>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</si>
  <si>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</si>
  <si>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</si>
  <si>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</si>
  <si>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</si>
  <si>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</si>
  <si>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</si>
  <si>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</si>
  <si>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</si>
  <si>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</si>
  <si>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</si>
  <si>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</si>
  <si>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</si>
  <si>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</si>
  <si>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</si>
  <si>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</si>
  <si>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</si>
  <si>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</si>
  <si>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</si>
  <si>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</si>
  <si>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</si>
  <si>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</si>
  <si>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</si>
  <si>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</si>
  <si>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</si>
  <si>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</si>
  <si>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</si>
  <si>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</si>
  <si>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</si>
  <si>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</si>
  <si>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</si>
  <si>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</si>
  <si>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</si>
  <si>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</si>
  <si>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</si>
  <si>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</si>
  <si>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</si>
  <si>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</si>
  <si>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</si>
  <si>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</si>
  <si>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</si>
  <si>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</si>
  <si>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</si>
  <si>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</si>
  <si>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</si>
  <si>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</si>
  <si>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</si>
  <si>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</si>
  <si>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</si>
  <si>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</si>
  <si>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</si>
  <si>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</si>
  <si>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</si>
  <si>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</si>
  <si>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</si>
  <si>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</si>
  <si>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</si>
  <si>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</si>
  <si>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</si>
  <si>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</si>
  <si>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</si>
  <si>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</si>
  <si>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</si>
  <si>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</si>
  <si>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</si>
  <si>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</si>
  <si>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</si>
  <si>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</si>
  <si>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</si>
  <si>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</si>
  <si>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</si>
  <si>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</si>
  <si>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</si>
  <si>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</si>
  <si>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</si>
  <si>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</si>
  <si>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</si>
  <si>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</si>
  <si>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</si>
  <si>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</si>
  <si>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</si>
  <si>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</si>
  <si>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</si>
  <si>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</si>
  <si>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</si>
  <si>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</si>
  <si>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</si>
  <si>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</si>
  <si>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</si>
  <si>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</si>
  <si>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</si>
  <si>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</si>
  <si>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</si>
  <si>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</si>
  <si>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</si>
  <si>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</si>
  <si>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</si>
  <si>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</si>
  <si>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</si>
  <si>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</si>
  <si>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</si>
  <si>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</si>
  <si>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</si>
  <si>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</si>
  <si>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</si>
  <si>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</si>
  <si>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</si>
  <si>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</si>
  <si>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</si>
  <si>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</si>
  <si>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</si>
  <si>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</si>
  <si>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</si>
  <si>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</si>
  <si>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</si>
  <si>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</si>
  <si>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</si>
  <si>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</si>
  <si>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</si>
  <si>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</si>
  <si>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</si>
  <si>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</si>
  <si>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</si>
  <si>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</si>
  <si>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</si>
  <si>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</si>
  <si>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</si>
  <si>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</si>
  <si>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</si>
  <si>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</si>
  <si>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</si>
  <si>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</si>
  <si>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</si>
  <si>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</si>
  <si>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</si>
  <si>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</si>
  <si>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</si>
  <si>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</si>
  <si>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</si>
  <si>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</si>
  <si>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</si>
  <si>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</si>
  <si>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</si>
  <si>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</si>
  <si>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</si>
  <si>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</si>
  <si>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</si>
  <si>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</si>
  <si>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</si>
  <si>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</si>
  <si>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</si>
  <si>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</si>
  <si>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</si>
  <si>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</si>
  <si>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</si>
  <si>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</si>
  <si>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</si>
  <si>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</si>
  <si>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</si>
  <si>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</si>
  <si>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</si>
  <si>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</si>
  <si>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</si>
  <si>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</si>
  <si>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</si>
  <si>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</si>
  <si>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</si>
  <si>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</si>
  <si>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</si>
  <si>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</si>
  <si>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</si>
  <si>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</si>
  <si>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</si>
  <si>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</si>
  <si>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</si>
  <si>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</si>
  <si>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</si>
  <si>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</si>
  <si>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</si>
  <si>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</si>
  <si>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</si>
  <si>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</si>
  <si>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</si>
  <si>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</si>
  <si>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</si>
  <si>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</si>
  <si>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</si>
  <si>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</si>
  <si>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</si>
  <si>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</si>
  <si>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</si>
  <si>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</si>
  <si>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</si>
  <si>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</si>
  <si>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</si>
  <si>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</si>
  <si>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</si>
  <si>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</si>
  <si>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</si>
  <si>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</si>
  <si>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</si>
  <si>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</si>
  <si>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</si>
  <si>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</si>
  <si>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</si>
  <si>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</si>
  <si>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</si>
  <si>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</si>
  <si>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</si>
  <si>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</si>
  <si>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</si>
  <si>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</si>
  <si>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</si>
  <si>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</si>
  <si>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</si>
  <si>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</si>
  <si>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</si>
  <si>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</si>
  <si>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</si>
  <si>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</si>
  <si>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</si>
  <si>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</si>
  <si>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</si>
  <si>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</si>
  <si>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</si>
  <si>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</si>
  <si>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</si>
  <si>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</si>
  <si>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</si>
  <si>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</si>
  <si>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</si>
  <si>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</si>
  <si>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</si>
  <si>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</si>
  <si>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</si>
  <si>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</si>
  <si>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</si>
  <si>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</si>
  <si>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</si>
  <si>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</si>
  <si>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</si>
  <si>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</si>
  <si>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</si>
  <si>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</si>
  <si>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</si>
  <si>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</si>
  <si>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</si>
  <si>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</si>
  <si>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</si>
  <si>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</si>
  <si>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</si>
  <si>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</si>
  <si>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</si>
  <si>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</si>
  <si>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</si>
  <si>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</si>
  <si>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</si>
  <si>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</si>
  <si>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</si>
  <si>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</si>
  <si>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</si>
  <si>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</si>
  <si>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</si>
  <si>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</si>
  <si>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</si>
  <si>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</si>
  <si>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</si>
  <si>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</si>
  <si>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</si>
  <si>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</si>
  <si>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</si>
  <si>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</si>
  <si>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</si>
  <si>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</si>
  <si>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</si>
  <si>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</si>
  <si>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</si>
  <si>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</si>
  <si>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</si>
  <si>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</si>
  <si>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</si>
  <si>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</si>
  <si>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</si>
  <si>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</si>
  <si>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</si>
  <si>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</si>
  <si>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</si>
  <si>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</si>
  <si>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</si>
  <si>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</si>
  <si>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</si>
  <si>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</si>
  <si>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</si>
  <si>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</si>
  <si>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</si>
  <si>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</si>
  <si>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</si>
  <si>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</si>
  <si>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</si>
  <si>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</si>
  <si>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</si>
  <si>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</si>
  <si>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</si>
  <si>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</si>
  <si>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</si>
  <si>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</si>
  <si>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</si>
  <si>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</si>
  <si>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</si>
  <si>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</si>
  <si>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</si>
  <si>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</si>
  <si>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SUELDO  DEL 16 AL 31 DE ENERO DE 2023</t>
  </si>
  <si>
    <t>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</si>
</sst>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/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21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28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22" t="s">
        <v>213</v>
      </c>
    </row>
    <row r="3" spans="1:9" x14ac:dyDescent="0.2">
      <c r="B3" s="8" t="s">
        <v>47</v>
      </c>
      <c r="C3" s="7"/>
      <c r="D3" s="7"/>
      <c r="E3" s="7"/>
      <c r="F3" s="7"/>
      <c r="G3" s="7"/>
      <c r="I3" s="121">
        <v>207.44</v>
      </c>
    </row>
    <row r="4" spans="1:9" x14ac:dyDescent="0.2">
      <c r="B4" s="19" t="s">
        <v>315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3" t="s">
        <v>10</v>
      </c>
      <c r="C7" s="263"/>
      <c r="D7" s="263"/>
      <c r="E7" s="7"/>
      <c r="F7" s="256" t="s">
        <v>48</v>
      </c>
      <c r="G7" s="257"/>
      <c r="I7" s="122" t="s">
        <v>214</v>
      </c>
    </row>
    <row r="8" spans="1:9" ht="14.25" customHeight="1" x14ac:dyDescent="0.2">
      <c r="B8" s="260" t="s">
        <v>9</v>
      </c>
      <c r="C8" s="260"/>
      <c r="D8" s="260"/>
      <c r="E8" s="7"/>
      <c r="F8" s="261" t="s">
        <v>49</v>
      </c>
      <c r="G8" s="262"/>
      <c r="I8" s="121">
        <v>96.22</v>
      </c>
    </row>
    <row r="9" spans="1:9" ht="8.25" customHeight="1" x14ac:dyDescent="0.2">
      <c r="B9" s="264"/>
      <c r="C9" s="264"/>
      <c r="D9" s="264"/>
      <c r="E9" s="7"/>
      <c r="F9" s="258"/>
      <c r="G9" s="259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313</v>
      </c>
      <c r="C28" s="7"/>
      <c r="D28" s="7"/>
    </row>
    <row r="29" spans="1:7" x14ac:dyDescent="0.2">
      <c r="B29" s="32" t="s">
        <v>314</v>
      </c>
      <c r="C29" s="7"/>
      <c r="D29" s="7"/>
    </row>
    <row r="32" spans="1:7" ht="17.25" customHeight="1" x14ac:dyDescent="0.2">
      <c r="B32" s="5" t="s">
        <v>45</v>
      </c>
      <c r="E32" s="7"/>
      <c r="F32" s="256" t="s">
        <v>53</v>
      </c>
      <c r="G32" s="257"/>
    </row>
    <row r="33" spans="2:7" x14ac:dyDescent="0.2">
      <c r="E33" s="7"/>
      <c r="F33" s="261" t="s">
        <v>54</v>
      </c>
      <c r="G33" s="262"/>
    </row>
    <row r="34" spans="2:7" ht="5.25" customHeight="1" x14ac:dyDescent="0.2">
      <c r="E34" s="7"/>
      <c r="F34" s="258"/>
      <c r="G34" s="259"/>
    </row>
    <row r="35" spans="2:7" x14ac:dyDescent="0.2">
      <c r="B35" s="263" t="s">
        <v>10</v>
      </c>
      <c r="C35" s="263"/>
      <c r="D35" s="263"/>
      <c r="E35" s="7"/>
      <c r="F35" s="9" t="s">
        <v>16</v>
      </c>
      <c r="G35" s="9" t="s">
        <v>17</v>
      </c>
    </row>
    <row r="36" spans="2:7" x14ac:dyDescent="0.2">
      <c r="B36" s="260" t="s">
        <v>9</v>
      </c>
      <c r="C36" s="260"/>
      <c r="D36" s="260"/>
      <c r="E36" s="7"/>
      <c r="F36" s="9"/>
      <c r="G36" s="9" t="s">
        <v>18</v>
      </c>
    </row>
    <row r="37" spans="2:7" x14ac:dyDescent="0.2">
      <c r="B37" s="264"/>
      <c r="C37" s="264"/>
      <c r="D37" s="264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7"/>
  <sheetViews>
    <sheetView topLeftCell="B1" zoomScale="77" zoomScaleNormal="77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8.28515625" hidden="1" customWidth="1"/>
    <col min="7" max="7" width="0.28515625" hidden="1" customWidth="1"/>
    <col min="8" max="8" width="14.5703125" customWidth="1"/>
    <col min="9" max="9" width="10.140625" customWidth="1"/>
    <col min="10" max="10" width="13.85546875" customWidth="1"/>
    <col min="11" max="11" width="11.42578125" hidden="1" customWidth="1"/>
    <col min="12" max="14" width="16" hidden="1" customWidth="1"/>
    <col min="15" max="20" width="11.42578125" hidden="1" customWidth="1"/>
    <col min="21" max="21" width="9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5</v>
      </c>
      <c r="H6" s="279" t="s">
        <v>1</v>
      </c>
      <c r="I6" s="280"/>
      <c r="J6" s="281"/>
      <c r="K6" s="24" t="s">
        <v>25</v>
      </c>
      <c r="L6" s="25"/>
      <c r="M6" s="282" t="s">
        <v>8</v>
      </c>
      <c r="N6" s="283"/>
      <c r="O6" s="283"/>
      <c r="P6" s="283"/>
      <c r="Q6" s="283"/>
      <c r="R6" s="284"/>
      <c r="S6" s="24" t="s">
        <v>29</v>
      </c>
      <c r="T6" s="24" t="s">
        <v>9</v>
      </c>
      <c r="U6" s="23" t="s">
        <v>52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57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312</v>
      </c>
      <c r="W7" s="23" t="s">
        <v>6</v>
      </c>
      <c r="X7" s="26" t="s">
        <v>3</v>
      </c>
      <c r="Y7" s="36" t="s">
        <v>56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46</v>
      </c>
      <c r="I8" s="29" t="s">
        <v>58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5" ht="31.5" customHeight="1" x14ac:dyDescent="0.25">
      <c r="A9" s="142"/>
      <c r="B9" s="218"/>
      <c r="C9" s="124"/>
      <c r="D9" s="157" t="s">
        <v>117</v>
      </c>
      <c r="E9" s="142" t="s">
        <v>60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102.75" customHeight="1" x14ac:dyDescent="0.25">
      <c r="A10" s="116" t="s">
        <v>85</v>
      </c>
      <c r="B10" s="174" t="s">
        <v>165</v>
      </c>
      <c r="C10" s="219" t="s">
        <v>115</v>
      </c>
      <c r="D10" s="244" t="s">
        <v>156</v>
      </c>
      <c r="E10" s="176" t="s">
        <v>118</v>
      </c>
      <c r="F10" s="178">
        <v>9</v>
      </c>
      <c r="G10" s="179"/>
      <c r="H10" s="180">
        <v>3985</v>
      </c>
      <c r="I10" s="181">
        <v>0</v>
      </c>
      <c r="J10" s="182">
        <f>SUM(H10:I10)</f>
        <v>3985</v>
      </c>
      <c r="K10" s="183">
        <f>IF(H10/15&lt;=SMG,0,I10/2)</f>
        <v>0</v>
      </c>
      <c r="L10" s="183">
        <f t="shared" ref="L10" si="0">H10+K10</f>
        <v>3985</v>
      </c>
      <c r="M10" s="183">
        <f>VLOOKUP(L10,Tarifa1,1)</f>
        <v>3124.36</v>
      </c>
      <c r="N10" s="183">
        <f t="shared" ref="N10" si="1">L10-M10</f>
        <v>860.63999999999987</v>
      </c>
      <c r="O10" s="184">
        <f>VLOOKUP(L10,Tarifa1,3)</f>
        <v>0.10879999999999999</v>
      </c>
      <c r="P10" s="183">
        <f t="shared" ref="P10" si="2">N10*O10</f>
        <v>93.637631999999982</v>
      </c>
      <c r="Q10" s="185">
        <f>VLOOKUP(L10,Tarifa1,2)</f>
        <v>183.45</v>
      </c>
      <c r="R10" s="183">
        <f t="shared" ref="R10" si="3">P10+Q10</f>
        <v>277.08763199999999</v>
      </c>
      <c r="S10" s="183">
        <f>VLOOKUP(L10,Credito1,2)</f>
        <v>0</v>
      </c>
      <c r="T10" s="183">
        <f t="shared" ref="T10" si="4">ROUND(R10-S10,2)</f>
        <v>277.08999999999997</v>
      </c>
      <c r="U10" s="182">
        <f t="shared" ref="U10" si="5">-IF(T10&gt;0,0,T10)</f>
        <v>0</v>
      </c>
      <c r="V10" s="182">
        <f>IF(H10/15&lt;=SMG,0,IF(T10&lt;0,0,T10))</f>
        <v>277.08999999999997</v>
      </c>
      <c r="W10" s="182">
        <f>SUM(V10:V10)</f>
        <v>277.08999999999997</v>
      </c>
      <c r="X10" s="182">
        <f>J10+U10-W10</f>
        <v>3707.91</v>
      </c>
      <c r="Y10" s="93"/>
    </row>
    <row r="11" spans="1:25" s="94" customFormat="1" ht="102.75" customHeight="1" x14ac:dyDescent="0.3">
      <c r="A11" s="189"/>
      <c r="B11" s="213">
        <v>188</v>
      </c>
      <c r="C11" s="219" t="s">
        <v>115</v>
      </c>
      <c r="D11" s="245" t="s">
        <v>166</v>
      </c>
      <c r="E11" s="177" t="s">
        <v>277</v>
      </c>
      <c r="F11" s="178">
        <v>15</v>
      </c>
      <c r="G11" s="179"/>
      <c r="H11" s="180">
        <v>6253</v>
      </c>
      <c r="I11" s="181">
        <v>625.32000000000005</v>
      </c>
      <c r="J11" s="180">
        <f>H11</f>
        <v>6253</v>
      </c>
      <c r="K11" s="183">
        <f t="shared" ref="K11" si="6">IF(H11/15&lt;=SMG,0,I11/2)</f>
        <v>312.66000000000003</v>
      </c>
      <c r="L11" s="183">
        <f t="shared" ref="L11:L14" si="7">H11+K11</f>
        <v>6565.66</v>
      </c>
      <c r="M11" s="183">
        <f>VLOOKUP(L11,Tarifa1,1)</f>
        <v>6382.81</v>
      </c>
      <c r="N11" s="183">
        <f t="shared" ref="N11:N14" si="8">L11-M11</f>
        <v>182.84999999999945</v>
      </c>
      <c r="O11" s="184">
        <f>VLOOKUP(L11,Tarifa1,3)</f>
        <v>0.1792</v>
      </c>
      <c r="P11" s="183">
        <f t="shared" ref="P11:P14" si="9">N11*O11</f>
        <v>32.7667199999999</v>
      </c>
      <c r="Q11" s="185">
        <f>VLOOKUP(L11,Tarifa1,2)</f>
        <v>583.65</v>
      </c>
      <c r="R11" s="183">
        <f t="shared" ref="R11:R14" si="10">P11+Q11</f>
        <v>616.41671999999983</v>
      </c>
      <c r="S11" s="183">
        <f>VLOOKUP(L11,Credito1,2)</f>
        <v>0</v>
      </c>
      <c r="T11" s="183">
        <f t="shared" ref="T11:T14" si="11">ROUND(R11-S11,2)</f>
        <v>616.41999999999996</v>
      </c>
      <c r="U11" s="182">
        <f t="shared" ref="U11:U14" si="12">-IF(T11&gt;0,0,T11)</f>
        <v>0</v>
      </c>
      <c r="V11" s="182">
        <f>IF(H11/15&lt;=SMG,0,IF(T11&lt;0,0,T11))</f>
        <v>616.41999999999996</v>
      </c>
      <c r="W11" s="182">
        <f>SUM(V11:V11)</f>
        <v>616.41999999999996</v>
      </c>
      <c r="X11" s="182">
        <f>J11+U11-W11+I11</f>
        <v>6261.9</v>
      </c>
      <c r="Y11" s="93"/>
    </row>
    <row r="12" spans="1:25" s="94" customFormat="1" ht="102.75" customHeight="1" x14ac:dyDescent="0.3">
      <c r="A12" s="220"/>
      <c r="B12" s="175" t="s">
        <v>250</v>
      </c>
      <c r="C12" s="175" t="s">
        <v>115</v>
      </c>
      <c r="D12" s="246" t="s">
        <v>251</v>
      </c>
      <c r="E12" s="176" t="s">
        <v>118</v>
      </c>
      <c r="F12" s="178">
        <v>15</v>
      </c>
      <c r="G12" s="179"/>
      <c r="H12" s="180">
        <v>3985</v>
      </c>
      <c r="I12" s="181">
        <v>0</v>
      </c>
      <c r="J12" s="182">
        <f>SUM(H12:I12)</f>
        <v>3985</v>
      </c>
      <c r="K12" s="183">
        <f>IF(H12/15&lt;=SMG,0,I12/2)</f>
        <v>0</v>
      </c>
      <c r="L12" s="183">
        <f t="shared" si="7"/>
        <v>3985</v>
      </c>
      <c r="M12" s="183">
        <f>VLOOKUP(L12,Tarifa1,1)</f>
        <v>3124.36</v>
      </c>
      <c r="N12" s="183">
        <f t="shared" si="8"/>
        <v>860.63999999999987</v>
      </c>
      <c r="O12" s="184">
        <f>VLOOKUP(L12,Tarifa1,3)</f>
        <v>0.10879999999999999</v>
      </c>
      <c r="P12" s="183">
        <f t="shared" si="9"/>
        <v>93.637631999999982</v>
      </c>
      <c r="Q12" s="185">
        <f>VLOOKUP(L12,Tarifa1,2)</f>
        <v>183.45</v>
      </c>
      <c r="R12" s="183">
        <f t="shared" si="10"/>
        <v>277.08763199999999</v>
      </c>
      <c r="S12" s="183">
        <f>VLOOKUP(L12,Credito1,2)</f>
        <v>0</v>
      </c>
      <c r="T12" s="183">
        <f t="shared" si="11"/>
        <v>277.08999999999997</v>
      </c>
      <c r="U12" s="182">
        <f t="shared" si="12"/>
        <v>0</v>
      </c>
      <c r="V12" s="182">
        <f>IF(H12/15&lt;=SMG,0,IF(T12&lt;0,0,T12))</f>
        <v>277.08999999999997</v>
      </c>
      <c r="W12" s="182">
        <f>SUM(V12:V12)</f>
        <v>277.08999999999997</v>
      </c>
      <c r="X12" s="182">
        <f>J12+U12-W12</f>
        <v>3707.91</v>
      </c>
      <c r="Y12" s="93"/>
    </row>
    <row r="13" spans="1:25" s="94" customFormat="1" ht="102.75" customHeight="1" x14ac:dyDescent="0.25">
      <c r="A13" s="220"/>
      <c r="B13" s="213">
        <v>284</v>
      </c>
      <c r="C13" s="175" t="s">
        <v>115</v>
      </c>
      <c r="D13" s="247" t="s">
        <v>247</v>
      </c>
      <c r="E13" s="176" t="s">
        <v>118</v>
      </c>
      <c r="F13" s="178">
        <v>15</v>
      </c>
      <c r="G13" s="179"/>
      <c r="H13" s="180">
        <v>3985</v>
      </c>
      <c r="I13" s="181">
        <v>0</v>
      </c>
      <c r="J13" s="182">
        <f>SUM(H13:I13)</f>
        <v>3985</v>
      </c>
      <c r="K13" s="183">
        <f>IF(H13/15&lt;=SMG,0,I13/2)</f>
        <v>0</v>
      </c>
      <c r="L13" s="183">
        <f t="shared" si="7"/>
        <v>3985</v>
      </c>
      <c r="M13" s="183">
        <f>VLOOKUP(L13,Tarifa1,1)</f>
        <v>3124.36</v>
      </c>
      <c r="N13" s="183">
        <f t="shared" si="8"/>
        <v>860.63999999999987</v>
      </c>
      <c r="O13" s="184">
        <f>VLOOKUP(L13,Tarifa1,3)</f>
        <v>0.10879999999999999</v>
      </c>
      <c r="P13" s="183">
        <f t="shared" si="9"/>
        <v>93.637631999999982</v>
      </c>
      <c r="Q13" s="185">
        <f>VLOOKUP(L13,Tarifa1,2)</f>
        <v>183.45</v>
      </c>
      <c r="R13" s="183">
        <f t="shared" si="10"/>
        <v>277.08763199999999</v>
      </c>
      <c r="S13" s="183">
        <f>VLOOKUP(L13,Credito1,2)</f>
        <v>0</v>
      </c>
      <c r="T13" s="183">
        <f t="shared" si="11"/>
        <v>277.08999999999997</v>
      </c>
      <c r="U13" s="182">
        <f t="shared" si="12"/>
        <v>0</v>
      </c>
      <c r="V13" s="182">
        <f>IF(H13/15&lt;=SMG,0,IF(T13&lt;0,0,T13))</f>
        <v>277.08999999999997</v>
      </c>
      <c r="W13" s="182">
        <f>SUM(V13:V13)</f>
        <v>277.08999999999997</v>
      </c>
      <c r="X13" s="182">
        <f>J13+U13-W13</f>
        <v>3707.91</v>
      </c>
      <c r="Y13" s="93"/>
    </row>
    <row r="14" spans="1:25" s="94" customFormat="1" ht="102.75" customHeight="1" x14ac:dyDescent="0.25">
      <c r="A14" s="203"/>
      <c r="B14" s="213">
        <v>299</v>
      </c>
      <c r="C14" s="175" t="s">
        <v>115</v>
      </c>
      <c r="D14" s="247" t="s">
        <v>299</v>
      </c>
      <c r="E14" s="176" t="s">
        <v>118</v>
      </c>
      <c r="F14" s="178">
        <v>15</v>
      </c>
      <c r="G14" s="179"/>
      <c r="H14" s="180">
        <v>4004</v>
      </c>
      <c r="I14" s="181">
        <v>0</v>
      </c>
      <c r="J14" s="182">
        <f>SUM(H14:I14)</f>
        <v>4004</v>
      </c>
      <c r="K14" s="183">
        <f>IF(H14/15&lt;=SMG,0,I14/2)</f>
        <v>0</v>
      </c>
      <c r="L14" s="183">
        <f t="shared" si="7"/>
        <v>4004</v>
      </c>
      <c r="M14" s="183">
        <f>VLOOKUP(L14,Tarifa1,1)</f>
        <v>3124.36</v>
      </c>
      <c r="N14" s="183">
        <f t="shared" si="8"/>
        <v>879.63999999999987</v>
      </c>
      <c r="O14" s="184">
        <f>VLOOKUP(L14,Tarifa1,3)</f>
        <v>0.10879999999999999</v>
      </c>
      <c r="P14" s="183">
        <f t="shared" si="9"/>
        <v>95.704831999999982</v>
      </c>
      <c r="Q14" s="185">
        <f>VLOOKUP(L14,Tarifa1,2)</f>
        <v>183.45</v>
      </c>
      <c r="R14" s="183">
        <f t="shared" si="10"/>
        <v>279.15483199999994</v>
      </c>
      <c r="S14" s="183">
        <f>VLOOKUP(L14,Credito1,2)</f>
        <v>0</v>
      </c>
      <c r="T14" s="183">
        <f t="shared" si="11"/>
        <v>279.14999999999998</v>
      </c>
      <c r="U14" s="182">
        <f t="shared" si="12"/>
        <v>0</v>
      </c>
      <c r="V14" s="182">
        <f>IF(H14/15&lt;=SMG,0,IF(T14&lt;0,0,T14))</f>
        <v>279.14999999999998</v>
      </c>
      <c r="W14" s="182">
        <f>SUM(V14:V14)</f>
        <v>279.14999999999998</v>
      </c>
      <c r="X14" s="182">
        <f>J14+U14-W14</f>
        <v>3724.85</v>
      </c>
      <c r="Y14" s="93"/>
    </row>
    <row r="15" spans="1:25" ht="18" x14ac:dyDescent="0.25">
      <c r="A15" s="203"/>
      <c r="B15" s="203"/>
      <c r="C15" s="203"/>
      <c r="D15" s="203"/>
      <c r="E15" s="203"/>
      <c r="F15" s="204"/>
      <c r="G15" s="203"/>
      <c r="H15" s="205"/>
      <c r="I15" s="205"/>
      <c r="J15" s="205"/>
      <c r="K15" s="206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</row>
    <row r="16" spans="1:25" ht="45" customHeight="1" thickBot="1" x14ac:dyDescent="0.3">
      <c r="A16" s="265" t="s">
        <v>44</v>
      </c>
      <c r="B16" s="266"/>
      <c r="C16" s="266"/>
      <c r="D16" s="266"/>
      <c r="E16" s="266"/>
      <c r="F16" s="266"/>
      <c r="G16" s="267"/>
      <c r="H16" s="186">
        <f t="shared" ref="H16:X16" si="13">SUM(H10:H15)</f>
        <v>22212</v>
      </c>
      <c r="I16" s="186">
        <f t="shared" si="13"/>
        <v>625.32000000000005</v>
      </c>
      <c r="J16" s="186">
        <f t="shared" si="13"/>
        <v>22212</v>
      </c>
      <c r="K16" s="187">
        <f t="shared" si="13"/>
        <v>312.66000000000003</v>
      </c>
      <c r="L16" s="187">
        <f t="shared" si="13"/>
        <v>22524.66</v>
      </c>
      <c r="M16" s="187">
        <f t="shared" si="13"/>
        <v>18880.25</v>
      </c>
      <c r="N16" s="187">
        <f t="shared" si="13"/>
        <v>3644.4099999999989</v>
      </c>
      <c r="O16" s="187">
        <f t="shared" si="13"/>
        <v>0.61439999999999995</v>
      </c>
      <c r="P16" s="187">
        <f t="shared" si="13"/>
        <v>409.38444799999979</v>
      </c>
      <c r="Q16" s="187">
        <f t="shared" si="13"/>
        <v>1317.45</v>
      </c>
      <c r="R16" s="187">
        <f t="shared" si="13"/>
        <v>1726.8344479999996</v>
      </c>
      <c r="S16" s="187">
        <f t="shared" si="13"/>
        <v>0</v>
      </c>
      <c r="T16" s="187">
        <f t="shared" si="13"/>
        <v>1726.8399999999997</v>
      </c>
      <c r="U16" s="186">
        <f t="shared" si="13"/>
        <v>0</v>
      </c>
      <c r="V16" s="186">
        <f t="shared" si="13"/>
        <v>1726.8399999999997</v>
      </c>
      <c r="W16" s="186">
        <f t="shared" si="13"/>
        <v>1726.8399999999997</v>
      </c>
      <c r="X16" s="186">
        <f t="shared" si="13"/>
        <v>21110.479999999996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900-000000000000}"/>
  </dataValidations>
  <pageMargins left="0.27559055118110237" right="0.27559055118110237" top="0.74803149606299213" bottom="0.74803149606299213" header="0.31496062992125984" footer="0.31496062992125984"/>
  <pageSetup scale="4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4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5.42578125" style="67" customWidth="1"/>
    <col min="9" max="9" width="12.7109375" style="67" hidden="1" customWidth="1"/>
    <col min="10" max="10" width="13.140625" style="67" hidden="1" customWidth="1"/>
    <col min="11" max="11" width="14.42578125" style="67" hidden="1" customWidth="1"/>
    <col min="12" max="12" width="15" style="67" hidden="1" customWidth="1"/>
    <col min="13" max="13" width="11" style="67" hidden="1" customWidth="1"/>
    <col min="14" max="15" width="13.140625" style="67" hidden="1" customWidth="1"/>
    <col min="16" max="16" width="15.42578125" style="67" hidden="1" customWidth="1"/>
    <col min="17" max="17" width="10.42578125" style="67" hidden="1" customWidth="1"/>
    <col min="18" max="18" width="13.140625" style="67" hidden="1" customWidth="1"/>
    <col min="19" max="19" width="11.5703125" style="67" customWidth="1"/>
    <col min="20" max="21" width="13.28515625" style="67" customWidth="1"/>
    <col min="22" max="22" width="15.42578125" style="67" customWidth="1"/>
    <col min="23" max="23" width="73.140625" style="67" customWidth="1"/>
    <col min="24" max="24" width="73.42578125" style="67" customWidth="1"/>
    <col min="25" max="16384" width="11.42578125" style="67"/>
  </cols>
  <sheetData>
    <row r="1" spans="1:25" ht="18" x14ac:dyDescent="0.2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4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4"/>
    </row>
    <row r="3" spans="1:25" ht="19.5" x14ac:dyDescent="0.25">
      <c r="A3" s="42" t="s">
        <v>195</v>
      </c>
      <c r="B3" s="269" t="s">
        <v>316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24"/>
      <c r="Y3" s="224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22</v>
      </c>
      <c r="F5" s="279" t="s">
        <v>1</v>
      </c>
      <c r="G5" s="280"/>
      <c r="H5" s="281"/>
      <c r="I5" s="24" t="s">
        <v>25</v>
      </c>
      <c r="J5" s="25"/>
      <c r="K5" s="282" t="s">
        <v>8</v>
      </c>
      <c r="L5" s="283"/>
      <c r="M5" s="283"/>
      <c r="N5" s="283"/>
      <c r="O5" s="283"/>
      <c r="P5" s="284"/>
      <c r="Q5" s="24" t="s">
        <v>29</v>
      </c>
      <c r="R5" s="24" t="s">
        <v>9</v>
      </c>
      <c r="S5" s="23" t="s">
        <v>52</v>
      </c>
      <c r="T5" s="285" t="s">
        <v>2</v>
      </c>
      <c r="U5" s="286"/>
      <c r="V5" s="23" t="s">
        <v>0</v>
      </c>
      <c r="W5" s="109"/>
      <c r="X5" s="4"/>
    </row>
    <row r="6" spans="1:25" ht="32.25" customHeight="1" x14ac:dyDescent="0.2">
      <c r="A6" s="26" t="s">
        <v>20</v>
      </c>
      <c r="B6" s="44" t="s">
        <v>101</v>
      </c>
      <c r="C6" s="44" t="s">
        <v>116</v>
      </c>
      <c r="D6" s="26"/>
      <c r="E6" s="27" t="s">
        <v>23</v>
      </c>
      <c r="F6" s="23" t="s">
        <v>5</v>
      </c>
      <c r="G6" s="23" t="s">
        <v>57</v>
      </c>
      <c r="H6" s="23" t="s">
        <v>27</v>
      </c>
      <c r="I6" s="28" t="s">
        <v>26</v>
      </c>
      <c r="J6" s="25" t="s">
        <v>31</v>
      </c>
      <c r="K6" s="25" t="s">
        <v>11</v>
      </c>
      <c r="L6" s="25" t="s">
        <v>33</v>
      </c>
      <c r="M6" s="25" t="s">
        <v>35</v>
      </c>
      <c r="N6" s="25" t="s">
        <v>36</v>
      </c>
      <c r="O6" s="25" t="s">
        <v>13</v>
      </c>
      <c r="P6" s="25" t="s">
        <v>9</v>
      </c>
      <c r="Q6" s="28" t="s">
        <v>39</v>
      </c>
      <c r="R6" s="28" t="s">
        <v>40</v>
      </c>
      <c r="S6" s="26" t="s">
        <v>30</v>
      </c>
      <c r="T6" s="23" t="s">
        <v>312</v>
      </c>
      <c r="U6" s="23" t="s">
        <v>6</v>
      </c>
      <c r="V6" s="26" t="s">
        <v>3</v>
      </c>
      <c r="W6" s="36" t="s">
        <v>56</v>
      </c>
      <c r="X6" s="4"/>
    </row>
    <row r="7" spans="1:25" x14ac:dyDescent="0.2">
      <c r="A7" s="29"/>
      <c r="B7" s="26"/>
      <c r="C7" s="26"/>
      <c r="D7" s="26"/>
      <c r="E7" s="26"/>
      <c r="F7" s="26" t="s">
        <v>46</v>
      </c>
      <c r="G7" s="26" t="s">
        <v>58</v>
      </c>
      <c r="H7" s="26" t="s">
        <v>28</v>
      </c>
      <c r="I7" s="28" t="s">
        <v>42</v>
      </c>
      <c r="J7" s="24" t="s">
        <v>32</v>
      </c>
      <c r="K7" s="24" t="s">
        <v>12</v>
      </c>
      <c r="L7" s="24" t="s">
        <v>34</v>
      </c>
      <c r="M7" s="24" t="s">
        <v>34</v>
      </c>
      <c r="N7" s="24" t="s">
        <v>37</v>
      </c>
      <c r="O7" s="24" t="s">
        <v>14</v>
      </c>
      <c r="P7" s="24" t="s">
        <v>38</v>
      </c>
      <c r="Q7" s="28" t="s">
        <v>18</v>
      </c>
      <c r="R7" s="31" t="s">
        <v>130</v>
      </c>
      <c r="S7" s="26" t="s">
        <v>51</v>
      </c>
      <c r="T7" s="26"/>
      <c r="U7" s="26" t="s">
        <v>43</v>
      </c>
      <c r="V7" s="26" t="s">
        <v>4</v>
      </c>
      <c r="W7" s="110"/>
      <c r="X7" s="4"/>
    </row>
    <row r="8" spans="1:25" ht="28.5" customHeight="1" x14ac:dyDescent="0.25">
      <c r="A8" s="39"/>
      <c r="B8" s="108"/>
      <c r="C8" s="108"/>
      <c r="D8" s="37" t="s">
        <v>60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83</v>
      </c>
      <c r="B9" s="175" t="s">
        <v>138</v>
      </c>
      <c r="C9" s="175" t="s">
        <v>115</v>
      </c>
      <c r="D9" s="176" t="s">
        <v>65</v>
      </c>
      <c r="E9" s="178">
        <v>15</v>
      </c>
      <c r="F9" s="180">
        <v>10293</v>
      </c>
      <c r="G9" s="181">
        <v>686.2</v>
      </c>
      <c r="H9" s="182">
        <f t="shared" ref="H9:H14" si="0">SUM(F9:G9)</f>
        <v>10979.2</v>
      </c>
      <c r="I9" s="183">
        <f t="shared" ref="I9:I16" si="1">IF(F9/15&lt;=SMG,0,G9/2)</f>
        <v>343.1</v>
      </c>
      <c r="J9" s="183">
        <f t="shared" ref="J9" si="2">F9+I9</f>
        <v>10636.1</v>
      </c>
      <c r="K9" s="183">
        <f t="shared" ref="K9:K22" si="3">VLOOKUP(J9,Tarifa1,1)</f>
        <v>7641.91</v>
      </c>
      <c r="L9" s="183">
        <f>J9-K9</f>
        <v>2994.1900000000005</v>
      </c>
      <c r="M9" s="184">
        <f t="shared" ref="M9:M22" si="4">VLOOKUP(J9,Tarifa1,3)</f>
        <v>0.21360000000000001</v>
      </c>
      <c r="N9" s="183">
        <f>L9*M9</f>
        <v>639.55898400000012</v>
      </c>
      <c r="O9" s="185">
        <f t="shared" ref="O9:O22" si="5">VLOOKUP(J9,Tarifa1,2)</f>
        <v>809.25</v>
      </c>
      <c r="P9" s="183">
        <f>N9+O9</f>
        <v>1448.8089840000002</v>
      </c>
      <c r="Q9" s="183">
        <f t="shared" ref="Q9:Q22" si="6">VLOOKUP(J9,Credito1,2)</f>
        <v>0</v>
      </c>
      <c r="R9" s="183">
        <f>ROUND(P9-Q9,2)</f>
        <v>1448.81</v>
      </c>
      <c r="S9" s="182">
        <f>-IF(R9&gt;0,0,R9)</f>
        <v>0</v>
      </c>
      <c r="T9" s="182">
        <f t="shared" ref="T9:T22" si="7">IF(F9/15&lt;=SMG,0,IF(R9&lt;0,0,R9))</f>
        <v>1448.81</v>
      </c>
      <c r="U9" s="182">
        <f>SUM(T9:T9)</f>
        <v>1448.81</v>
      </c>
      <c r="V9" s="182">
        <f>H9+S9-U9</f>
        <v>9530.3900000000012</v>
      </c>
      <c r="W9" s="89"/>
      <c r="X9" s="4"/>
    </row>
    <row r="10" spans="1:25" s="94" customFormat="1" ht="77.099999999999994" customHeight="1" x14ac:dyDescent="0.25">
      <c r="A10" s="116"/>
      <c r="B10" s="175" t="s">
        <v>194</v>
      </c>
      <c r="C10" s="175" t="s">
        <v>115</v>
      </c>
      <c r="D10" s="176" t="s">
        <v>79</v>
      </c>
      <c r="E10" s="178">
        <v>15</v>
      </c>
      <c r="F10" s="180">
        <v>8409</v>
      </c>
      <c r="G10" s="181">
        <v>560.6</v>
      </c>
      <c r="H10" s="182">
        <f t="shared" si="0"/>
        <v>8969.6</v>
      </c>
      <c r="I10" s="183">
        <f t="shared" si="1"/>
        <v>280.3</v>
      </c>
      <c r="J10" s="183">
        <f t="shared" ref="J10:J16" si="8">F10+I10</f>
        <v>8689.2999999999993</v>
      </c>
      <c r="K10" s="183">
        <f t="shared" si="3"/>
        <v>7641.91</v>
      </c>
      <c r="L10" s="183">
        <f t="shared" ref="L10:L22" si="9">J10-K10</f>
        <v>1047.3899999999994</v>
      </c>
      <c r="M10" s="184">
        <f t="shared" si="4"/>
        <v>0.21360000000000001</v>
      </c>
      <c r="N10" s="183">
        <f t="shared" ref="N10:N22" si="10">L10*M10</f>
        <v>223.7225039999999</v>
      </c>
      <c r="O10" s="185">
        <f t="shared" si="5"/>
        <v>809.25</v>
      </c>
      <c r="P10" s="183">
        <f t="shared" ref="P10:P22" si="11">N10+O10</f>
        <v>1032.9725039999998</v>
      </c>
      <c r="Q10" s="183">
        <f t="shared" si="6"/>
        <v>0</v>
      </c>
      <c r="R10" s="183">
        <f t="shared" ref="R10:R22" si="12">ROUND(P10-Q10,2)</f>
        <v>1032.97</v>
      </c>
      <c r="S10" s="182">
        <f t="shared" ref="S10:S22" si="13">-IF(R10&gt;0,0,R10)</f>
        <v>0</v>
      </c>
      <c r="T10" s="182">
        <f t="shared" si="7"/>
        <v>1032.97</v>
      </c>
      <c r="U10" s="182">
        <f>SUM(T10:T10)</f>
        <v>1032.97</v>
      </c>
      <c r="V10" s="182">
        <f>H10+S10-U10</f>
        <v>7936.63</v>
      </c>
      <c r="W10" s="89"/>
      <c r="X10" s="4"/>
    </row>
    <row r="11" spans="1:25" s="94" customFormat="1" ht="77.099999999999994" customHeight="1" x14ac:dyDescent="0.25">
      <c r="A11" s="220"/>
      <c r="B11" s="175" t="s">
        <v>184</v>
      </c>
      <c r="C11" s="175" t="s">
        <v>115</v>
      </c>
      <c r="D11" s="177" t="s">
        <v>79</v>
      </c>
      <c r="E11" s="178">
        <v>15</v>
      </c>
      <c r="F11" s="180">
        <v>8409</v>
      </c>
      <c r="G11" s="181">
        <v>0</v>
      </c>
      <c r="H11" s="182">
        <f t="shared" ref="H11" si="14">SUM(F11:G11)</f>
        <v>8409</v>
      </c>
      <c r="I11" s="183">
        <f t="shared" ref="I11" si="15">IF(F11/15&lt;=SMG,0,G11/2)</f>
        <v>0</v>
      </c>
      <c r="J11" s="183">
        <f t="shared" ref="J11" si="16">F11+I11</f>
        <v>8409</v>
      </c>
      <c r="K11" s="183">
        <f t="shared" si="3"/>
        <v>7641.91</v>
      </c>
      <c r="L11" s="183">
        <f t="shared" si="9"/>
        <v>767.09000000000015</v>
      </c>
      <c r="M11" s="184">
        <f t="shared" si="4"/>
        <v>0.21360000000000001</v>
      </c>
      <c r="N11" s="183">
        <f t="shared" si="10"/>
        <v>163.85042400000003</v>
      </c>
      <c r="O11" s="185">
        <f t="shared" si="5"/>
        <v>809.25</v>
      </c>
      <c r="P11" s="183">
        <f t="shared" si="11"/>
        <v>973.10042399999998</v>
      </c>
      <c r="Q11" s="183">
        <f t="shared" si="6"/>
        <v>0</v>
      </c>
      <c r="R11" s="183">
        <f t="shared" si="12"/>
        <v>973.1</v>
      </c>
      <c r="S11" s="182">
        <f t="shared" si="13"/>
        <v>0</v>
      </c>
      <c r="T11" s="182">
        <f t="shared" si="7"/>
        <v>973.1</v>
      </c>
      <c r="U11" s="182">
        <f>SUM(T11:T11)</f>
        <v>973.1</v>
      </c>
      <c r="V11" s="182">
        <f>H11+S11-U11</f>
        <v>7435.9</v>
      </c>
      <c r="W11" s="89"/>
      <c r="X11" s="4"/>
    </row>
    <row r="12" spans="1:25" s="94" customFormat="1" ht="77.099999999999994" customHeight="1" x14ac:dyDescent="0.25">
      <c r="A12" s="220"/>
      <c r="B12" s="175" t="s">
        <v>190</v>
      </c>
      <c r="C12" s="175" t="s">
        <v>115</v>
      </c>
      <c r="D12" s="177" t="s">
        <v>283</v>
      </c>
      <c r="E12" s="178">
        <v>15</v>
      </c>
      <c r="F12" s="180">
        <v>8016</v>
      </c>
      <c r="G12" s="181">
        <v>534.4</v>
      </c>
      <c r="H12" s="182">
        <f t="shared" ref="H12" si="17">SUM(F12:G12)</f>
        <v>8550.4</v>
      </c>
      <c r="I12" s="183">
        <f t="shared" ref="I12" si="18">IF(F12/15&lt;=SMG,0,G12/2)</f>
        <v>267.2</v>
      </c>
      <c r="J12" s="183">
        <f t="shared" ref="J12" si="19">F12+I12</f>
        <v>8283.2000000000007</v>
      </c>
      <c r="K12" s="183">
        <f t="shared" si="3"/>
        <v>7641.91</v>
      </c>
      <c r="L12" s="183">
        <f t="shared" si="9"/>
        <v>641.29000000000087</v>
      </c>
      <c r="M12" s="184">
        <f t="shared" si="4"/>
        <v>0.21360000000000001</v>
      </c>
      <c r="N12" s="183">
        <f t="shared" si="10"/>
        <v>136.9795440000002</v>
      </c>
      <c r="O12" s="185">
        <f t="shared" si="5"/>
        <v>809.25</v>
      </c>
      <c r="P12" s="183">
        <f t="shared" si="11"/>
        <v>946.22954400000026</v>
      </c>
      <c r="Q12" s="183">
        <f t="shared" si="6"/>
        <v>0</v>
      </c>
      <c r="R12" s="183">
        <f t="shared" si="12"/>
        <v>946.23</v>
      </c>
      <c r="S12" s="182">
        <f t="shared" si="13"/>
        <v>0</v>
      </c>
      <c r="T12" s="182">
        <f t="shared" si="7"/>
        <v>946.23</v>
      </c>
      <c r="U12" s="182">
        <f>SUM(T12:T12)</f>
        <v>946.23</v>
      </c>
      <c r="V12" s="182">
        <f>H12+S12-U12</f>
        <v>7604.17</v>
      </c>
      <c r="W12" s="89"/>
      <c r="X12" s="4"/>
    </row>
    <row r="13" spans="1:25" s="94" customFormat="1" ht="77.099999999999994" customHeight="1" x14ac:dyDescent="0.25">
      <c r="A13" s="220"/>
      <c r="B13" s="175" t="s">
        <v>228</v>
      </c>
      <c r="C13" s="175" t="s">
        <v>115</v>
      </c>
      <c r="D13" s="177" t="s">
        <v>283</v>
      </c>
      <c r="E13" s="178">
        <v>15</v>
      </c>
      <c r="F13" s="180">
        <v>8016</v>
      </c>
      <c r="G13" s="181">
        <v>534.4</v>
      </c>
      <c r="H13" s="182">
        <f t="shared" ref="H13" si="20">SUM(F13:G13)</f>
        <v>8550.4</v>
      </c>
      <c r="I13" s="183">
        <f t="shared" ref="I13" si="21">IF(F13/15&lt;=SMG,0,G13/2)</f>
        <v>267.2</v>
      </c>
      <c r="J13" s="183">
        <f t="shared" ref="J13" si="22">F13+I13</f>
        <v>8283.2000000000007</v>
      </c>
      <c r="K13" s="183">
        <f t="shared" si="3"/>
        <v>7641.91</v>
      </c>
      <c r="L13" s="183">
        <f t="shared" si="9"/>
        <v>641.29000000000087</v>
      </c>
      <c r="M13" s="184">
        <f t="shared" si="4"/>
        <v>0.21360000000000001</v>
      </c>
      <c r="N13" s="183">
        <f t="shared" si="10"/>
        <v>136.9795440000002</v>
      </c>
      <c r="O13" s="185">
        <f t="shared" si="5"/>
        <v>809.25</v>
      </c>
      <c r="P13" s="183">
        <f t="shared" si="11"/>
        <v>946.22954400000026</v>
      </c>
      <c r="Q13" s="183">
        <f t="shared" si="6"/>
        <v>0</v>
      </c>
      <c r="R13" s="183">
        <f t="shared" si="12"/>
        <v>946.23</v>
      </c>
      <c r="S13" s="182">
        <f t="shared" si="13"/>
        <v>0</v>
      </c>
      <c r="T13" s="182">
        <f t="shared" si="7"/>
        <v>946.23</v>
      </c>
      <c r="U13" s="182">
        <f>SUM(T13:T13)</f>
        <v>946.23</v>
      </c>
      <c r="V13" s="182">
        <f>H13+S13-U13</f>
        <v>7604.17</v>
      </c>
      <c r="W13" s="89"/>
      <c r="X13" s="4"/>
    </row>
    <row r="14" spans="1:25" s="94" customFormat="1" ht="77.099999999999994" customHeight="1" x14ac:dyDescent="0.25">
      <c r="A14" s="220"/>
      <c r="B14" s="175" t="s">
        <v>105</v>
      </c>
      <c r="C14" s="175" t="s">
        <v>115</v>
      </c>
      <c r="D14" s="176" t="s">
        <v>80</v>
      </c>
      <c r="E14" s="178">
        <v>15</v>
      </c>
      <c r="F14" s="180">
        <v>7623</v>
      </c>
      <c r="G14" s="181">
        <v>0</v>
      </c>
      <c r="H14" s="182">
        <f t="shared" si="0"/>
        <v>7623</v>
      </c>
      <c r="I14" s="183">
        <f t="shared" si="1"/>
        <v>0</v>
      </c>
      <c r="J14" s="183">
        <f t="shared" si="8"/>
        <v>7623</v>
      </c>
      <c r="K14" s="183">
        <f t="shared" si="3"/>
        <v>6382.81</v>
      </c>
      <c r="L14" s="183">
        <f t="shared" si="9"/>
        <v>1240.1899999999996</v>
      </c>
      <c r="M14" s="184">
        <f t="shared" si="4"/>
        <v>0.1792</v>
      </c>
      <c r="N14" s="183">
        <f t="shared" si="10"/>
        <v>222.24204799999993</v>
      </c>
      <c r="O14" s="185">
        <f t="shared" si="5"/>
        <v>583.65</v>
      </c>
      <c r="P14" s="183">
        <f t="shared" si="11"/>
        <v>805.89204799999993</v>
      </c>
      <c r="Q14" s="183">
        <f t="shared" si="6"/>
        <v>0</v>
      </c>
      <c r="R14" s="183">
        <f t="shared" si="12"/>
        <v>805.89</v>
      </c>
      <c r="S14" s="182">
        <f t="shared" si="13"/>
        <v>0</v>
      </c>
      <c r="T14" s="182">
        <f t="shared" si="7"/>
        <v>805.89</v>
      </c>
      <c r="U14" s="182">
        <f>SUM(T14:T14)</f>
        <v>805.89</v>
      </c>
      <c r="V14" s="182">
        <f>H14+S14-U14</f>
        <v>6817.11</v>
      </c>
      <c r="W14" s="90"/>
      <c r="X14" s="4"/>
    </row>
    <row r="15" spans="1:25" ht="77.099999999999994" customHeight="1" x14ac:dyDescent="0.25">
      <c r="A15" s="220"/>
      <c r="B15" s="175" t="s">
        <v>199</v>
      </c>
      <c r="C15" s="175" t="s">
        <v>115</v>
      </c>
      <c r="D15" s="176" t="s">
        <v>80</v>
      </c>
      <c r="E15" s="222">
        <v>15</v>
      </c>
      <c r="F15" s="180">
        <v>7623</v>
      </c>
      <c r="G15" s="181">
        <v>0</v>
      </c>
      <c r="H15" s="182">
        <f t="shared" ref="H15" si="23">SUM(F15:G15)</f>
        <v>7623</v>
      </c>
      <c r="I15" s="183">
        <f t="shared" si="1"/>
        <v>0</v>
      </c>
      <c r="J15" s="183">
        <f t="shared" si="8"/>
        <v>7623</v>
      </c>
      <c r="K15" s="183">
        <f t="shared" si="3"/>
        <v>6382.81</v>
      </c>
      <c r="L15" s="183">
        <f t="shared" si="9"/>
        <v>1240.1899999999996</v>
      </c>
      <c r="M15" s="184">
        <f t="shared" si="4"/>
        <v>0.1792</v>
      </c>
      <c r="N15" s="183">
        <f t="shared" si="10"/>
        <v>222.24204799999993</v>
      </c>
      <c r="O15" s="185">
        <f t="shared" si="5"/>
        <v>583.65</v>
      </c>
      <c r="P15" s="183">
        <f t="shared" si="11"/>
        <v>805.89204799999993</v>
      </c>
      <c r="Q15" s="183">
        <f t="shared" si="6"/>
        <v>0</v>
      </c>
      <c r="R15" s="183">
        <f t="shared" si="12"/>
        <v>805.89</v>
      </c>
      <c r="S15" s="182">
        <f t="shared" si="13"/>
        <v>0</v>
      </c>
      <c r="T15" s="182">
        <f t="shared" si="7"/>
        <v>805.89</v>
      </c>
      <c r="U15" s="182">
        <f>SUM(T15:T15)</f>
        <v>805.89</v>
      </c>
      <c r="V15" s="182">
        <f>H15+S15-U15</f>
        <v>6817.11</v>
      </c>
      <c r="W15" s="90"/>
      <c r="X15" s="4"/>
    </row>
    <row r="16" spans="1:25" ht="77.099999999999994" customHeight="1" x14ac:dyDescent="0.25">
      <c r="A16" s="220"/>
      <c r="B16" s="175" t="s">
        <v>203</v>
      </c>
      <c r="C16" s="175" t="s">
        <v>115</v>
      </c>
      <c r="D16" s="176" t="s">
        <v>80</v>
      </c>
      <c r="E16" s="178">
        <v>15</v>
      </c>
      <c r="F16" s="180">
        <v>7623</v>
      </c>
      <c r="G16" s="181">
        <v>0</v>
      </c>
      <c r="H16" s="182">
        <f t="shared" ref="H16" si="24">SUM(F16:G16)</f>
        <v>7623</v>
      </c>
      <c r="I16" s="183">
        <f t="shared" si="1"/>
        <v>0</v>
      </c>
      <c r="J16" s="183">
        <f t="shared" si="8"/>
        <v>7623</v>
      </c>
      <c r="K16" s="183">
        <f t="shared" si="3"/>
        <v>6382.81</v>
      </c>
      <c r="L16" s="183">
        <f t="shared" si="9"/>
        <v>1240.1899999999996</v>
      </c>
      <c r="M16" s="184">
        <f t="shared" si="4"/>
        <v>0.1792</v>
      </c>
      <c r="N16" s="183">
        <f t="shared" si="10"/>
        <v>222.24204799999993</v>
      </c>
      <c r="O16" s="185">
        <f t="shared" si="5"/>
        <v>583.65</v>
      </c>
      <c r="P16" s="183">
        <f t="shared" si="11"/>
        <v>805.89204799999993</v>
      </c>
      <c r="Q16" s="183">
        <f t="shared" si="6"/>
        <v>0</v>
      </c>
      <c r="R16" s="183">
        <f t="shared" si="12"/>
        <v>805.89</v>
      </c>
      <c r="S16" s="182">
        <f t="shared" si="13"/>
        <v>0</v>
      </c>
      <c r="T16" s="182">
        <f t="shared" si="7"/>
        <v>805.89</v>
      </c>
      <c r="U16" s="182">
        <f>SUM(T16:T16)</f>
        <v>805.89</v>
      </c>
      <c r="V16" s="182">
        <f>H16+S16-U16</f>
        <v>6817.11</v>
      </c>
      <c r="W16" s="90"/>
      <c r="X16" s="4"/>
    </row>
    <row r="17" spans="1:24" ht="77.099999999999994" customHeight="1" x14ac:dyDescent="0.25">
      <c r="A17" s="220"/>
      <c r="B17" s="175" t="s">
        <v>216</v>
      </c>
      <c r="C17" s="175" t="s">
        <v>115</v>
      </c>
      <c r="D17" s="176" t="s">
        <v>80</v>
      </c>
      <c r="E17" s="178"/>
      <c r="F17" s="180">
        <v>7623</v>
      </c>
      <c r="G17" s="181">
        <v>508.2</v>
      </c>
      <c r="H17" s="182">
        <f t="shared" ref="H17" si="25">SUM(F17:G17)</f>
        <v>8131.2</v>
      </c>
      <c r="I17" s="183">
        <f t="shared" ref="I17:I21" si="26">IF(F17/15&lt;=SMG,0,G17/2)</f>
        <v>254.1</v>
      </c>
      <c r="J17" s="183">
        <f t="shared" ref="J17" si="27">F17+I17</f>
        <v>7877.1</v>
      </c>
      <c r="K17" s="183">
        <f t="shared" si="3"/>
        <v>7641.91</v>
      </c>
      <c r="L17" s="183">
        <f t="shared" si="9"/>
        <v>235.19000000000051</v>
      </c>
      <c r="M17" s="184">
        <f t="shared" si="4"/>
        <v>0.21360000000000001</v>
      </c>
      <c r="N17" s="183">
        <f t="shared" si="10"/>
        <v>50.236584000000114</v>
      </c>
      <c r="O17" s="185">
        <f t="shared" si="5"/>
        <v>809.25</v>
      </c>
      <c r="P17" s="183">
        <f t="shared" si="11"/>
        <v>859.48658400000011</v>
      </c>
      <c r="Q17" s="183">
        <f t="shared" si="6"/>
        <v>0</v>
      </c>
      <c r="R17" s="183">
        <f t="shared" si="12"/>
        <v>859.49</v>
      </c>
      <c r="S17" s="182">
        <f t="shared" si="13"/>
        <v>0</v>
      </c>
      <c r="T17" s="182">
        <f t="shared" si="7"/>
        <v>859.49</v>
      </c>
      <c r="U17" s="182">
        <f>SUM(T17:T17)</f>
        <v>859.49</v>
      </c>
      <c r="V17" s="182">
        <f>H17+S17-U17</f>
        <v>7271.71</v>
      </c>
      <c r="W17" s="90"/>
      <c r="X17" s="4"/>
    </row>
    <row r="18" spans="1:24" ht="77.099999999999994" customHeight="1" x14ac:dyDescent="0.25">
      <c r="A18" s="220"/>
      <c r="B18" s="175" t="s">
        <v>279</v>
      </c>
      <c r="C18" s="175" t="s">
        <v>115</v>
      </c>
      <c r="D18" s="176" t="s">
        <v>80</v>
      </c>
      <c r="E18" s="178"/>
      <c r="F18" s="180">
        <v>7623</v>
      </c>
      <c r="G18" s="181">
        <v>0</v>
      </c>
      <c r="H18" s="182">
        <f t="shared" ref="H18:H21" si="28">SUM(F18:G18)</f>
        <v>7623</v>
      </c>
      <c r="I18" s="183">
        <f t="shared" si="26"/>
        <v>0</v>
      </c>
      <c r="J18" s="183">
        <f t="shared" ref="J18:J21" si="29">F18+I18</f>
        <v>7623</v>
      </c>
      <c r="K18" s="183">
        <f t="shared" si="3"/>
        <v>6382.81</v>
      </c>
      <c r="L18" s="183">
        <f t="shared" si="9"/>
        <v>1240.1899999999996</v>
      </c>
      <c r="M18" s="184">
        <f t="shared" si="4"/>
        <v>0.1792</v>
      </c>
      <c r="N18" s="183">
        <f t="shared" si="10"/>
        <v>222.24204799999993</v>
      </c>
      <c r="O18" s="185">
        <f t="shared" si="5"/>
        <v>583.65</v>
      </c>
      <c r="P18" s="183">
        <f t="shared" si="11"/>
        <v>805.89204799999993</v>
      </c>
      <c r="Q18" s="183">
        <f t="shared" si="6"/>
        <v>0</v>
      </c>
      <c r="R18" s="183">
        <f t="shared" si="12"/>
        <v>805.89</v>
      </c>
      <c r="S18" s="182">
        <f t="shared" si="13"/>
        <v>0</v>
      </c>
      <c r="T18" s="182">
        <f t="shared" si="7"/>
        <v>805.89</v>
      </c>
      <c r="U18" s="182">
        <f>SUM(T18:T18)</f>
        <v>805.89</v>
      </c>
      <c r="V18" s="182">
        <f>H18+S18-U18</f>
        <v>6817.11</v>
      </c>
      <c r="W18" s="90"/>
      <c r="X18" s="4"/>
    </row>
    <row r="19" spans="1:24" ht="77.099999999999994" customHeight="1" x14ac:dyDescent="0.25">
      <c r="A19" s="220"/>
      <c r="B19" s="175" t="s">
        <v>280</v>
      </c>
      <c r="C19" s="175" t="s">
        <v>115</v>
      </c>
      <c r="D19" s="176" t="s">
        <v>80</v>
      </c>
      <c r="E19" s="178"/>
      <c r="F19" s="180">
        <v>7623</v>
      </c>
      <c r="G19" s="181">
        <v>508.2</v>
      </c>
      <c r="H19" s="182">
        <f t="shared" si="28"/>
        <v>8131.2</v>
      </c>
      <c r="I19" s="183">
        <f t="shared" si="26"/>
        <v>254.1</v>
      </c>
      <c r="J19" s="183">
        <f t="shared" si="29"/>
        <v>7877.1</v>
      </c>
      <c r="K19" s="183">
        <f t="shared" si="3"/>
        <v>7641.91</v>
      </c>
      <c r="L19" s="183">
        <f t="shared" si="9"/>
        <v>235.19000000000051</v>
      </c>
      <c r="M19" s="184">
        <f t="shared" si="4"/>
        <v>0.21360000000000001</v>
      </c>
      <c r="N19" s="183">
        <f t="shared" si="10"/>
        <v>50.236584000000114</v>
      </c>
      <c r="O19" s="185">
        <f t="shared" si="5"/>
        <v>809.25</v>
      </c>
      <c r="P19" s="183">
        <f t="shared" si="11"/>
        <v>859.48658400000011</v>
      </c>
      <c r="Q19" s="183">
        <f t="shared" si="6"/>
        <v>0</v>
      </c>
      <c r="R19" s="183">
        <f t="shared" si="12"/>
        <v>859.49</v>
      </c>
      <c r="S19" s="182">
        <f t="shared" si="13"/>
        <v>0</v>
      </c>
      <c r="T19" s="182">
        <f t="shared" si="7"/>
        <v>859.49</v>
      </c>
      <c r="U19" s="182">
        <f>SUM(T19:T19)</f>
        <v>859.49</v>
      </c>
      <c r="V19" s="182">
        <f>H19+S19-U19</f>
        <v>7271.71</v>
      </c>
      <c r="W19" s="90"/>
      <c r="X19" s="4"/>
    </row>
    <row r="20" spans="1:24" ht="77.099999999999994" customHeight="1" x14ac:dyDescent="0.25">
      <c r="A20" s="220"/>
      <c r="B20" s="175" t="s">
        <v>284</v>
      </c>
      <c r="C20" s="175" t="s">
        <v>115</v>
      </c>
      <c r="D20" s="176" t="s">
        <v>80</v>
      </c>
      <c r="E20" s="178"/>
      <c r="F20" s="180">
        <v>7623</v>
      </c>
      <c r="G20" s="181">
        <v>508.2</v>
      </c>
      <c r="H20" s="182">
        <f t="shared" si="28"/>
        <v>8131.2</v>
      </c>
      <c r="I20" s="183">
        <f t="shared" si="26"/>
        <v>254.1</v>
      </c>
      <c r="J20" s="183">
        <f t="shared" si="29"/>
        <v>7877.1</v>
      </c>
      <c r="K20" s="183">
        <f t="shared" si="3"/>
        <v>7641.91</v>
      </c>
      <c r="L20" s="183">
        <f t="shared" si="9"/>
        <v>235.19000000000051</v>
      </c>
      <c r="M20" s="184">
        <f t="shared" si="4"/>
        <v>0.21360000000000001</v>
      </c>
      <c r="N20" s="183">
        <f t="shared" si="10"/>
        <v>50.236584000000114</v>
      </c>
      <c r="O20" s="185">
        <f t="shared" si="5"/>
        <v>809.25</v>
      </c>
      <c r="P20" s="183">
        <f t="shared" si="11"/>
        <v>859.48658400000011</v>
      </c>
      <c r="Q20" s="183">
        <f t="shared" si="6"/>
        <v>0</v>
      </c>
      <c r="R20" s="183">
        <f t="shared" si="12"/>
        <v>859.49</v>
      </c>
      <c r="S20" s="182">
        <f t="shared" si="13"/>
        <v>0</v>
      </c>
      <c r="T20" s="182">
        <f t="shared" si="7"/>
        <v>859.49</v>
      </c>
      <c r="U20" s="182">
        <f>SUM(T20:T20)</f>
        <v>859.49</v>
      </c>
      <c r="V20" s="182">
        <f>H20+S20-U20</f>
        <v>7271.71</v>
      </c>
      <c r="W20" s="90"/>
      <c r="X20" s="4"/>
    </row>
    <row r="21" spans="1:24" ht="77.099999999999994" customHeight="1" x14ac:dyDescent="0.25">
      <c r="A21" s="220"/>
      <c r="B21" s="175" t="s">
        <v>298</v>
      </c>
      <c r="C21" s="175" t="s">
        <v>115</v>
      </c>
      <c r="D21" s="176" t="s">
        <v>80</v>
      </c>
      <c r="E21" s="178"/>
      <c r="F21" s="180">
        <v>7623</v>
      </c>
      <c r="G21" s="181">
        <v>0</v>
      </c>
      <c r="H21" s="182">
        <f t="shared" si="28"/>
        <v>7623</v>
      </c>
      <c r="I21" s="183">
        <f t="shared" si="26"/>
        <v>0</v>
      </c>
      <c r="J21" s="183">
        <f t="shared" si="29"/>
        <v>7623</v>
      </c>
      <c r="K21" s="183">
        <f t="shared" ref="K21" si="30">VLOOKUP(J21,Tarifa1,1)</f>
        <v>6382.81</v>
      </c>
      <c r="L21" s="183">
        <f t="shared" ref="L21" si="31">J21-K21</f>
        <v>1240.1899999999996</v>
      </c>
      <c r="M21" s="184">
        <f t="shared" ref="M21" si="32">VLOOKUP(J21,Tarifa1,3)</f>
        <v>0.1792</v>
      </c>
      <c r="N21" s="183">
        <f t="shared" ref="N21" si="33">L21*M21</f>
        <v>222.24204799999993</v>
      </c>
      <c r="O21" s="185">
        <f t="shared" ref="O21" si="34">VLOOKUP(J21,Tarifa1,2)</f>
        <v>583.65</v>
      </c>
      <c r="P21" s="183">
        <f t="shared" ref="P21" si="35">N21+O21</f>
        <v>805.89204799999993</v>
      </c>
      <c r="Q21" s="183">
        <f t="shared" ref="Q21" si="36">VLOOKUP(J21,Credito1,2)</f>
        <v>0</v>
      </c>
      <c r="R21" s="183">
        <f t="shared" ref="R21" si="37">ROUND(P21-Q21,2)</f>
        <v>805.89</v>
      </c>
      <c r="S21" s="182">
        <f t="shared" ref="S21" si="38">-IF(R21&gt;0,0,R21)</f>
        <v>0</v>
      </c>
      <c r="T21" s="182">
        <f t="shared" ref="T21" si="39">IF(F21/15&lt;=SMG,0,IF(R21&lt;0,0,R21))</f>
        <v>805.89</v>
      </c>
      <c r="U21" s="182">
        <f>SUM(T21:T21)</f>
        <v>805.89</v>
      </c>
      <c r="V21" s="182">
        <f>H21+S21-U21</f>
        <v>6817.11</v>
      </c>
      <c r="W21" s="90"/>
      <c r="X21" s="4"/>
    </row>
    <row r="22" spans="1:24" ht="77.099999999999994" customHeight="1" x14ac:dyDescent="0.25">
      <c r="A22" s="220"/>
      <c r="B22" s="175" t="s">
        <v>317</v>
      </c>
      <c r="C22" s="175" t="s">
        <v>115</v>
      </c>
      <c r="D22" s="176" t="s">
        <v>80</v>
      </c>
      <c r="E22" s="178"/>
      <c r="F22" s="180">
        <v>7623</v>
      </c>
      <c r="G22" s="181">
        <v>0</v>
      </c>
      <c r="H22" s="182">
        <f t="shared" ref="H22" si="40">SUM(F22:G22)</f>
        <v>7623</v>
      </c>
      <c r="I22" s="183">
        <f t="shared" ref="I22" si="41">IF(F22/15&lt;=SMG,0,G22/2)</f>
        <v>0</v>
      </c>
      <c r="J22" s="183">
        <f t="shared" ref="J22" si="42">F22+I22</f>
        <v>7623</v>
      </c>
      <c r="K22" s="183">
        <f t="shared" si="3"/>
        <v>6382.81</v>
      </c>
      <c r="L22" s="183">
        <f t="shared" si="9"/>
        <v>1240.1899999999996</v>
      </c>
      <c r="M22" s="184">
        <f t="shared" si="4"/>
        <v>0.1792</v>
      </c>
      <c r="N22" s="183">
        <f t="shared" si="10"/>
        <v>222.24204799999993</v>
      </c>
      <c r="O22" s="185">
        <f t="shared" si="5"/>
        <v>583.65</v>
      </c>
      <c r="P22" s="183">
        <f t="shared" si="11"/>
        <v>805.89204799999993</v>
      </c>
      <c r="Q22" s="183">
        <f t="shared" si="6"/>
        <v>0</v>
      </c>
      <c r="R22" s="183">
        <f t="shared" si="12"/>
        <v>805.89</v>
      </c>
      <c r="S22" s="182">
        <f t="shared" si="13"/>
        <v>0</v>
      </c>
      <c r="T22" s="182">
        <f t="shared" si="7"/>
        <v>805.89</v>
      </c>
      <c r="U22" s="182">
        <f>SUM(T22:T22)</f>
        <v>805.89</v>
      </c>
      <c r="V22" s="182">
        <f>H22+S22-U22</f>
        <v>6817.11</v>
      </c>
      <c r="W22" s="90"/>
      <c r="X22" s="4"/>
    </row>
    <row r="23" spans="1:24" ht="29.25" customHeight="1" thickBot="1" x14ac:dyDescent="0.3">
      <c r="A23" s="265" t="s">
        <v>44</v>
      </c>
      <c r="B23" s="266"/>
      <c r="C23" s="266"/>
      <c r="D23" s="266"/>
      <c r="E23" s="266"/>
      <c r="F23" s="186">
        <f>SUM(F9:F22)</f>
        <v>111750</v>
      </c>
      <c r="G23" s="186">
        <f>SUM(G9:G22)</f>
        <v>3840.2</v>
      </c>
      <c r="H23" s="186">
        <f>SUM(H9:H22)</f>
        <v>115590.2</v>
      </c>
      <c r="I23" s="187">
        <f t="shared" ref="I23:R23" si="43">SUM(I9:I14)</f>
        <v>1157.8000000000002</v>
      </c>
      <c r="J23" s="187">
        <f t="shared" si="43"/>
        <v>51923.8</v>
      </c>
      <c r="K23" s="187">
        <f t="shared" si="43"/>
        <v>44592.36</v>
      </c>
      <c r="L23" s="187">
        <f t="shared" si="43"/>
        <v>7331.4400000000014</v>
      </c>
      <c r="M23" s="187">
        <f t="shared" si="43"/>
        <v>1.2472000000000001</v>
      </c>
      <c r="N23" s="187">
        <f t="shared" si="43"/>
        <v>1523.3330480000004</v>
      </c>
      <c r="O23" s="187">
        <f t="shared" si="43"/>
        <v>4629.8999999999996</v>
      </c>
      <c r="P23" s="187">
        <f t="shared" si="43"/>
        <v>6153.2330480000001</v>
      </c>
      <c r="Q23" s="187">
        <f t="shared" si="43"/>
        <v>0</v>
      </c>
      <c r="R23" s="187">
        <f t="shared" si="43"/>
        <v>6153.2300000000005</v>
      </c>
      <c r="S23" s="186">
        <f>SUM(S9:S22)</f>
        <v>0</v>
      </c>
      <c r="T23" s="186">
        <f>SUM(T9:T22)</f>
        <v>12761.15</v>
      </c>
      <c r="U23" s="186">
        <f>SUM(U9:U22)</f>
        <v>12761.15</v>
      </c>
      <c r="V23" s="186">
        <f>SUM(V9:V22)</f>
        <v>102829.05000000002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5"/>
  <sheetViews>
    <sheetView topLeftCell="B11" zoomScale="73" zoomScaleNormal="73" workbookViewId="0">
      <selection activeCell="W11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4.8554687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5.7109375" style="67" customWidth="1"/>
    <col min="11" max="11" width="13.140625" style="67" hidden="1" customWidth="1"/>
    <col min="12" max="14" width="14.28515625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customWidth="1"/>
    <col min="22" max="22" width="14.42578125" style="67" customWidth="1"/>
    <col min="23" max="23" width="13" style="67" customWidth="1"/>
    <col min="24" max="24" width="15.85546875" style="67" customWidth="1"/>
    <col min="25" max="25" width="55.42578125" style="67" customWidth="1"/>
    <col min="26" max="16384" width="11.42578125" style="67"/>
  </cols>
  <sheetData>
    <row r="1" spans="1:25" ht="18" x14ac:dyDescent="0.2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22</v>
      </c>
      <c r="G6" s="69" t="s">
        <v>5</v>
      </c>
      <c r="H6" s="299" t="s">
        <v>1</v>
      </c>
      <c r="I6" s="300"/>
      <c r="J6" s="301"/>
      <c r="K6" s="70" t="s">
        <v>25</v>
      </c>
      <c r="L6" s="71"/>
      <c r="M6" s="302" t="s">
        <v>8</v>
      </c>
      <c r="N6" s="303"/>
      <c r="O6" s="303"/>
      <c r="P6" s="303"/>
      <c r="Q6" s="303"/>
      <c r="R6" s="304"/>
      <c r="S6" s="70" t="s">
        <v>29</v>
      </c>
      <c r="T6" s="70" t="s">
        <v>9</v>
      </c>
      <c r="U6" s="69" t="s">
        <v>52</v>
      </c>
      <c r="V6" s="305" t="s">
        <v>2</v>
      </c>
      <c r="W6" s="306"/>
      <c r="X6" s="69" t="s">
        <v>0</v>
      </c>
      <c r="Y6" s="72"/>
    </row>
    <row r="7" spans="1:25" ht="22.5" x14ac:dyDescent="0.2">
      <c r="A7" s="73" t="s">
        <v>20</v>
      </c>
      <c r="B7" s="74" t="s">
        <v>101</v>
      </c>
      <c r="C7" s="74" t="s">
        <v>116</v>
      </c>
      <c r="D7" s="73" t="s">
        <v>21</v>
      </c>
      <c r="E7" s="73"/>
      <c r="F7" s="75" t="s">
        <v>23</v>
      </c>
      <c r="G7" s="73" t="s">
        <v>24</v>
      </c>
      <c r="H7" s="69" t="s">
        <v>5</v>
      </c>
      <c r="I7" s="69" t="s">
        <v>57</v>
      </c>
      <c r="J7" s="69" t="s">
        <v>27</v>
      </c>
      <c r="K7" s="76" t="s">
        <v>26</v>
      </c>
      <c r="L7" s="71" t="s">
        <v>31</v>
      </c>
      <c r="M7" s="71" t="s">
        <v>11</v>
      </c>
      <c r="N7" s="71" t="s">
        <v>33</v>
      </c>
      <c r="O7" s="71" t="s">
        <v>35</v>
      </c>
      <c r="P7" s="71" t="s">
        <v>36</v>
      </c>
      <c r="Q7" s="71" t="s">
        <v>13</v>
      </c>
      <c r="R7" s="71" t="s">
        <v>9</v>
      </c>
      <c r="S7" s="76" t="s">
        <v>39</v>
      </c>
      <c r="T7" s="76" t="s">
        <v>40</v>
      </c>
      <c r="U7" s="73" t="s">
        <v>30</v>
      </c>
      <c r="V7" s="23" t="s">
        <v>312</v>
      </c>
      <c r="W7" s="69" t="s">
        <v>6</v>
      </c>
      <c r="X7" s="73" t="s">
        <v>3</v>
      </c>
      <c r="Y7" s="77" t="s">
        <v>56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46</v>
      </c>
      <c r="I8" s="73" t="s">
        <v>58</v>
      </c>
      <c r="J8" s="73" t="s">
        <v>28</v>
      </c>
      <c r="K8" s="76" t="s">
        <v>42</v>
      </c>
      <c r="L8" s="70" t="s">
        <v>32</v>
      </c>
      <c r="M8" s="70" t="s">
        <v>12</v>
      </c>
      <c r="N8" s="70" t="s">
        <v>34</v>
      </c>
      <c r="O8" s="70" t="s">
        <v>34</v>
      </c>
      <c r="P8" s="70" t="s">
        <v>37</v>
      </c>
      <c r="Q8" s="70" t="s">
        <v>14</v>
      </c>
      <c r="R8" s="70" t="s">
        <v>38</v>
      </c>
      <c r="S8" s="76" t="s">
        <v>18</v>
      </c>
      <c r="T8" s="79" t="s">
        <v>130</v>
      </c>
      <c r="U8" s="73" t="s">
        <v>51</v>
      </c>
      <c r="V8" s="73"/>
      <c r="W8" s="73" t="s">
        <v>43</v>
      </c>
      <c r="X8" s="73" t="s">
        <v>4</v>
      </c>
      <c r="Y8" s="80"/>
    </row>
    <row r="9" spans="1:25" ht="36" x14ac:dyDescent="0.25">
      <c r="A9" s="81"/>
      <c r="B9" s="82"/>
      <c r="C9" s="82"/>
      <c r="D9" s="223" t="s">
        <v>137</v>
      </c>
      <c r="E9" s="83" t="s">
        <v>60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124.5" customHeight="1" x14ac:dyDescent="0.25">
      <c r="A10" s="243"/>
      <c r="B10" s="175" t="s">
        <v>302</v>
      </c>
      <c r="C10" s="175" t="s">
        <v>115</v>
      </c>
      <c r="D10" s="221" t="s">
        <v>300</v>
      </c>
      <c r="E10" s="177" t="s">
        <v>301</v>
      </c>
      <c r="F10" s="178"/>
      <c r="G10" s="179"/>
      <c r="H10" s="180">
        <v>9547</v>
      </c>
      <c r="I10" s="181">
        <v>0</v>
      </c>
      <c r="J10" s="182">
        <f t="shared" ref="J10" si="0">SUM(H10:I10)</f>
        <v>9547</v>
      </c>
      <c r="K10" s="183">
        <f t="shared" ref="K10" si="1">IF(H10/15&lt;=SMG,0,I10/2)</f>
        <v>0</v>
      </c>
      <c r="L10" s="183">
        <f t="shared" ref="L10" si="2">H10+K10</f>
        <v>9547</v>
      </c>
      <c r="M10" s="183">
        <f>VLOOKUP(L10,Tarifa1,1)</f>
        <v>7641.91</v>
      </c>
      <c r="N10" s="183">
        <f>L10-M10</f>
        <v>1905.0900000000001</v>
      </c>
      <c r="O10" s="184">
        <f>VLOOKUP(L10,Tarifa1,3)</f>
        <v>0.21360000000000001</v>
      </c>
      <c r="P10" s="183">
        <f>N10*O10</f>
        <v>406.92722400000008</v>
      </c>
      <c r="Q10" s="185">
        <f>VLOOKUP(L10,Tarifa1,2)</f>
        <v>809.25</v>
      </c>
      <c r="R10" s="183">
        <f>P10+Q10</f>
        <v>1216.177224</v>
      </c>
      <c r="S10" s="183">
        <f>VLOOKUP(L10,Credito1,2)</f>
        <v>0</v>
      </c>
      <c r="T10" s="183">
        <f>ROUND(R10-S10,2)</f>
        <v>1216.18</v>
      </c>
      <c r="U10" s="182">
        <f>-IF(T10&gt;0,0,T10)</f>
        <v>0</v>
      </c>
      <c r="V10" s="182">
        <f>IF(H10/15&lt;=SMG,0,IF(T10&lt;0,0,T10))</f>
        <v>1216.18</v>
      </c>
      <c r="W10" s="182">
        <f>SUM(V10:V10)</f>
        <v>1216.18</v>
      </c>
      <c r="X10" s="182">
        <f>J10+U10-W10</f>
        <v>8330.82</v>
      </c>
      <c r="Y10" s="240"/>
    </row>
    <row r="11" spans="1:25" s="94" customFormat="1" ht="124.5" customHeight="1" x14ac:dyDescent="0.25">
      <c r="A11" s="116"/>
      <c r="B11" s="175" t="s">
        <v>210</v>
      </c>
      <c r="C11" s="175" t="s">
        <v>115</v>
      </c>
      <c r="D11" s="117" t="s">
        <v>209</v>
      </c>
      <c r="E11" s="176" t="s">
        <v>135</v>
      </c>
      <c r="F11" s="178"/>
      <c r="G11" s="179"/>
      <c r="H11" s="180">
        <v>5767.5</v>
      </c>
      <c r="I11" s="181">
        <v>769</v>
      </c>
      <c r="J11" s="182">
        <f t="shared" ref="J11" si="3">SUM(H11:I11)</f>
        <v>6536.5</v>
      </c>
      <c r="K11" s="183">
        <f t="shared" ref="K11" si="4">IF(H11/15&lt;=SMG,0,I11/2)</f>
        <v>384.5</v>
      </c>
      <c r="L11" s="183">
        <f t="shared" ref="L11" si="5">H11+K11</f>
        <v>6152</v>
      </c>
      <c r="M11" s="183">
        <f>VLOOKUP(L11,Tarifa1,1)</f>
        <v>5490.76</v>
      </c>
      <c r="N11" s="183">
        <f t="shared" ref="N11:N13" si="6">L11-M11</f>
        <v>661.23999999999978</v>
      </c>
      <c r="O11" s="184">
        <f>VLOOKUP(L11,Tarifa1,3)</f>
        <v>0.16</v>
      </c>
      <c r="P11" s="183">
        <f t="shared" ref="P11:P13" si="7">N11*O11</f>
        <v>105.79839999999997</v>
      </c>
      <c r="Q11" s="185">
        <f>VLOOKUP(L11,Tarifa1,2)</f>
        <v>441</v>
      </c>
      <c r="R11" s="183">
        <f t="shared" ref="R11:R13" si="8">P11+Q11</f>
        <v>546.79840000000002</v>
      </c>
      <c r="S11" s="183">
        <f>VLOOKUP(L11,Credito1,2)</f>
        <v>0</v>
      </c>
      <c r="T11" s="183">
        <f t="shared" ref="T11:T13" si="9">ROUND(R11-S11,2)</f>
        <v>546.79999999999995</v>
      </c>
      <c r="U11" s="182">
        <f t="shared" ref="U11:U13" si="10">-IF(T11&gt;0,0,T11)</f>
        <v>0</v>
      </c>
      <c r="V11" s="182">
        <f>IF(H11/15&lt;=SMG,0,IF(T11&lt;0,0,T11))</f>
        <v>546.79999999999995</v>
      </c>
      <c r="W11" s="182">
        <f>SUM(V11:V11)</f>
        <v>546.79999999999995</v>
      </c>
      <c r="X11" s="182">
        <f>J11+U11-W11</f>
        <v>5989.7</v>
      </c>
      <c r="Y11" s="93"/>
    </row>
    <row r="12" spans="1:25" s="94" customFormat="1" ht="124.5" customHeight="1" x14ac:dyDescent="0.25">
      <c r="A12" s="116" t="s">
        <v>91</v>
      </c>
      <c r="B12" s="175" t="s">
        <v>139</v>
      </c>
      <c r="C12" s="175" t="s">
        <v>157</v>
      </c>
      <c r="D12" s="221" t="s">
        <v>134</v>
      </c>
      <c r="E12" s="177" t="s">
        <v>136</v>
      </c>
      <c r="F12" s="178">
        <v>15</v>
      </c>
      <c r="G12" s="179">
        <f>H12/F12</f>
        <v>308.26666666666665</v>
      </c>
      <c r="H12" s="180">
        <v>4624</v>
      </c>
      <c r="I12" s="181">
        <v>0</v>
      </c>
      <c r="J12" s="182">
        <f>SUM(H12:I12)</f>
        <v>4624</v>
      </c>
      <c r="K12" s="183">
        <f t="shared" ref="K12:K13" si="11">IF(H12/15&lt;=SMG,0,I12/2)</f>
        <v>0</v>
      </c>
      <c r="L12" s="183">
        <f t="shared" ref="L12:L13" si="12">H12+K12</f>
        <v>4624</v>
      </c>
      <c r="M12" s="183">
        <f>VLOOKUP(L12,Tarifa1,1)</f>
        <v>3124.36</v>
      </c>
      <c r="N12" s="183">
        <f t="shared" si="6"/>
        <v>1499.6399999999999</v>
      </c>
      <c r="O12" s="184">
        <f>VLOOKUP(L12,Tarifa1,3)</f>
        <v>0.10879999999999999</v>
      </c>
      <c r="P12" s="183">
        <f t="shared" si="7"/>
        <v>163.16083199999997</v>
      </c>
      <c r="Q12" s="185">
        <f>VLOOKUP(L12,Tarifa1,2)</f>
        <v>183.45</v>
      </c>
      <c r="R12" s="183">
        <f t="shared" si="8"/>
        <v>346.61083199999996</v>
      </c>
      <c r="S12" s="183">
        <f>VLOOKUP(L12,Credito1,2)</f>
        <v>0</v>
      </c>
      <c r="T12" s="183">
        <f t="shared" si="9"/>
        <v>346.61</v>
      </c>
      <c r="U12" s="182">
        <f t="shared" si="10"/>
        <v>0</v>
      </c>
      <c r="V12" s="182">
        <f>IF(H12/15&lt;=SMG,0,IF(T12&lt;0,0,T12))</f>
        <v>346.61</v>
      </c>
      <c r="W12" s="182">
        <f>SUM(V12:V12)</f>
        <v>346.61</v>
      </c>
      <c r="X12" s="182">
        <f>J12+U12-W12</f>
        <v>4277.3900000000003</v>
      </c>
      <c r="Y12" s="93"/>
    </row>
    <row r="13" spans="1:25" s="94" customFormat="1" ht="124.5" customHeight="1" x14ac:dyDescent="0.25">
      <c r="A13" s="220"/>
      <c r="B13" s="175" t="s">
        <v>140</v>
      </c>
      <c r="C13" s="175" t="s">
        <v>115</v>
      </c>
      <c r="D13" s="221" t="s">
        <v>133</v>
      </c>
      <c r="E13" s="177" t="s">
        <v>136</v>
      </c>
      <c r="F13" s="178">
        <v>15</v>
      </c>
      <c r="G13" s="179">
        <f>H13/F13</f>
        <v>308.26666666666665</v>
      </c>
      <c r="H13" s="180">
        <v>4624</v>
      </c>
      <c r="I13" s="181">
        <v>0</v>
      </c>
      <c r="J13" s="182">
        <f>SUM(H13:I13)</f>
        <v>4624</v>
      </c>
      <c r="K13" s="183">
        <f t="shared" si="11"/>
        <v>0</v>
      </c>
      <c r="L13" s="183">
        <f t="shared" si="12"/>
        <v>4624</v>
      </c>
      <c r="M13" s="183">
        <f>VLOOKUP(L13,Tarifa1,1)</f>
        <v>3124.36</v>
      </c>
      <c r="N13" s="183">
        <f t="shared" si="6"/>
        <v>1499.6399999999999</v>
      </c>
      <c r="O13" s="184">
        <f>VLOOKUP(L13,Tarifa1,3)</f>
        <v>0.10879999999999999</v>
      </c>
      <c r="P13" s="183">
        <f t="shared" si="7"/>
        <v>163.16083199999997</v>
      </c>
      <c r="Q13" s="185">
        <f>VLOOKUP(L13,Tarifa1,2)</f>
        <v>183.45</v>
      </c>
      <c r="R13" s="183">
        <f t="shared" si="8"/>
        <v>346.61083199999996</v>
      </c>
      <c r="S13" s="183">
        <f>VLOOKUP(L13,Credito1,2)</f>
        <v>0</v>
      </c>
      <c r="T13" s="183">
        <f t="shared" si="9"/>
        <v>346.61</v>
      </c>
      <c r="U13" s="182">
        <f t="shared" si="10"/>
        <v>0</v>
      </c>
      <c r="V13" s="182">
        <f>IF(H13/15&lt;=SMG,0,IF(T13&lt;0,0,T13))</f>
        <v>346.61</v>
      </c>
      <c r="W13" s="182">
        <f>SUM(V13:V13)</f>
        <v>346.61</v>
      </c>
      <c r="X13" s="182">
        <f>J13+U13-W13</f>
        <v>4277.3900000000003</v>
      </c>
      <c r="Y13" s="93"/>
    </row>
    <row r="14" spans="1:25" ht="40.5" customHeight="1" thickBot="1" x14ac:dyDescent="0.3">
      <c r="A14" s="265" t="s">
        <v>44</v>
      </c>
      <c r="B14" s="266"/>
      <c r="C14" s="266"/>
      <c r="D14" s="266"/>
      <c r="E14" s="266"/>
      <c r="F14" s="266"/>
      <c r="G14" s="267"/>
      <c r="H14" s="186">
        <f>SUM(H10:H13)</f>
        <v>24562.5</v>
      </c>
      <c r="I14" s="186">
        <f>SUM(I10:I13)</f>
        <v>769</v>
      </c>
      <c r="J14" s="186">
        <f t="shared" ref="J14:U14" si="13">SUM(J11:J13)</f>
        <v>15784.5</v>
      </c>
      <c r="K14" s="187">
        <f t="shared" si="13"/>
        <v>384.5</v>
      </c>
      <c r="L14" s="187">
        <f t="shared" si="13"/>
        <v>15400</v>
      </c>
      <c r="M14" s="187">
        <f t="shared" si="13"/>
        <v>11739.480000000001</v>
      </c>
      <c r="N14" s="187">
        <f t="shared" si="13"/>
        <v>3660.5199999999995</v>
      </c>
      <c r="O14" s="187">
        <f t="shared" si="13"/>
        <v>0.37759999999999999</v>
      </c>
      <c r="P14" s="187">
        <f t="shared" si="13"/>
        <v>432.1200639999999</v>
      </c>
      <c r="Q14" s="187">
        <f t="shared" si="13"/>
        <v>807.90000000000009</v>
      </c>
      <c r="R14" s="187">
        <f t="shared" si="13"/>
        <v>1240.0200639999998</v>
      </c>
      <c r="S14" s="187">
        <f t="shared" si="13"/>
        <v>0</v>
      </c>
      <c r="T14" s="187">
        <f t="shared" si="13"/>
        <v>1240.02</v>
      </c>
      <c r="U14" s="186">
        <f t="shared" si="13"/>
        <v>0</v>
      </c>
      <c r="V14" s="186">
        <f>SUM(V10:V13)</f>
        <v>2456.2000000000003</v>
      </c>
      <c r="W14" s="186">
        <f>SUM(W10:W13)</f>
        <v>2456.2000000000003</v>
      </c>
      <c r="X14" s="186">
        <f>SUM(X10:X13)</f>
        <v>22875.3</v>
      </c>
    </row>
    <row r="15" spans="1:25" ht="18.75" thickTop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1"/>
  <sheetViews>
    <sheetView tabSelected="1" topLeftCell="B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6.42578125" hidden="1" customWidth="1"/>
    <col min="7" max="7" width="10" hidden="1" customWidth="1"/>
    <col min="8" max="8" width="13.42578125" customWidth="1"/>
    <col min="9" max="9" width="10.28515625" customWidth="1"/>
    <col min="10" max="10" width="14.42578125" bestFit="1" customWidth="1"/>
    <col min="11" max="11" width="11.7109375" hidden="1" customWidth="1"/>
    <col min="12" max="14" width="14.42578125" hidden="1" customWidth="1"/>
    <col min="15" max="15" width="13.42578125" hidden="1" customWidth="1"/>
    <col min="16" max="17" width="12.85546875" hidden="1" customWidth="1"/>
    <col min="18" max="18" width="14.42578125" hidden="1" customWidth="1"/>
    <col min="19" max="19" width="11" hidden="1" customWidth="1"/>
    <col min="20" max="20" width="14.42578125" hidden="1" customWidth="1"/>
    <col min="21" max="21" width="11" bestFit="1" customWidth="1"/>
    <col min="22" max="22" width="14.28515625" customWidth="1"/>
    <col min="23" max="23" width="13.85546875" customWidth="1"/>
    <col min="24" max="24" width="13.7109375" customWidth="1"/>
    <col min="25" max="25" width="75.140625" customWidth="1"/>
    <col min="26" max="26" width="1" customWidth="1"/>
  </cols>
  <sheetData>
    <row r="1" spans="1:31" ht="19.5" x14ac:dyDescent="0.25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22</v>
      </c>
      <c r="G5" s="129" t="s">
        <v>5</v>
      </c>
      <c r="H5" s="270" t="s">
        <v>1</v>
      </c>
      <c r="I5" s="271"/>
      <c r="J5" s="272"/>
      <c r="K5" s="130" t="s">
        <v>25</v>
      </c>
      <c r="L5" s="131"/>
      <c r="M5" s="273" t="s">
        <v>8</v>
      </c>
      <c r="N5" s="274"/>
      <c r="O5" s="274"/>
      <c r="P5" s="274"/>
      <c r="Q5" s="274"/>
      <c r="R5" s="275"/>
      <c r="S5" s="130" t="s">
        <v>52</v>
      </c>
      <c r="T5" s="130" t="s">
        <v>9</v>
      </c>
      <c r="U5" s="129" t="s">
        <v>52</v>
      </c>
      <c r="V5" s="276" t="s">
        <v>2</v>
      </c>
      <c r="W5" s="277"/>
      <c r="X5" s="129" t="s">
        <v>0</v>
      </c>
      <c r="Y5" s="47"/>
    </row>
    <row r="6" spans="1:31" s="51" customFormat="1" ht="29.25" customHeight="1" x14ac:dyDescent="0.25">
      <c r="A6" s="52" t="s">
        <v>20</v>
      </c>
      <c r="B6" s="132" t="s">
        <v>101</v>
      </c>
      <c r="C6" s="132" t="s">
        <v>124</v>
      </c>
      <c r="D6" s="133" t="s">
        <v>21</v>
      </c>
      <c r="E6" s="133"/>
      <c r="F6" s="134" t="s">
        <v>23</v>
      </c>
      <c r="G6" s="133" t="s">
        <v>24</v>
      </c>
      <c r="H6" s="129" t="s">
        <v>5</v>
      </c>
      <c r="I6" s="129" t="s">
        <v>57</v>
      </c>
      <c r="J6" s="129" t="s">
        <v>27</v>
      </c>
      <c r="K6" s="135" t="s">
        <v>26</v>
      </c>
      <c r="L6" s="131" t="s">
        <v>31</v>
      </c>
      <c r="M6" s="131" t="s">
        <v>11</v>
      </c>
      <c r="N6" s="131" t="s">
        <v>33</v>
      </c>
      <c r="O6" s="131" t="s">
        <v>35</v>
      </c>
      <c r="P6" s="131" t="s">
        <v>36</v>
      </c>
      <c r="Q6" s="131" t="s">
        <v>13</v>
      </c>
      <c r="R6" s="131" t="s">
        <v>9</v>
      </c>
      <c r="S6" s="135" t="s">
        <v>39</v>
      </c>
      <c r="T6" s="135" t="s">
        <v>40</v>
      </c>
      <c r="U6" s="133" t="s">
        <v>30</v>
      </c>
      <c r="V6" s="129" t="s">
        <v>312</v>
      </c>
      <c r="W6" s="129" t="s">
        <v>6</v>
      </c>
      <c r="X6" s="133" t="s">
        <v>3</v>
      </c>
      <c r="Y6" s="52" t="s">
        <v>56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46</v>
      </c>
      <c r="I7" s="137" t="s">
        <v>58</v>
      </c>
      <c r="J7" s="137" t="s">
        <v>28</v>
      </c>
      <c r="K7" s="138" t="s">
        <v>42</v>
      </c>
      <c r="L7" s="130" t="s">
        <v>32</v>
      </c>
      <c r="M7" s="130" t="s">
        <v>12</v>
      </c>
      <c r="N7" s="130" t="s">
        <v>34</v>
      </c>
      <c r="O7" s="130" t="s">
        <v>34</v>
      </c>
      <c r="P7" s="130" t="s">
        <v>37</v>
      </c>
      <c r="Q7" s="130" t="s">
        <v>14</v>
      </c>
      <c r="R7" s="130" t="s">
        <v>38</v>
      </c>
      <c r="S7" s="135" t="s">
        <v>51</v>
      </c>
      <c r="T7" s="139" t="s">
        <v>224</v>
      </c>
      <c r="U7" s="137" t="s">
        <v>51</v>
      </c>
      <c r="V7" s="137"/>
      <c r="W7" s="137" t="s">
        <v>43</v>
      </c>
      <c r="X7" s="137" t="s">
        <v>4</v>
      </c>
      <c r="Y7" s="57"/>
    </row>
    <row r="8" spans="1:31" s="51" customFormat="1" ht="43.5" customHeight="1" x14ac:dyDescent="0.25">
      <c r="A8" s="62"/>
      <c r="B8" s="140" t="s">
        <v>101</v>
      </c>
      <c r="C8" s="140" t="s">
        <v>124</v>
      </c>
      <c r="D8" s="141" t="s">
        <v>61</v>
      </c>
      <c r="E8" s="142" t="s">
        <v>60</v>
      </c>
      <c r="F8" s="142"/>
      <c r="G8" s="142"/>
      <c r="H8" s="143">
        <f>SUM(H9:H11)</f>
        <v>47383</v>
      </c>
      <c r="I8" s="143">
        <f>SUM(I9:I11)</f>
        <v>0</v>
      </c>
      <c r="J8" s="143">
        <f>SUM(J9:J11)</f>
        <v>47383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8222.0499999999993</v>
      </c>
      <c r="W8" s="143">
        <f>SUM(W9:W11)</f>
        <v>8222.0499999999993</v>
      </c>
      <c r="X8" s="143">
        <f>SUM(X9:X11)</f>
        <v>39160.949999999997</v>
      </c>
      <c r="Y8" s="63"/>
    </row>
    <row r="9" spans="1:31" s="51" customFormat="1" ht="90" customHeight="1" x14ac:dyDescent="0.3">
      <c r="A9" s="85" t="s">
        <v>83</v>
      </c>
      <c r="B9" s="174" t="s">
        <v>217</v>
      </c>
      <c r="C9" s="175" t="s">
        <v>115</v>
      </c>
      <c r="D9" s="248" t="s">
        <v>218</v>
      </c>
      <c r="E9" s="176" t="s">
        <v>219</v>
      </c>
      <c r="F9" s="178">
        <v>15</v>
      </c>
      <c r="G9" s="179">
        <v>1677.25</v>
      </c>
      <c r="H9" s="180">
        <v>27705</v>
      </c>
      <c r="I9" s="181">
        <v>0</v>
      </c>
      <c r="J9" s="182">
        <f>SUM(H9:I9)</f>
        <v>27705</v>
      </c>
      <c r="K9" s="183">
        <f>IF(H9/15&lt;=SMG,0,I9/2)</f>
        <v>0</v>
      </c>
      <c r="L9" s="183">
        <f>H9+K9</f>
        <v>27705</v>
      </c>
      <c r="M9" s="183">
        <f>VLOOKUP(L9,Tarifa1,1)</f>
        <v>24292.66</v>
      </c>
      <c r="N9" s="183">
        <f>L9-M9</f>
        <v>3412.34</v>
      </c>
      <c r="O9" s="184">
        <f>VLOOKUP(L9,Tarifa1,3)</f>
        <v>0.3</v>
      </c>
      <c r="P9" s="183">
        <f>N9*O9</f>
        <v>1023.702</v>
      </c>
      <c r="Q9" s="185">
        <f>VLOOKUP(L9,Tarifa1,2)</f>
        <v>4557.75</v>
      </c>
      <c r="R9" s="183">
        <f>P9+Q9</f>
        <v>5581.4520000000002</v>
      </c>
      <c r="S9" s="183">
        <f>VLOOKUP(L9,Credito1,2)</f>
        <v>0</v>
      </c>
      <c r="T9" s="183">
        <f>ROUND(R9-S9,2)</f>
        <v>5581.45</v>
      </c>
      <c r="U9" s="182">
        <f>-IF(T9&gt;0,0,T9)</f>
        <v>0</v>
      </c>
      <c r="V9" s="182">
        <f>IF(H9/15&lt;=SMG,0,IF(T9&lt;0,0,T9))</f>
        <v>5581.45</v>
      </c>
      <c r="W9" s="182">
        <f>SUM(V9:V9)</f>
        <v>5581.45</v>
      </c>
      <c r="X9" s="182">
        <f>J9+U9-W9</f>
        <v>22123.55</v>
      </c>
      <c r="Y9" s="58"/>
    </row>
    <row r="10" spans="1:31" s="51" customFormat="1" ht="90" customHeight="1" x14ac:dyDescent="0.3">
      <c r="A10" s="85" t="s">
        <v>84</v>
      </c>
      <c r="B10" s="174" t="s">
        <v>164</v>
      </c>
      <c r="C10" s="175" t="s">
        <v>115</v>
      </c>
      <c r="D10" s="249" t="s">
        <v>154</v>
      </c>
      <c r="E10" s="177" t="s">
        <v>220</v>
      </c>
      <c r="F10" s="178">
        <v>15</v>
      </c>
      <c r="G10" s="179">
        <v>850.15</v>
      </c>
      <c r="H10" s="180">
        <v>14043</v>
      </c>
      <c r="I10" s="181">
        <v>0</v>
      </c>
      <c r="J10" s="182">
        <f>SUM(H10:I10)</f>
        <v>14043</v>
      </c>
      <c r="K10" s="183">
        <f>IF(H10/15&lt;=SMG,0,I10/2)</f>
        <v>0</v>
      </c>
      <c r="L10" s="183">
        <f t="shared" ref="L10" si="0">H10+K10</f>
        <v>14043</v>
      </c>
      <c r="M10" s="183">
        <f>VLOOKUP(L10,Tarifa1,1)</f>
        <v>7641.91</v>
      </c>
      <c r="N10" s="183">
        <f t="shared" ref="N10" si="1">L10-M10</f>
        <v>6401.09</v>
      </c>
      <c r="O10" s="184">
        <f>VLOOKUP(L10,Tarifa1,3)</f>
        <v>0.21360000000000001</v>
      </c>
      <c r="P10" s="183">
        <f t="shared" ref="P10" si="2">N10*O10</f>
        <v>1367.2728240000001</v>
      </c>
      <c r="Q10" s="185">
        <f>VLOOKUP(L10,Tarifa1,2)</f>
        <v>809.25</v>
      </c>
      <c r="R10" s="183">
        <f t="shared" ref="R10" si="3">P10+Q10</f>
        <v>2176.5228240000001</v>
      </c>
      <c r="S10" s="183">
        <f>VLOOKUP(L10,Credito1,2)</f>
        <v>0</v>
      </c>
      <c r="T10" s="183">
        <f t="shared" ref="T10" si="4">ROUND(R10-S10,2)</f>
        <v>2176.52</v>
      </c>
      <c r="U10" s="182">
        <f>-IF(T10&gt;0,0,T10)</f>
        <v>0</v>
      </c>
      <c r="V10" s="182">
        <f>IF(H10/15&lt;=SMG,0,IF(T10&lt;0,0,T10))</f>
        <v>2176.52</v>
      </c>
      <c r="W10" s="182">
        <f>SUM(V10:V10)</f>
        <v>2176.52</v>
      </c>
      <c r="X10" s="182">
        <f>J10+U10-W10</f>
        <v>11866.48</v>
      </c>
      <c r="Y10" s="58"/>
      <c r="AE10" s="59"/>
    </row>
    <row r="11" spans="1:31" s="51" customFormat="1" ht="90" customHeight="1" x14ac:dyDescent="0.3">
      <c r="A11" s="85"/>
      <c r="B11" s="175" t="s">
        <v>107</v>
      </c>
      <c r="C11" s="174" t="s">
        <v>115</v>
      </c>
      <c r="D11" s="249" t="s">
        <v>64</v>
      </c>
      <c r="E11" s="176" t="s">
        <v>62</v>
      </c>
      <c r="F11" s="178">
        <v>15</v>
      </c>
      <c r="G11" s="179">
        <v>341.11</v>
      </c>
      <c r="H11" s="180">
        <v>5635</v>
      </c>
      <c r="I11" s="181">
        <v>0</v>
      </c>
      <c r="J11" s="182">
        <f>SUM(H11:I11)</f>
        <v>5635</v>
      </c>
      <c r="K11" s="183">
        <f>IF(H11/15&lt;=SMG,0,I11/2)</f>
        <v>0</v>
      </c>
      <c r="L11" s="183">
        <f t="shared" ref="L11" si="5">H11+K11</f>
        <v>5635</v>
      </c>
      <c r="M11" s="183">
        <f>VLOOKUP(L11,Tarifa1,1)</f>
        <v>5490.76</v>
      </c>
      <c r="N11" s="183">
        <f t="shared" ref="N11" si="6">L11-M11</f>
        <v>144.23999999999978</v>
      </c>
      <c r="O11" s="184">
        <f>VLOOKUP(L11,Tarifa1,3)</f>
        <v>0.16</v>
      </c>
      <c r="P11" s="183">
        <f t="shared" ref="P11" si="7">N11*O11</f>
        <v>23.078399999999966</v>
      </c>
      <c r="Q11" s="185">
        <f>VLOOKUP(L11,Tarifa1,2)</f>
        <v>441</v>
      </c>
      <c r="R11" s="183">
        <f t="shared" ref="R11" si="8">P11+Q11</f>
        <v>464.07839999999999</v>
      </c>
      <c r="S11" s="183">
        <f>VLOOKUP(L11,Credito1,2)</f>
        <v>0</v>
      </c>
      <c r="T11" s="183">
        <f t="shared" ref="T11" si="9">ROUND(R11-S11,2)</f>
        <v>464.08</v>
      </c>
      <c r="U11" s="182">
        <f>-IF(T11&gt;0,0,T11)</f>
        <v>0</v>
      </c>
      <c r="V11" s="182">
        <f>IF(H11/15&lt;=SMG,0,IF(T11&lt;0,0,T11))</f>
        <v>464.08</v>
      </c>
      <c r="W11" s="182">
        <f>SUM(V11:V11)</f>
        <v>464.08</v>
      </c>
      <c r="X11" s="182">
        <f>J11+U11-W11</f>
        <v>5170.92</v>
      </c>
      <c r="Y11" s="58"/>
      <c r="AE11" s="59"/>
    </row>
    <row r="12" spans="1:31" s="51" customFormat="1" ht="44.25" customHeight="1" x14ac:dyDescent="0.25">
      <c r="A12" s="85"/>
      <c r="B12" s="140" t="s">
        <v>101</v>
      </c>
      <c r="C12" s="140" t="s">
        <v>124</v>
      </c>
      <c r="D12" s="141" t="s">
        <v>119</v>
      </c>
      <c r="E12" s="142" t="s">
        <v>60</v>
      </c>
      <c r="F12" s="142"/>
      <c r="G12" s="142"/>
      <c r="H12" s="143">
        <f>SUM(H13)</f>
        <v>6309</v>
      </c>
      <c r="I12" s="143">
        <f>SUM(I13)</f>
        <v>0</v>
      </c>
      <c r="J12" s="143">
        <f>SUM(J13)</f>
        <v>6309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571.91999999999996</v>
      </c>
      <c r="W12" s="143">
        <f>SUM(W13)</f>
        <v>571.91999999999996</v>
      </c>
      <c r="X12" s="143">
        <f>SUM(X13)</f>
        <v>5737.08</v>
      </c>
      <c r="Y12" s="63"/>
      <c r="AE12" s="59"/>
    </row>
    <row r="13" spans="1:31" s="51" customFormat="1" ht="90" customHeight="1" x14ac:dyDescent="0.3">
      <c r="A13" s="85" t="s">
        <v>85</v>
      </c>
      <c r="B13" s="175" t="s">
        <v>296</v>
      </c>
      <c r="C13" s="174" t="s">
        <v>115</v>
      </c>
      <c r="D13" s="249" t="s">
        <v>290</v>
      </c>
      <c r="E13" s="177" t="s">
        <v>97</v>
      </c>
      <c r="F13" s="178">
        <v>15</v>
      </c>
      <c r="G13" s="179">
        <v>381.95</v>
      </c>
      <c r="H13" s="180">
        <v>6309</v>
      </c>
      <c r="I13" s="181">
        <v>0</v>
      </c>
      <c r="J13" s="182">
        <f>H13</f>
        <v>6309</v>
      </c>
      <c r="K13" s="183">
        <f>IF(H13/15&lt;=SMG,0,I13/2)</f>
        <v>0</v>
      </c>
      <c r="L13" s="183">
        <f t="shared" ref="L13" si="10">H13+K13</f>
        <v>6309</v>
      </c>
      <c r="M13" s="183">
        <f>VLOOKUP(L13,Tarifa1,1)</f>
        <v>5490.76</v>
      </c>
      <c r="N13" s="183">
        <f t="shared" ref="N13" si="11">L13-M13</f>
        <v>818.23999999999978</v>
      </c>
      <c r="O13" s="184">
        <f>VLOOKUP(L13,Tarifa1,3)</f>
        <v>0.16</v>
      </c>
      <c r="P13" s="183">
        <f t="shared" ref="P13" si="12">N13*O13</f>
        <v>130.91839999999996</v>
      </c>
      <c r="Q13" s="185">
        <f>VLOOKUP(L13,Tarifa1,2)</f>
        <v>441</v>
      </c>
      <c r="R13" s="183">
        <f t="shared" ref="R13" si="13">P13+Q13</f>
        <v>571.91840000000002</v>
      </c>
      <c r="S13" s="183">
        <f>VLOOKUP(L13,Credito1,2)</f>
        <v>0</v>
      </c>
      <c r="T13" s="183">
        <f t="shared" ref="T13" si="14">ROUND(R13-S13,2)</f>
        <v>571.91999999999996</v>
      </c>
      <c r="U13" s="182">
        <f>-IF(T13&gt;0,0,T13)</f>
        <v>0</v>
      </c>
      <c r="V13" s="182">
        <f>IF(H13/15&lt;=SMG,0,IF(T13&lt;0,0,T13))</f>
        <v>571.91999999999996</v>
      </c>
      <c r="W13" s="182">
        <f>SUM(V13:V13)</f>
        <v>571.91999999999996</v>
      </c>
      <c r="X13" s="182">
        <f>J13+U13-W13</f>
        <v>5737.08</v>
      </c>
      <c r="Y13" s="58"/>
      <c r="AE13" s="59"/>
    </row>
    <row r="14" spans="1:31" s="51" customFormat="1" ht="44.25" customHeight="1" x14ac:dyDescent="0.25">
      <c r="A14" s="85"/>
      <c r="B14" s="140" t="s">
        <v>101</v>
      </c>
      <c r="C14" s="140" t="s">
        <v>124</v>
      </c>
      <c r="D14" s="141" t="s">
        <v>120</v>
      </c>
      <c r="E14" s="142" t="s">
        <v>60</v>
      </c>
      <c r="F14" s="142"/>
      <c r="G14" s="142"/>
      <c r="H14" s="143">
        <v>4896.5</v>
      </c>
      <c r="I14" s="143">
        <f>SUM(I15)</f>
        <v>0</v>
      </c>
      <c r="J14" s="143">
        <f>SUM(J15)</f>
        <v>5043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392.2</v>
      </c>
      <c r="W14" s="143">
        <f>SUM(W15)</f>
        <v>392.2</v>
      </c>
      <c r="X14" s="143">
        <f>SUM(X15)</f>
        <v>4650.8</v>
      </c>
      <c r="Y14" s="63"/>
      <c r="AE14" s="59"/>
    </row>
    <row r="15" spans="1:31" s="51" customFormat="1" ht="90" customHeight="1" x14ac:dyDescent="0.3">
      <c r="A15" s="85" t="s">
        <v>87</v>
      </c>
      <c r="B15" s="175" t="s">
        <v>229</v>
      </c>
      <c r="C15" s="175" t="s">
        <v>115</v>
      </c>
      <c r="D15" s="248" t="s">
        <v>245</v>
      </c>
      <c r="E15" s="177" t="s">
        <v>294</v>
      </c>
      <c r="F15" s="178">
        <v>15</v>
      </c>
      <c r="G15" s="179">
        <v>305.35000000000002</v>
      </c>
      <c r="H15" s="180">
        <v>5043</v>
      </c>
      <c r="I15" s="181">
        <v>0</v>
      </c>
      <c r="J15" s="182">
        <f>SUM(H15:I15)</f>
        <v>5043</v>
      </c>
      <c r="K15" s="183">
        <f>IF(H15/15&lt;=SMG,0,I15/2)</f>
        <v>0</v>
      </c>
      <c r="L15" s="183">
        <f t="shared" ref="L15" si="15">H15+K15</f>
        <v>5043</v>
      </c>
      <c r="M15" s="183">
        <f>VLOOKUP(L15,Tarifa1,1)</f>
        <v>3124.36</v>
      </c>
      <c r="N15" s="183">
        <f t="shared" ref="N15" si="16">L15-M15</f>
        <v>1918.6399999999999</v>
      </c>
      <c r="O15" s="184">
        <f>VLOOKUP(L15,Tarifa1,3)</f>
        <v>0.10879999999999999</v>
      </c>
      <c r="P15" s="183">
        <f t="shared" ref="P15" si="17">N15*O15</f>
        <v>208.74803199999997</v>
      </c>
      <c r="Q15" s="185">
        <f>VLOOKUP(L15,Tarifa1,2)</f>
        <v>183.45</v>
      </c>
      <c r="R15" s="183">
        <f t="shared" ref="R15" si="18">P15+Q15</f>
        <v>392.19803199999996</v>
      </c>
      <c r="S15" s="183">
        <f>VLOOKUP(L15,Credito1,2)</f>
        <v>0</v>
      </c>
      <c r="T15" s="183">
        <f t="shared" ref="T15" si="19">ROUND(R15-S15,2)</f>
        <v>392.2</v>
      </c>
      <c r="U15" s="182">
        <f t="shared" ref="U15" si="20">-IF(T15&gt;0,0,T15)</f>
        <v>0</v>
      </c>
      <c r="V15" s="182">
        <f>IF(H15/15&lt;=SMG,0,IF(T15&lt;0,0,T15))</f>
        <v>392.2</v>
      </c>
      <c r="W15" s="182">
        <f>SUM(V15:V15)</f>
        <v>392.2</v>
      </c>
      <c r="X15" s="182">
        <f>J15+U15-W15</f>
        <v>4650.8</v>
      </c>
      <c r="Y15" s="58"/>
      <c r="AE15" s="64"/>
    </row>
    <row r="16" spans="1:31" s="51" customFormat="1" ht="43.5" customHeight="1" x14ac:dyDescent="0.25">
      <c r="A16" s="85"/>
      <c r="B16" s="140" t="s">
        <v>101</v>
      </c>
      <c r="C16" s="140" t="s">
        <v>124</v>
      </c>
      <c r="D16" s="141" t="s">
        <v>121</v>
      </c>
      <c r="E16" s="142" t="s">
        <v>60</v>
      </c>
      <c r="F16" s="142"/>
      <c r="G16" s="142"/>
      <c r="H16" s="143">
        <f>SUM(H17:H18)</f>
        <v>14885</v>
      </c>
      <c r="I16" s="143">
        <f>SUM(I17:I18)</f>
        <v>0</v>
      </c>
      <c r="J16" s="143">
        <f>SUM(J17:J18)</f>
        <v>14885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1756.38</v>
      </c>
      <c r="W16" s="143">
        <f>SUM(W17:W18)</f>
        <v>1756.38</v>
      </c>
      <c r="X16" s="143">
        <f>SUM(X17:X18)</f>
        <v>13128.619999999999</v>
      </c>
      <c r="Y16" s="63"/>
      <c r="AE16" s="64"/>
    </row>
    <row r="17" spans="1:3222" s="51" customFormat="1" ht="90" customHeight="1" x14ac:dyDescent="0.3">
      <c r="A17" s="85" t="s">
        <v>88</v>
      </c>
      <c r="B17" s="174" t="s">
        <v>159</v>
      </c>
      <c r="C17" s="175" t="s">
        <v>115</v>
      </c>
      <c r="D17" s="248" t="s">
        <v>142</v>
      </c>
      <c r="E17" s="177" t="s">
        <v>82</v>
      </c>
      <c r="F17" s="178">
        <v>15</v>
      </c>
      <c r="G17" s="179">
        <v>625.85200000000009</v>
      </c>
      <c r="H17" s="180">
        <v>10653</v>
      </c>
      <c r="I17" s="181">
        <v>0</v>
      </c>
      <c r="J17" s="182">
        <f>H17</f>
        <v>10653</v>
      </c>
      <c r="K17" s="183">
        <f>IF(H17/15&lt;=SMG,0,I17/2)</f>
        <v>0</v>
      </c>
      <c r="L17" s="183">
        <f t="shared" ref="L17" si="21">H17+K17</f>
        <v>10653</v>
      </c>
      <c r="M17" s="183">
        <f>VLOOKUP(L17,Tarifa1,1)</f>
        <v>7641.91</v>
      </c>
      <c r="N17" s="183">
        <f t="shared" ref="N17" si="22">L17-M17</f>
        <v>3011.09</v>
      </c>
      <c r="O17" s="184">
        <f>VLOOKUP(L17,Tarifa1,3)</f>
        <v>0.21360000000000001</v>
      </c>
      <c r="P17" s="183">
        <f t="shared" ref="P17" si="23">N17*O17</f>
        <v>643.16882400000009</v>
      </c>
      <c r="Q17" s="185">
        <f>VLOOKUP(L17,Tarifa1,2)</f>
        <v>809.25</v>
      </c>
      <c r="R17" s="183">
        <f t="shared" ref="R17" si="24">P17+Q17</f>
        <v>1452.4188240000001</v>
      </c>
      <c r="S17" s="183">
        <f>VLOOKUP(L17,Credito1,2)</f>
        <v>0</v>
      </c>
      <c r="T17" s="183">
        <f t="shared" ref="T17" si="25">ROUND(R17-S17,2)</f>
        <v>1452.42</v>
      </c>
      <c r="U17" s="182">
        <f t="shared" ref="U17" si="26">-IF(T17&gt;0,0,T17)</f>
        <v>0</v>
      </c>
      <c r="V17" s="182">
        <f>IF(H17/15&lt;=SMG,0,IF(T17&lt;0,0,T17))</f>
        <v>1452.42</v>
      </c>
      <c r="W17" s="182">
        <f>SUM(V17:V17)</f>
        <v>1452.42</v>
      </c>
      <c r="X17" s="182">
        <f>J17+U17-W17</f>
        <v>9200.58</v>
      </c>
      <c r="Y17" s="58"/>
      <c r="AE17" s="64"/>
    </row>
    <row r="18" spans="1:3222" s="51" customFormat="1" ht="90" customHeight="1" x14ac:dyDescent="0.3">
      <c r="A18" s="173"/>
      <c r="B18" s="188" t="s">
        <v>270</v>
      </c>
      <c r="C18" s="189" t="s">
        <v>115</v>
      </c>
      <c r="D18" s="255" t="s">
        <v>271</v>
      </c>
      <c r="E18" s="192" t="s">
        <v>272</v>
      </c>
      <c r="F18" s="190">
        <v>14</v>
      </c>
      <c r="G18" s="191"/>
      <c r="H18" s="180">
        <v>4232</v>
      </c>
      <c r="I18" s="181">
        <v>0</v>
      </c>
      <c r="J18" s="182">
        <f t="shared" ref="J18" si="27">SUM(H18:I18)</f>
        <v>4232</v>
      </c>
      <c r="K18" s="183">
        <f t="shared" ref="K18" si="28">IF(H18/15&lt;=SMG,0,I18/2)</f>
        <v>0</v>
      </c>
      <c r="L18" s="183">
        <f t="shared" ref="L18" si="29">H18+K18</f>
        <v>4232</v>
      </c>
      <c r="M18" s="183">
        <f>VLOOKUP(L18,Tarifa1,1)</f>
        <v>3124.36</v>
      </c>
      <c r="N18" s="183">
        <f t="shared" ref="N18" si="30">L18-M18</f>
        <v>1107.6399999999999</v>
      </c>
      <c r="O18" s="184">
        <f>VLOOKUP(L18,Tarifa1,3)</f>
        <v>0.10879999999999999</v>
      </c>
      <c r="P18" s="183">
        <f t="shared" ref="P18" si="31">N18*O18</f>
        <v>120.51123199999998</v>
      </c>
      <c r="Q18" s="185">
        <f>VLOOKUP(L18,Tarifa1,2)</f>
        <v>183.45</v>
      </c>
      <c r="R18" s="183">
        <f t="shared" ref="R18" si="32">P18+Q18</f>
        <v>303.961232</v>
      </c>
      <c r="S18" s="183">
        <f>VLOOKUP(L18,Credito1,2)</f>
        <v>0</v>
      </c>
      <c r="T18" s="183">
        <f t="shared" ref="T18" si="33">ROUND(R18-S18,2)</f>
        <v>303.95999999999998</v>
      </c>
      <c r="U18" s="182">
        <f>-IF(T18&gt;0,0,T18)</f>
        <v>0</v>
      </c>
      <c r="V18" s="182">
        <f>IF(H18/15&lt;=SMG,0,IF(T18&lt;0,0,T18))</f>
        <v>303.95999999999998</v>
      </c>
      <c r="W18" s="182">
        <f>SUM(V18:V18)</f>
        <v>303.95999999999998</v>
      </c>
      <c r="X18" s="182">
        <f>J18+U18-W18</f>
        <v>3928.04</v>
      </c>
      <c r="Y18" s="56"/>
      <c r="AE18" s="64"/>
    </row>
    <row r="19" spans="1:3222" s="66" customFormat="1" ht="42" customHeight="1" x14ac:dyDescent="0.25">
      <c r="A19" s="146"/>
      <c r="B19" s="140" t="s">
        <v>101</v>
      </c>
      <c r="C19" s="140" t="s">
        <v>124</v>
      </c>
      <c r="D19" s="141" t="s">
        <v>122</v>
      </c>
      <c r="E19" s="142" t="s">
        <v>60</v>
      </c>
      <c r="F19" s="142"/>
      <c r="G19" s="142"/>
      <c r="H19" s="143">
        <f>SUM(H20:H20)</f>
        <v>2954</v>
      </c>
      <c r="I19" s="143">
        <f>SUM(I20:I20)</f>
        <v>0</v>
      </c>
      <c r="J19" s="143">
        <f>SUM(J20:J20)</f>
        <v>2954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0</v>
      </c>
      <c r="W19" s="143">
        <f>SUM(W20:W20)</f>
        <v>0</v>
      </c>
      <c r="X19" s="143">
        <f>SUM(X20:X20)</f>
        <v>2954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90" customHeight="1" x14ac:dyDescent="0.3">
      <c r="A20" s="146"/>
      <c r="B20" s="175" t="s">
        <v>109</v>
      </c>
      <c r="C20" s="175" t="s">
        <v>115</v>
      </c>
      <c r="D20" s="250" t="s">
        <v>92</v>
      </c>
      <c r="E20" s="196" t="s">
        <v>151</v>
      </c>
      <c r="F20" s="194">
        <v>15</v>
      </c>
      <c r="G20" s="179">
        <v>178.81533333333334</v>
      </c>
      <c r="H20" s="180">
        <v>2954</v>
      </c>
      <c r="I20" s="181">
        <v>0</v>
      </c>
      <c r="J20" s="182">
        <f t="shared" ref="J20" si="34">SUM(H20:I20)</f>
        <v>2954</v>
      </c>
      <c r="K20" s="183">
        <f t="shared" ref="K20" si="35">IF(H20/15&lt;=SMG,0,I20/2)</f>
        <v>0</v>
      </c>
      <c r="L20" s="183">
        <f t="shared" ref="L20" si="36">H20+K20</f>
        <v>2954</v>
      </c>
      <c r="M20" s="183">
        <f>VLOOKUP(L20,Tarifa1,1)</f>
        <v>368.11</v>
      </c>
      <c r="N20" s="183">
        <f t="shared" ref="N20" si="37">L20-M20</f>
        <v>2585.89</v>
      </c>
      <c r="O20" s="184">
        <f>VLOOKUP(L20,Tarifa1,3)</f>
        <v>6.4000000000000001E-2</v>
      </c>
      <c r="P20" s="183">
        <f t="shared" ref="P20" si="38">N20*O20</f>
        <v>165.49696</v>
      </c>
      <c r="Q20" s="185">
        <f>VLOOKUP(L20,Tarifa1,2)</f>
        <v>7.05</v>
      </c>
      <c r="R20" s="183">
        <f t="shared" ref="R20" si="39">P20+Q20</f>
        <v>172.54696000000001</v>
      </c>
      <c r="S20" s="183">
        <f>VLOOKUP(L20,Credito1,2)</f>
        <v>145.35</v>
      </c>
      <c r="T20" s="183">
        <f t="shared" ref="T20" si="40">ROUND(R20-S20,2)</f>
        <v>27.2</v>
      </c>
      <c r="U20" s="182">
        <f t="shared" ref="U20" si="41">-IF(T20&gt;0,0,T20)</f>
        <v>0</v>
      </c>
      <c r="V20" s="195">
        <f>IF(H20/15&lt;=SMG,0,IF(T20&lt;0,0,T20))</f>
        <v>0</v>
      </c>
      <c r="W20" s="182">
        <f>SUM(V20:V20)</f>
        <v>0</v>
      </c>
      <c r="X20" s="195">
        <f>J20+U20-W20</f>
        <v>2954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5" t="s">
        <v>44</v>
      </c>
      <c r="B22" s="266"/>
      <c r="C22" s="266"/>
      <c r="D22" s="266"/>
      <c r="E22" s="266"/>
      <c r="F22" s="266"/>
      <c r="G22" s="267"/>
      <c r="H22" s="186">
        <f>H8+H12+H14+H16+H19</f>
        <v>76427.5</v>
      </c>
      <c r="I22" s="186">
        <f>I8+I12+I14+I16+I19</f>
        <v>0</v>
      </c>
      <c r="J22" s="186">
        <f>J8+J12+J14+J16+J19</f>
        <v>76574</v>
      </c>
      <c r="K22" s="187">
        <f t="shared" ref="K22:T22" si="42">SUM(K9:K20)</f>
        <v>0</v>
      </c>
      <c r="L22" s="187">
        <f t="shared" si="42"/>
        <v>76574</v>
      </c>
      <c r="M22" s="187">
        <f t="shared" si="42"/>
        <v>57174.83</v>
      </c>
      <c r="N22" s="187">
        <f t="shared" si="42"/>
        <v>19399.169999999998</v>
      </c>
      <c r="O22" s="187">
        <f t="shared" si="42"/>
        <v>1.3288000000000002</v>
      </c>
      <c r="P22" s="187">
        <f t="shared" si="42"/>
        <v>3682.8966719999994</v>
      </c>
      <c r="Q22" s="187">
        <f t="shared" si="42"/>
        <v>7432.2</v>
      </c>
      <c r="R22" s="187">
        <f t="shared" si="42"/>
        <v>11115.096672000001</v>
      </c>
      <c r="S22" s="187">
        <f t="shared" si="42"/>
        <v>145.35</v>
      </c>
      <c r="T22" s="187">
        <f t="shared" si="42"/>
        <v>10969.75</v>
      </c>
      <c r="U22" s="186">
        <f>U8+U12+U14+U16+U19</f>
        <v>0</v>
      </c>
      <c r="V22" s="186">
        <f>V8+V12+V14+V16+V19</f>
        <v>10942.55</v>
      </c>
      <c r="W22" s="186">
        <f>W8+W12+W14+W16+W19</f>
        <v>10942.55</v>
      </c>
      <c r="X22" s="186">
        <f>X8+X12+X14+X16+X19</f>
        <v>65631.45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0" spans="1:3222" s="51" customFormat="1" ht="12" customHeight="1" x14ac:dyDescent="0.2"/>
    <row r="31" spans="1:3222" s="51" customFormat="1" ht="12" x14ac:dyDescent="0.2"/>
    <row r="41" spans="10:10" x14ac:dyDescent="0.2">
      <c r="J41" s="4" t="s">
        <v>258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6"/>
  <sheetViews>
    <sheetView topLeftCell="B1" zoomScale="89" zoomScaleNormal="89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2" width="13.85546875" hidden="1" customWidth="1"/>
    <col min="13" max="13" width="13.5703125" hidden="1" customWidth="1"/>
    <col min="14" max="14" width="14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5.42578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215</v>
      </c>
      <c r="H6" s="279" t="s">
        <v>1</v>
      </c>
      <c r="I6" s="280"/>
      <c r="J6" s="281"/>
      <c r="K6" s="24" t="s">
        <v>25</v>
      </c>
      <c r="L6" s="25"/>
      <c r="M6" s="282" t="s">
        <v>8</v>
      </c>
      <c r="N6" s="283"/>
      <c r="O6" s="283"/>
      <c r="P6" s="283"/>
      <c r="Q6" s="283"/>
      <c r="R6" s="284"/>
      <c r="S6" s="24" t="s">
        <v>29</v>
      </c>
      <c r="T6" s="24" t="s">
        <v>9</v>
      </c>
      <c r="U6" s="23" t="s">
        <v>52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57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42" t="s">
        <v>312</v>
      </c>
      <c r="W7" s="23" t="s">
        <v>6</v>
      </c>
      <c r="X7" s="26" t="s">
        <v>3</v>
      </c>
      <c r="Y7" s="36" t="s">
        <v>56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46</v>
      </c>
      <c r="I8" s="26" t="s">
        <v>58</v>
      </c>
      <c r="J8" s="26" t="s">
        <v>28</v>
      </c>
      <c r="K8" s="28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6" t="s">
        <v>51</v>
      </c>
      <c r="V8" s="26"/>
      <c r="W8" s="26" t="s">
        <v>43</v>
      </c>
      <c r="X8" s="26" t="s">
        <v>4</v>
      </c>
      <c r="Y8" s="35"/>
    </row>
    <row r="9" spans="1:25" ht="47.25" x14ac:dyDescent="0.25">
      <c r="A9" s="26"/>
      <c r="B9" s="157" t="s">
        <v>101</v>
      </c>
      <c r="C9" s="157" t="s">
        <v>124</v>
      </c>
      <c r="D9" s="141" t="s">
        <v>273</v>
      </c>
      <c r="E9" s="142" t="s">
        <v>60</v>
      </c>
      <c r="F9" s="124"/>
      <c r="G9" s="142"/>
      <c r="H9" s="125">
        <f>H10</f>
        <v>10653</v>
      </c>
      <c r="I9" s="125">
        <f>I10</f>
        <v>0</v>
      </c>
      <c r="J9" s="125">
        <f>J10</f>
        <v>10653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1452.42</v>
      </c>
      <c r="W9" s="125">
        <f>W10</f>
        <v>1452.42</v>
      </c>
      <c r="X9" s="125">
        <f>X10</f>
        <v>9200.58</v>
      </c>
      <c r="Y9" s="155"/>
    </row>
    <row r="10" spans="1:25" ht="99" customHeight="1" x14ac:dyDescent="0.3">
      <c r="A10" s="26"/>
      <c r="B10" s="197">
        <v>161</v>
      </c>
      <c r="C10" s="174" t="s">
        <v>115</v>
      </c>
      <c r="D10" s="248" t="s">
        <v>274</v>
      </c>
      <c r="E10" s="177" t="s">
        <v>275</v>
      </c>
      <c r="F10" s="198">
        <v>15</v>
      </c>
      <c r="G10" s="199">
        <f>H10/F10</f>
        <v>710.2</v>
      </c>
      <c r="H10" s="180">
        <v>10653</v>
      </c>
      <c r="I10" s="181">
        <v>0</v>
      </c>
      <c r="J10" s="182">
        <f>H10</f>
        <v>10653</v>
      </c>
      <c r="K10" s="183">
        <f>IF(H10/15&lt;=SMG,0,I10/2)</f>
        <v>0</v>
      </c>
      <c r="L10" s="183">
        <f t="shared" ref="L10" si="0">H10+K10</f>
        <v>10653</v>
      </c>
      <c r="M10" s="183">
        <f>VLOOKUP(L10,Tarifa1,1)</f>
        <v>7641.91</v>
      </c>
      <c r="N10" s="183">
        <f t="shared" ref="N10" si="1">L10-M10</f>
        <v>3011.09</v>
      </c>
      <c r="O10" s="184">
        <f>VLOOKUP(L10,Tarifa1,3)</f>
        <v>0.21360000000000001</v>
      </c>
      <c r="P10" s="183">
        <f t="shared" ref="P10" si="2">N10*O10</f>
        <v>643.16882400000009</v>
      </c>
      <c r="Q10" s="185">
        <f>VLOOKUP(L10,Tarifa1,2)</f>
        <v>809.25</v>
      </c>
      <c r="R10" s="183">
        <f t="shared" ref="R10" si="3">P10+Q10</f>
        <v>1452.4188240000001</v>
      </c>
      <c r="S10" s="183">
        <f>VLOOKUP(L10,Credito1,2)</f>
        <v>0</v>
      </c>
      <c r="T10" s="183">
        <f t="shared" ref="T10" si="4">ROUND(R10-S10,2)</f>
        <v>1452.42</v>
      </c>
      <c r="U10" s="182">
        <f t="shared" ref="U10" si="5">-IF(T10&gt;0,0,T10)</f>
        <v>0</v>
      </c>
      <c r="V10" s="182">
        <f>IF(H10/15&lt;=SMG,0,IF(T10&lt;0,0,T10))</f>
        <v>1452.42</v>
      </c>
      <c r="W10" s="182">
        <f>SUM(V10:V10)</f>
        <v>1452.42</v>
      </c>
      <c r="X10" s="182">
        <f>J10+U10-W10</f>
        <v>9200.58</v>
      </c>
      <c r="Y10" s="115"/>
    </row>
    <row r="11" spans="1:25" ht="47.25" customHeight="1" x14ac:dyDescent="0.25">
      <c r="A11" s="142"/>
      <c r="B11" s="157" t="s">
        <v>101</v>
      </c>
      <c r="C11" s="157" t="s">
        <v>124</v>
      </c>
      <c r="D11" s="141" t="s">
        <v>126</v>
      </c>
      <c r="E11" s="142" t="s">
        <v>60</v>
      </c>
      <c r="F11" s="124"/>
      <c r="G11" s="142"/>
      <c r="H11" s="125">
        <f>H12</f>
        <v>7823</v>
      </c>
      <c r="I11" s="125">
        <f>I12</f>
        <v>0</v>
      </c>
      <c r="J11" s="125">
        <f>J12</f>
        <v>7823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847.93</v>
      </c>
      <c r="W11" s="125">
        <f>W12</f>
        <v>847.93</v>
      </c>
      <c r="X11" s="125">
        <f>X12</f>
        <v>6975.07</v>
      </c>
      <c r="Y11" s="155"/>
    </row>
    <row r="12" spans="1:25" ht="99" customHeight="1" x14ac:dyDescent="0.3">
      <c r="A12" s="127"/>
      <c r="B12" s="174" t="s">
        <v>266</v>
      </c>
      <c r="C12" s="175" t="s">
        <v>115</v>
      </c>
      <c r="D12" s="248" t="s">
        <v>267</v>
      </c>
      <c r="E12" s="177" t="s">
        <v>269</v>
      </c>
      <c r="F12" s="178">
        <v>13</v>
      </c>
      <c r="G12" s="179">
        <f t="shared" ref="G12" si="6">H12/F12</f>
        <v>601.76923076923072</v>
      </c>
      <c r="H12" s="180">
        <v>7823</v>
      </c>
      <c r="I12" s="181">
        <v>0</v>
      </c>
      <c r="J12" s="182">
        <f t="shared" ref="J12" si="7">SUM(H12:I12)</f>
        <v>7823</v>
      </c>
      <c r="K12" s="183">
        <f t="shared" ref="K12" si="8">IF(H12/15&lt;=SMG,0,I12/2)</f>
        <v>0</v>
      </c>
      <c r="L12" s="183">
        <f t="shared" ref="L12" si="9">H12+K12</f>
        <v>7823</v>
      </c>
      <c r="M12" s="183">
        <f t="shared" ref="M12" si="10">VLOOKUP(L12,Tarifa1,1)</f>
        <v>7641.91</v>
      </c>
      <c r="N12" s="183">
        <f t="shared" ref="N12" si="11">L12-M12</f>
        <v>181.09000000000015</v>
      </c>
      <c r="O12" s="184">
        <f t="shared" ref="O12" si="12">VLOOKUP(L12,Tarifa1,3)</f>
        <v>0.21360000000000001</v>
      </c>
      <c r="P12" s="183">
        <f t="shared" ref="P12" si="13">N12*O12</f>
        <v>38.680824000000037</v>
      </c>
      <c r="Q12" s="185">
        <f t="shared" ref="Q12" si="14">VLOOKUP(L12,Tarifa1,2)</f>
        <v>809.25</v>
      </c>
      <c r="R12" s="183">
        <f t="shared" ref="R12" si="15">P12+Q12</f>
        <v>847.93082400000003</v>
      </c>
      <c r="S12" s="183">
        <f t="shared" ref="S12" si="16">VLOOKUP(L12,Credito1,2)</f>
        <v>0</v>
      </c>
      <c r="T12" s="183">
        <f t="shared" ref="T12" si="17">ROUND(R12-S12,2)</f>
        <v>847.93</v>
      </c>
      <c r="U12" s="182">
        <f t="shared" ref="U12" si="18">-IF(T12&gt;0,0,T12)</f>
        <v>0</v>
      </c>
      <c r="V12" s="182">
        <f t="shared" ref="V12" si="19">IF(H12/15&lt;=SMG,0,IF(T12&lt;0,0,T12))</f>
        <v>847.93</v>
      </c>
      <c r="W12" s="182">
        <f>SUM(V12:V12)</f>
        <v>847.93</v>
      </c>
      <c r="X12" s="182">
        <f>J12+U12-W12</f>
        <v>6975.07</v>
      </c>
      <c r="Y12" s="115"/>
    </row>
    <row r="13" spans="1:25" ht="47.25" customHeight="1" x14ac:dyDescent="0.25">
      <c r="A13" s="127"/>
      <c r="B13" s="142"/>
      <c r="C13" s="142"/>
      <c r="D13" s="141" t="s">
        <v>76</v>
      </c>
      <c r="E13" s="142" t="s">
        <v>60</v>
      </c>
      <c r="F13" s="142"/>
      <c r="G13" s="142"/>
      <c r="H13" s="125">
        <f>SUM(H14)</f>
        <v>12093</v>
      </c>
      <c r="I13" s="125">
        <f>SUM(I14)</f>
        <v>0</v>
      </c>
      <c r="J13" s="125">
        <f>SUM(J14)</f>
        <v>12093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>
        <f>SUM(U14)</f>
        <v>0</v>
      </c>
      <c r="V13" s="125">
        <f>SUM(V14)</f>
        <v>1760</v>
      </c>
      <c r="W13" s="125">
        <f>SUM(W14)</f>
        <v>1760</v>
      </c>
      <c r="X13" s="125">
        <f>SUM(X14)</f>
        <v>10333</v>
      </c>
      <c r="Y13" s="155"/>
    </row>
    <row r="14" spans="1:25" ht="98.25" customHeight="1" x14ac:dyDescent="0.3">
      <c r="A14" s="127"/>
      <c r="B14" s="197">
        <v>290</v>
      </c>
      <c r="C14" s="174" t="s">
        <v>115</v>
      </c>
      <c r="D14" s="248" t="s">
        <v>278</v>
      </c>
      <c r="E14" s="176" t="s">
        <v>76</v>
      </c>
      <c r="F14" s="198">
        <v>15</v>
      </c>
      <c r="G14" s="199">
        <f>H14/F14</f>
        <v>806.2</v>
      </c>
      <c r="H14" s="200">
        <v>12093</v>
      </c>
      <c r="I14" s="201">
        <v>0</v>
      </c>
      <c r="J14" s="202">
        <f>SUM(H14:I14)</f>
        <v>12093</v>
      </c>
      <c r="K14" s="183">
        <f>IF(H14/15&lt;=SMG,0,I14/2)</f>
        <v>0</v>
      </c>
      <c r="L14" s="183">
        <f>H14+K14</f>
        <v>12093</v>
      </c>
      <c r="M14" s="183">
        <f>VLOOKUP(L14,Tarifa1,1)</f>
        <v>7641.91</v>
      </c>
      <c r="N14" s="183">
        <f>L14-M14</f>
        <v>4451.09</v>
      </c>
      <c r="O14" s="184">
        <f>VLOOKUP(L14,Tarifa1,3)</f>
        <v>0.21360000000000001</v>
      </c>
      <c r="P14" s="183">
        <f>N14*O14</f>
        <v>950.75282400000003</v>
      </c>
      <c r="Q14" s="185">
        <f>VLOOKUP(L14,Tarifa1,2)</f>
        <v>809.25</v>
      </c>
      <c r="R14" s="183">
        <f>P14+Q14</f>
        <v>1760.0028240000001</v>
      </c>
      <c r="S14" s="183">
        <f>VLOOKUP(L14,Credito1,2)</f>
        <v>0</v>
      </c>
      <c r="T14" s="183">
        <f>ROUND(R14-S14,2)</f>
        <v>1760</v>
      </c>
      <c r="U14" s="182">
        <f>-IF(T14&gt;0,0,T14)</f>
        <v>0</v>
      </c>
      <c r="V14" s="182">
        <f>IF(H14/15&lt;=SMG,0,IF(T14&lt;0,0,T14))</f>
        <v>1760</v>
      </c>
      <c r="W14" s="182">
        <f>SUM(V14:V14)</f>
        <v>1760</v>
      </c>
      <c r="X14" s="182">
        <f>J14+U14-W14</f>
        <v>10333</v>
      </c>
      <c r="Y14" s="115"/>
    </row>
    <row r="15" spans="1:25" ht="40.5" customHeight="1" thickBot="1" x14ac:dyDescent="0.3">
      <c r="A15" s="265" t="s">
        <v>44</v>
      </c>
      <c r="B15" s="266"/>
      <c r="C15" s="266"/>
      <c r="D15" s="266"/>
      <c r="E15" s="266"/>
      <c r="F15" s="266"/>
      <c r="G15" s="267"/>
      <c r="H15" s="241">
        <f>H9+H11+H13</f>
        <v>30569</v>
      </c>
      <c r="I15" s="241">
        <f>I9+I11+I13</f>
        <v>0</v>
      </c>
      <c r="J15" s="241">
        <f>J9+J11+J13</f>
        <v>30569</v>
      </c>
      <c r="K15" s="187">
        <f t="shared" ref="K15:T15" si="20">SUM(K12:K12)</f>
        <v>0</v>
      </c>
      <c r="L15" s="187">
        <f t="shared" si="20"/>
        <v>7823</v>
      </c>
      <c r="M15" s="187">
        <f t="shared" si="20"/>
        <v>7641.91</v>
      </c>
      <c r="N15" s="187">
        <f t="shared" si="20"/>
        <v>181.09000000000015</v>
      </c>
      <c r="O15" s="187">
        <f t="shared" si="20"/>
        <v>0.21360000000000001</v>
      </c>
      <c r="P15" s="187">
        <f t="shared" si="20"/>
        <v>38.680824000000037</v>
      </c>
      <c r="Q15" s="187">
        <f t="shared" si="20"/>
        <v>809.25</v>
      </c>
      <c r="R15" s="187">
        <f t="shared" si="20"/>
        <v>847.93082400000003</v>
      </c>
      <c r="S15" s="187">
        <f t="shared" si="20"/>
        <v>0</v>
      </c>
      <c r="T15" s="187">
        <f t="shared" si="20"/>
        <v>847.93</v>
      </c>
      <c r="U15" s="241">
        <f>U9+U11+U13</f>
        <v>0</v>
      </c>
      <c r="V15" s="241">
        <f>V9+V11+V13</f>
        <v>4060.35</v>
      </c>
      <c r="W15" s="241">
        <f>W9+W11+W13</f>
        <v>4060.35</v>
      </c>
      <c r="X15" s="241">
        <f>X9+X11+X13</f>
        <v>26508.65</v>
      </c>
      <c r="Y15" s="156"/>
    </row>
    <row r="16" spans="1:25" ht="13.5" thickTop="1" x14ac:dyDescent="0.2"/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8"/>
  <sheetViews>
    <sheetView topLeftCell="B29" zoomScale="66" zoomScaleNormal="66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8" width="14.28515625" hidden="1" customWidth="1"/>
    <col min="19" max="20" width="13.140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7" t="s">
        <v>116</v>
      </c>
      <c r="D5" s="47"/>
      <c r="E5" s="47"/>
      <c r="F5" s="48" t="s">
        <v>22</v>
      </c>
      <c r="G5" s="48" t="s">
        <v>5</v>
      </c>
      <c r="H5" s="290" t="s">
        <v>1</v>
      </c>
      <c r="I5" s="291"/>
      <c r="J5" s="292"/>
      <c r="K5" s="49" t="s">
        <v>25</v>
      </c>
      <c r="L5" s="50"/>
      <c r="M5" s="293" t="s">
        <v>8</v>
      </c>
      <c r="N5" s="294"/>
      <c r="O5" s="294"/>
      <c r="P5" s="294"/>
      <c r="Q5" s="294"/>
      <c r="R5" s="295"/>
      <c r="S5" s="49" t="s">
        <v>29</v>
      </c>
      <c r="T5" s="49" t="s">
        <v>9</v>
      </c>
      <c r="U5" s="48" t="s">
        <v>52</v>
      </c>
      <c r="V5" s="296" t="s">
        <v>2</v>
      </c>
      <c r="W5" s="297"/>
      <c r="X5" s="48" t="s">
        <v>0</v>
      </c>
      <c r="Y5" s="47"/>
    </row>
    <row r="6" spans="1:31" s="51" customFormat="1" ht="24" x14ac:dyDescent="0.2">
      <c r="A6" s="52" t="s">
        <v>20</v>
      </c>
      <c r="B6" s="46" t="s">
        <v>101</v>
      </c>
      <c r="C6" s="288"/>
      <c r="D6" s="52" t="s">
        <v>21</v>
      </c>
      <c r="E6" s="52"/>
      <c r="F6" s="53" t="s">
        <v>23</v>
      </c>
      <c r="G6" s="52" t="s">
        <v>24</v>
      </c>
      <c r="H6" s="48" t="s">
        <v>5</v>
      </c>
      <c r="I6" s="48" t="s">
        <v>57</v>
      </c>
      <c r="J6" s="48" t="s">
        <v>27</v>
      </c>
      <c r="K6" s="54" t="s">
        <v>26</v>
      </c>
      <c r="L6" s="50" t="s">
        <v>31</v>
      </c>
      <c r="M6" s="50" t="s">
        <v>11</v>
      </c>
      <c r="N6" s="50" t="s">
        <v>33</v>
      </c>
      <c r="O6" s="50" t="s">
        <v>35</v>
      </c>
      <c r="P6" s="50" t="s">
        <v>36</v>
      </c>
      <c r="Q6" s="50" t="s">
        <v>13</v>
      </c>
      <c r="R6" s="50" t="s">
        <v>9</v>
      </c>
      <c r="S6" s="54" t="s">
        <v>39</v>
      </c>
      <c r="T6" s="54" t="s">
        <v>40</v>
      </c>
      <c r="U6" s="52" t="s">
        <v>30</v>
      </c>
      <c r="V6" s="48" t="s">
        <v>312</v>
      </c>
      <c r="W6" s="48" t="s">
        <v>6</v>
      </c>
      <c r="X6" s="52" t="s">
        <v>3</v>
      </c>
      <c r="Y6" s="52" t="s">
        <v>56</v>
      </c>
    </row>
    <row r="7" spans="1:31" s="51" customFormat="1" ht="12" x14ac:dyDescent="0.2">
      <c r="A7" s="60"/>
      <c r="B7" s="60"/>
      <c r="C7" s="289"/>
      <c r="D7" s="60"/>
      <c r="E7" s="60"/>
      <c r="F7" s="60"/>
      <c r="G7" s="60"/>
      <c r="H7" s="60" t="s">
        <v>46</v>
      </c>
      <c r="I7" s="60" t="s">
        <v>58</v>
      </c>
      <c r="J7" s="60" t="s">
        <v>28</v>
      </c>
      <c r="K7" s="61" t="s">
        <v>42</v>
      </c>
      <c r="L7" s="49" t="s">
        <v>32</v>
      </c>
      <c r="M7" s="49" t="s">
        <v>12</v>
      </c>
      <c r="N7" s="49" t="s">
        <v>34</v>
      </c>
      <c r="O7" s="49" t="s">
        <v>34</v>
      </c>
      <c r="P7" s="49" t="s">
        <v>37</v>
      </c>
      <c r="Q7" s="49" t="s">
        <v>14</v>
      </c>
      <c r="R7" s="49" t="s">
        <v>38</v>
      </c>
      <c r="S7" s="54" t="s">
        <v>18</v>
      </c>
      <c r="T7" s="55" t="s">
        <v>125</v>
      </c>
      <c r="U7" s="60" t="s">
        <v>51</v>
      </c>
      <c r="V7" s="60"/>
      <c r="W7" s="60" t="s">
        <v>43</v>
      </c>
      <c r="X7" s="60" t="s">
        <v>4</v>
      </c>
      <c r="Y7" s="57"/>
    </row>
    <row r="8" spans="1:31" s="51" customFormat="1" ht="15.75" x14ac:dyDescent="0.25">
      <c r="A8" s="62"/>
      <c r="B8" s="142"/>
      <c r="C8" s="142"/>
      <c r="D8" s="141" t="s">
        <v>68</v>
      </c>
      <c r="E8" s="142" t="s">
        <v>60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49.25" customHeight="1" x14ac:dyDescent="0.3">
      <c r="A9" s="116" t="s">
        <v>85</v>
      </c>
      <c r="B9" s="174" t="s">
        <v>179</v>
      </c>
      <c r="C9" s="175" t="s">
        <v>115</v>
      </c>
      <c r="D9" s="249" t="s">
        <v>177</v>
      </c>
      <c r="E9" s="177" t="s">
        <v>206</v>
      </c>
      <c r="F9" s="178">
        <v>15</v>
      </c>
      <c r="G9" s="179">
        <f t="shared" ref="G9:G10" si="0">H9/F9</f>
        <v>757.26666666666665</v>
      </c>
      <c r="H9" s="180">
        <v>11359</v>
      </c>
      <c r="I9" s="181">
        <v>0</v>
      </c>
      <c r="J9" s="182">
        <f>SUM(H9:I9)</f>
        <v>11359</v>
      </c>
      <c r="K9" s="183">
        <f>IF(H9/15&lt;=SMG,0,I9/2)</f>
        <v>0</v>
      </c>
      <c r="L9" s="183">
        <f t="shared" ref="L9" si="1">H9+K9</f>
        <v>11359</v>
      </c>
      <c r="M9" s="183">
        <f t="shared" ref="M9" si="2">VLOOKUP(L9,Tarifa1,1)</f>
        <v>7641.91</v>
      </c>
      <c r="N9" s="183">
        <f t="shared" ref="N9" si="3">L9-M9</f>
        <v>3717.09</v>
      </c>
      <c r="O9" s="184">
        <f t="shared" ref="O9" si="4">VLOOKUP(L9,Tarifa1,3)</f>
        <v>0.21360000000000001</v>
      </c>
      <c r="P9" s="183">
        <f t="shared" ref="P9" si="5">N9*O9</f>
        <v>793.97042400000009</v>
      </c>
      <c r="Q9" s="185">
        <f t="shared" ref="Q9" si="6">VLOOKUP(L9,Tarifa1,2)</f>
        <v>809.25</v>
      </c>
      <c r="R9" s="183">
        <f t="shared" ref="R9" si="7">P9+Q9</f>
        <v>1603.2204240000001</v>
      </c>
      <c r="S9" s="183">
        <f t="shared" ref="S9" si="8">VLOOKUP(L9,Credito1,2)</f>
        <v>0</v>
      </c>
      <c r="T9" s="183">
        <f t="shared" ref="T9" si="9">ROUND(R9-S9,2)</f>
        <v>1603.22</v>
      </c>
      <c r="U9" s="182">
        <f t="shared" ref="U9" si="10">-IF(T9&gt;0,0,T9)</f>
        <v>0</v>
      </c>
      <c r="V9" s="182">
        <f t="shared" ref="V9" si="11">IF(H9/15&lt;=SMG,0,IF(T9&lt;0,0,T9))</f>
        <v>1603.22</v>
      </c>
      <c r="W9" s="182">
        <f>SUM(V9:V9)</f>
        <v>1603.22</v>
      </c>
      <c r="X9" s="182">
        <f>J9+U9-W9</f>
        <v>9755.7800000000007</v>
      </c>
      <c r="Y9" s="117"/>
      <c r="Z9" s="96"/>
      <c r="AE9" s="97"/>
    </row>
    <row r="10" spans="1:31" s="94" customFormat="1" ht="149.25" customHeight="1" x14ac:dyDescent="0.3">
      <c r="A10" s="116"/>
      <c r="B10" s="175" t="s">
        <v>207</v>
      </c>
      <c r="C10" s="175" t="s">
        <v>115</v>
      </c>
      <c r="D10" s="248" t="s">
        <v>208</v>
      </c>
      <c r="E10" s="177" t="s">
        <v>281</v>
      </c>
      <c r="F10" s="178">
        <v>15</v>
      </c>
      <c r="G10" s="179">
        <f t="shared" si="0"/>
        <v>757.26666666666665</v>
      </c>
      <c r="H10" s="180">
        <v>11359</v>
      </c>
      <c r="I10" s="181">
        <v>0</v>
      </c>
      <c r="J10" s="182">
        <f>SUM(H10:I10)</f>
        <v>11359</v>
      </c>
      <c r="K10" s="183">
        <f>IF(H10/15&lt;=SMG,0,I10/2)</f>
        <v>0</v>
      </c>
      <c r="L10" s="183">
        <f t="shared" ref="L10:L15" si="12">H10+K10</f>
        <v>11359</v>
      </c>
      <c r="M10" s="183">
        <f t="shared" ref="M10:M15" si="13">VLOOKUP(L10,Tarifa1,1)</f>
        <v>7641.91</v>
      </c>
      <c r="N10" s="183">
        <f t="shared" ref="N10:N15" si="14">L10-M10</f>
        <v>3717.09</v>
      </c>
      <c r="O10" s="184">
        <f t="shared" ref="O10:O15" si="15">VLOOKUP(L10,Tarifa1,3)</f>
        <v>0.21360000000000001</v>
      </c>
      <c r="P10" s="183">
        <f t="shared" ref="P10:P15" si="16">N10*O10</f>
        <v>793.97042400000009</v>
      </c>
      <c r="Q10" s="185">
        <f t="shared" ref="Q10:Q15" si="17">VLOOKUP(L10,Tarifa1,2)</f>
        <v>809.25</v>
      </c>
      <c r="R10" s="183">
        <f t="shared" ref="R10:R15" si="18">P10+Q10</f>
        <v>1603.2204240000001</v>
      </c>
      <c r="S10" s="183">
        <f t="shared" ref="S10:S15" si="19">VLOOKUP(L10,Credito1,2)</f>
        <v>0</v>
      </c>
      <c r="T10" s="183">
        <f t="shared" ref="T10:T15" si="20">ROUND(R10-S10,2)</f>
        <v>1603.22</v>
      </c>
      <c r="U10" s="182">
        <f t="shared" ref="U10:U15" si="21">-IF(T10&gt;0,0,T10)</f>
        <v>0</v>
      </c>
      <c r="V10" s="182">
        <f t="shared" ref="V10:V15" si="22">IF(H10/15&lt;=SMG,0,IF(T10&lt;0,0,T10))</f>
        <v>1603.22</v>
      </c>
      <c r="W10" s="182">
        <f>SUM(V10:V10)</f>
        <v>1603.22</v>
      </c>
      <c r="X10" s="182">
        <f>J10+U10-W10</f>
        <v>9755.7800000000007</v>
      </c>
      <c r="Y10" s="117"/>
      <c r="Z10" s="96"/>
      <c r="AE10" s="97"/>
    </row>
    <row r="11" spans="1:31" s="94" customFormat="1" ht="149.25" customHeight="1" x14ac:dyDescent="0.3">
      <c r="A11" s="116"/>
      <c r="B11" s="175" t="s">
        <v>307</v>
      </c>
      <c r="C11" s="175" t="s">
        <v>115</v>
      </c>
      <c r="D11" s="248" t="s">
        <v>309</v>
      </c>
      <c r="E11" s="177" t="s">
        <v>308</v>
      </c>
      <c r="F11" s="178"/>
      <c r="G11" s="179"/>
      <c r="H11" s="180">
        <v>4467</v>
      </c>
      <c r="I11" s="181">
        <v>595.6</v>
      </c>
      <c r="J11" s="182">
        <f>SUM(H11:I11)</f>
        <v>5062.6000000000004</v>
      </c>
      <c r="K11" s="183">
        <f>IF(H11/15&lt;=SMG,0,I11/2)</f>
        <v>297.8</v>
      </c>
      <c r="L11" s="183">
        <f t="shared" si="12"/>
        <v>4764.8</v>
      </c>
      <c r="M11" s="183">
        <f t="shared" si="13"/>
        <v>3124.36</v>
      </c>
      <c r="N11" s="183">
        <f t="shared" si="14"/>
        <v>1640.44</v>
      </c>
      <c r="O11" s="184">
        <f t="shared" si="15"/>
        <v>0.10879999999999999</v>
      </c>
      <c r="P11" s="183">
        <f t="shared" si="16"/>
        <v>178.479872</v>
      </c>
      <c r="Q11" s="185">
        <f t="shared" si="17"/>
        <v>183.45</v>
      </c>
      <c r="R11" s="183">
        <f t="shared" si="18"/>
        <v>361.92987199999999</v>
      </c>
      <c r="S11" s="183">
        <f t="shared" si="19"/>
        <v>0</v>
      </c>
      <c r="T11" s="183">
        <f t="shared" si="20"/>
        <v>361.93</v>
      </c>
      <c r="U11" s="182">
        <f t="shared" si="21"/>
        <v>0</v>
      </c>
      <c r="V11" s="182">
        <f t="shared" si="22"/>
        <v>361.93</v>
      </c>
      <c r="W11" s="182">
        <f>SUM(V11:V11)</f>
        <v>361.93</v>
      </c>
      <c r="X11" s="182">
        <f>J11+U11-W11</f>
        <v>4700.67</v>
      </c>
      <c r="Y11" s="117"/>
      <c r="Z11" s="96"/>
      <c r="AE11" s="97"/>
    </row>
    <row r="12" spans="1:31" s="94" customFormat="1" ht="149.25" customHeight="1" x14ac:dyDescent="0.3">
      <c r="A12" s="116"/>
      <c r="B12" s="174" t="s">
        <v>212</v>
      </c>
      <c r="C12" s="174" t="s">
        <v>115</v>
      </c>
      <c r="D12" s="250" t="s">
        <v>211</v>
      </c>
      <c r="E12" s="177" t="s">
        <v>66</v>
      </c>
      <c r="F12" s="178">
        <v>15</v>
      </c>
      <c r="G12" s="179"/>
      <c r="H12" s="180">
        <v>6253</v>
      </c>
      <c r="I12" s="181">
        <v>0</v>
      </c>
      <c r="J12" s="180">
        <f>H12</f>
        <v>6253</v>
      </c>
      <c r="K12" s="183">
        <f t="shared" ref="K12" si="23">IF(H12/15&lt;=SMG,0,I12/2)</f>
        <v>0</v>
      </c>
      <c r="L12" s="183">
        <f t="shared" si="12"/>
        <v>6253</v>
      </c>
      <c r="M12" s="183">
        <f t="shared" si="13"/>
        <v>5490.76</v>
      </c>
      <c r="N12" s="183">
        <f t="shared" si="14"/>
        <v>762.23999999999978</v>
      </c>
      <c r="O12" s="184">
        <f t="shared" si="15"/>
        <v>0.16</v>
      </c>
      <c r="P12" s="183">
        <f t="shared" si="16"/>
        <v>121.95839999999997</v>
      </c>
      <c r="Q12" s="185">
        <f t="shared" si="17"/>
        <v>441</v>
      </c>
      <c r="R12" s="183">
        <f t="shared" si="18"/>
        <v>562.95839999999998</v>
      </c>
      <c r="S12" s="183">
        <f t="shared" si="19"/>
        <v>0</v>
      </c>
      <c r="T12" s="183">
        <f t="shared" si="20"/>
        <v>562.96</v>
      </c>
      <c r="U12" s="182">
        <f t="shared" si="21"/>
        <v>0</v>
      </c>
      <c r="V12" s="182">
        <f t="shared" si="22"/>
        <v>562.96</v>
      </c>
      <c r="W12" s="182">
        <f>SUM(V12:V12)</f>
        <v>562.96</v>
      </c>
      <c r="X12" s="182">
        <f>J12+U12-W12+I12</f>
        <v>5690.04</v>
      </c>
      <c r="Y12" s="117"/>
      <c r="AE12" s="97"/>
    </row>
    <row r="13" spans="1:31" s="94" customFormat="1" ht="149.25" customHeight="1" x14ac:dyDescent="0.3">
      <c r="A13" s="116"/>
      <c r="B13" s="174" t="s">
        <v>310</v>
      </c>
      <c r="C13" s="174" t="s">
        <v>115</v>
      </c>
      <c r="D13" s="250" t="s">
        <v>311</v>
      </c>
      <c r="E13" s="177" t="s">
        <v>66</v>
      </c>
      <c r="F13" s="178"/>
      <c r="G13" s="179"/>
      <c r="H13" s="180">
        <v>6253</v>
      </c>
      <c r="I13" s="181">
        <v>0</v>
      </c>
      <c r="J13" s="180">
        <f>H13</f>
        <v>6253</v>
      </c>
      <c r="K13" s="183">
        <f t="shared" ref="K13" si="24">IF(H13/15&lt;=SMG,0,I13/2)</f>
        <v>0</v>
      </c>
      <c r="L13" s="183">
        <f t="shared" si="12"/>
        <v>6253</v>
      </c>
      <c r="M13" s="183">
        <f t="shared" si="13"/>
        <v>5490.76</v>
      </c>
      <c r="N13" s="183">
        <f t="shared" si="14"/>
        <v>762.23999999999978</v>
      </c>
      <c r="O13" s="184">
        <f t="shared" si="15"/>
        <v>0.16</v>
      </c>
      <c r="P13" s="183">
        <f t="shared" si="16"/>
        <v>121.95839999999997</v>
      </c>
      <c r="Q13" s="185">
        <f t="shared" si="17"/>
        <v>441</v>
      </c>
      <c r="R13" s="183">
        <f t="shared" si="18"/>
        <v>562.95839999999998</v>
      </c>
      <c r="S13" s="183">
        <f t="shared" si="19"/>
        <v>0</v>
      </c>
      <c r="T13" s="183">
        <f t="shared" si="20"/>
        <v>562.96</v>
      </c>
      <c r="U13" s="182">
        <f t="shared" si="21"/>
        <v>0</v>
      </c>
      <c r="V13" s="182">
        <f t="shared" si="22"/>
        <v>562.96</v>
      </c>
      <c r="W13" s="182">
        <f>SUM(V13:V13)</f>
        <v>562.96</v>
      </c>
      <c r="X13" s="182">
        <f>J13+U13-W13+I13</f>
        <v>5690.04</v>
      </c>
      <c r="Y13" s="117"/>
      <c r="AE13" s="97"/>
    </row>
    <row r="14" spans="1:31" s="94" customFormat="1" ht="149.25" customHeight="1" x14ac:dyDescent="0.3">
      <c r="A14" s="116"/>
      <c r="B14" s="175" t="s">
        <v>113</v>
      </c>
      <c r="C14" s="175" t="s">
        <v>115</v>
      </c>
      <c r="D14" s="248" t="s">
        <v>67</v>
      </c>
      <c r="E14" s="177" t="s">
        <v>143</v>
      </c>
      <c r="F14" s="178">
        <v>15</v>
      </c>
      <c r="G14" s="179">
        <f>H14/F14</f>
        <v>570.13333333333333</v>
      </c>
      <c r="H14" s="180">
        <v>8552</v>
      </c>
      <c r="I14" s="181">
        <v>0</v>
      </c>
      <c r="J14" s="182">
        <f>SUM(H14:I14)</f>
        <v>8552</v>
      </c>
      <c r="K14" s="183">
        <f t="shared" ref="K14:K15" si="25">IF(H14/15&lt;=SMG,0,I14/2)</f>
        <v>0</v>
      </c>
      <c r="L14" s="183">
        <f t="shared" si="12"/>
        <v>8552</v>
      </c>
      <c r="M14" s="183">
        <f t="shared" si="13"/>
        <v>7641.91</v>
      </c>
      <c r="N14" s="183">
        <f t="shared" si="14"/>
        <v>910.09000000000015</v>
      </c>
      <c r="O14" s="184">
        <f t="shared" si="15"/>
        <v>0.21360000000000001</v>
      </c>
      <c r="P14" s="183">
        <f t="shared" si="16"/>
        <v>194.39522400000004</v>
      </c>
      <c r="Q14" s="185">
        <f t="shared" si="17"/>
        <v>809.25</v>
      </c>
      <c r="R14" s="183">
        <f t="shared" si="18"/>
        <v>1003.6452240000001</v>
      </c>
      <c r="S14" s="183">
        <f t="shared" si="19"/>
        <v>0</v>
      </c>
      <c r="T14" s="183">
        <f t="shared" si="20"/>
        <v>1003.65</v>
      </c>
      <c r="U14" s="182">
        <f t="shared" si="21"/>
        <v>0</v>
      </c>
      <c r="V14" s="182">
        <f t="shared" si="22"/>
        <v>1003.65</v>
      </c>
      <c r="W14" s="182">
        <f>SUM(V14:V14)</f>
        <v>1003.65</v>
      </c>
      <c r="X14" s="182">
        <f>J14+U14-W14</f>
        <v>7548.35</v>
      </c>
      <c r="Y14" s="117"/>
      <c r="AE14" s="97"/>
    </row>
    <row r="15" spans="1:31" s="94" customFormat="1" ht="149.25" customHeight="1" x14ac:dyDescent="0.3">
      <c r="A15" s="116"/>
      <c r="B15" s="175" t="s">
        <v>200</v>
      </c>
      <c r="C15" s="175" t="s">
        <v>115</v>
      </c>
      <c r="D15" s="246" t="s">
        <v>201</v>
      </c>
      <c r="E15" s="177" t="s">
        <v>167</v>
      </c>
      <c r="F15" s="178">
        <v>15</v>
      </c>
      <c r="G15" s="179"/>
      <c r="H15" s="180">
        <v>6843</v>
      </c>
      <c r="I15" s="181">
        <v>0</v>
      </c>
      <c r="J15" s="182">
        <f>SUM(H15:I15)</f>
        <v>6843</v>
      </c>
      <c r="K15" s="183">
        <f t="shared" si="25"/>
        <v>0</v>
      </c>
      <c r="L15" s="183">
        <f t="shared" si="12"/>
        <v>6843</v>
      </c>
      <c r="M15" s="183">
        <f t="shared" si="13"/>
        <v>6382.81</v>
      </c>
      <c r="N15" s="183">
        <f t="shared" si="14"/>
        <v>460.1899999999996</v>
      </c>
      <c r="O15" s="184">
        <f t="shared" si="15"/>
        <v>0.1792</v>
      </c>
      <c r="P15" s="183">
        <f t="shared" si="16"/>
        <v>82.46604799999993</v>
      </c>
      <c r="Q15" s="185">
        <f t="shared" si="17"/>
        <v>583.65</v>
      </c>
      <c r="R15" s="183">
        <f t="shared" si="18"/>
        <v>666.11604799999986</v>
      </c>
      <c r="S15" s="183">
        <f t="shared" si="19"/>
        <v>0</v>
      </c>
      <c r="T15" s="183">
        <f t="shared" si="20"/>
        <v>666.12</v>
      </c>
      <c r="U15" s="182">
        <f t="shared" si="21"/>
        <v>0</v>
      </c>
      <c r="V15" s="182">
        <f t="shared" si="22"/>
        <v>666.12</v>
      </c>
      <c r="W15" s="182">
        <f>SUM(V15:V15)</f>
        <v>666.12</v>
      </c>
      <c r="X15" s="182">
        <f>J15+U15-W15</f>
        <v>6176.88</v>
      </c>
      <c r="Y15" s="117"/>
      <c r="AE15" s="97"/>
    </row>
    <row r="16" spans="1:31" s="94" customFormat="1" ht="44.25" customHeight="1" x14ac:dyDescent="0.25">
      <c r="A16" s="208"/>
      <c r="B16" s="220"/>
      <c r="C16" s="220"/>
      <c r="D16" s="225"/>
      <c r="E16" s="226"/>
      <c r="F16" s="227"/>
      <c r="G16" s="228"/>
      <c r="H16" s="229"/>
      <c r="I16" s="23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118"/>
      <c r="AE16" s="97"/>
    </row>
    <row r="17" spans="1:31" s="94" customFormat="1" ht="39" customHeight="1" x14ac:dyDescent="0.25">
      <c r="A17" s="208"/>
      <c r="B17" s="220"/>
      <c r="C17" s="220"/>
      <c r="D17" s="225"/>
      <c r="E17" s="226"/>
      <c r="F17" s="227"/>
      <c r="G17" s="228"/>
      <c r="H17" s="229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118"/>
      <c r="AE17" s="97"/>
    </row>
    <row r="18" spans="1:31" s="94" customFormat="1" ht="40.5" customHeight="1" x14ac:dyDescent="0.25">
      <c r="A18" s="208"/>
      <c r="B18" s="220"/>
      <c r="C18" s="220"/>
      <c r="D18" s="225"/>
      <c r="E18" s="226"/>
      <c r="F18" s="227"/>
      <c r="G18" s="228"/>
      <c r="H18" s="229"/>
      <c r="I18" s="230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118"/>
      <c r="AE18" s="97"/>
    </row>
    <row r="19" spans="1:31" s="94" customFormat="1" ht="32.25" customHeight="1" x14ac:dyDescent="0.25">
      <c r="A19" s="208"/>
      <c r="B19" s="220"/>
      <c r="C19" s="220"/>
      <c r="D19" s="225"/>
      <c r="E19" s="226"/>
      <c r="F19" s="227"/>
      <c r="G19" s="228"/>
      <c r="H19" s="229"/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118"/>
      <c r="AE19" s="97"/>
    </row>
    <row r="20" spans="1:31" s="94" customFormat="1" ht="32.25" customHeight="1" x14ac:dyDescent="0.25">
      <c r="A20" s="208"/>
      <c r="B20" s="220"/>
      <c r="C20" s="220"/>
      <c r="D20" s="225"/>
      <c r="E20" s="226"/>
      <c r="F20" s="227"/>
      <c r="G20" s="228"/>
      <c r="H20" s="229"/>
      <c r="I20" s="230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118"/>
      <c r="AE20" s="97"/>
    </row>
    <row r="21" spans="1:31" s="94" customFormat="1" ht="32.25" customHeight="1" x14ac:dyDescent="0.25">
      <c r="A21" s="208"/>
      <c r="B21" s="220"/>
      <c r="C21" s="220"/>
      <c r="D21" s="225"/>
      <c r="E21" s="226"/>
      <c r="F21" s="227"/>
      <c r="G21" s="228"/>
      <c r="H21" s="229"/>
      <c r="I21" s="23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118"/>
      <c r="AE21" s="97"/>
    </row>
    <row r="22" spans="1:31" s="94" customFormat="1" ht="29.25" customHeight="1" x14ac:dyDescent="0.25">
      <c r="A22" s="208"/>
      <c r="B22" s="268" t="s">
        <v>78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E22" s="97"/>
    </row>
    <row r="23" spans="1:31" s="94" customFormat="1" ht="28.5" customHeight="1" x14ac:dyDescent="0.25">
      <c r="A23" s="208"/>
      <c r="B23" s="268" t="s">
        <v>63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E23" s="97"/>
    </row>
    <row r="24" spans="1:31" s="94" customFormat="1" ht="28.5" customHeight="1" x14ac:dyDescent="0.25">
      <c r="A24" s="208"/>
      <c r="B24" s="269" t="s">
        <v>316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E24" s="97"/>
    </row>
    <row r="25" spans="1:31" s="94" customFormat="1" ht="28.5" customHeight="1" x14ac:dyDescent="0.25">
      <c r="A25" s="208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E25" s="97"/>
    </row>
    <row r="26" spans="1:31" s="94" customFormat="1" ht="132" customHeight="1" x14ac:dyDescent="0.3">
      <c r="A26" s="208"/>
      <c r="B26" s="175" t="s">
        <v>178</v>
      </c>
      <c r="C26" s="175" t="s">
        <v>115</v>
      </c>
      <c r="D26" s="246" t="s">
        <v>171</v>
      </c>
      <c r="E26" s="177" t="s">
        <v>167</v>
      </c>
      <c r="F26" s="178">
        <v>15</v>
      </c>
      <c r="G26" s="179"/>
      <c r="H26" s="180">
        <v>8552</v>
      </c>
      <c r="I26" s="181">
        <v>0</v>
      </c>
      <c r="J26" s="182">
        <f t="shared" ref="J26" si="26">SUM(H26:I26)</f>
        <v>8552</v>
      </c>
      <c r="K26" s="183">
        <f t="shared" ref="K26" si="27">IF(H26/15&lt;=SMG,0,I26/2)</f>
        <v>0</v>
      </c>
      <c r="L26" s="183">
        <f t="shared" ref="L26" si="28">H26+K26</f>
        <v>8552</v>
      </c>
      <c r="M26" s="183">
        <f t="shared" ref="M26:M31" si="29">VLOOKUP(L26,Tarifa1,1)</f>
        <v>7641.91</v>
      </c>
      <c r="N26" s="183">
        <f t="shared" ref="N26" si="30">L26-M26</f>
        <v>910.09000000000015</v>
      </c>
      <c r="O26" s="184">
        <f t="shared" ref="O26:O31" si="31">VLOOKUP(L26,Tarifa1,3)</f>
        <v>0.21360000000000001</v>
      </c>
      <c r="P26" s="183">
        <f t="shared" ref="P26" si="32">N26*O26</f>
        <v>194.39522400000004</v>
      </c>
      <c r="Q26" s="185">
        <f t="shared" ref="Q26:Q31" si="33">VLOOKUP(L26,Tarifa1,2)</f>
        <v>809.25</v>
      </c>
      <c r="R26" s="183">
        <f t="shared" ref="R26" si="34">P26+Q26</f>
        <v>1003.6452240000001</v>
      </c>
      <c r="S26" s="183">
        <f t="shared" ref="S26:S31" si="35">VLOOKUP(L26,Credito1,2)</f>
        <v>0</v>
      </c>
      <c r="T26" s="183">
        <f t="shared" ref="T26" si="36">ROUND(R26-S26,2)</f>
        <v>1003.65</v>
      </c>
      <c r="U26" s="182">
        <f t="shared" ref="U26:U31" si="37">-IF(T26&gt;0,0,T26)</f>
        <v>0</v>
      </c>
      <c r="V26" s="182">
        <f t="shared" ref="V26:V31" si="38">IF(H26/15&lt;=SMG,0,IF(T26&lt;0,0,T26))</f>
        <v>1003.65</v>
      </c>
      <c r="W26" s="182">
        <f>SUM(V26:V26)</f>
        <v>1003.65</v>
      </c>
      <c r="X26" s="182">
        <f>J26+U26-W26</f>
        <v>7548.35</v>
      </c>
      <c r="Y26" s="117"/>
      <c r="Z26" s="224"/>
      <c r="AE26" s="97"/>
    </row>
    <row r="27" spans="1:31" s="94" customFormat="1" ht="132" customHeight="1" x14ac:dyDescent="0.3">
      <c r="A27" s="116"/>
      <c r="B27" s="175" t="s">
        <v>185</v>
      </c>
      <c r="C27" s="175" t="s">
        <v>115</v>
      </c>
      <c r="D27" s="246" t="s">
        <v>186</v>
      </c>
      <c r="E27" s="177" t="s">
        <v>167</v>
      </c>
      <c r="F27" s="178">
        <v>15</v>
      </c>
      <c r="G27" s="179"/>
      <c r="H27" s="180">
        <v>8552</v>
      </c>
      <c r="I27" s="181">
        <v>0</v>
      </c>
      <c r="J27" s="182">
        <f t="shared" ref="J27" si="39">SUM(H27:I27)</f>
        <v>8552</v>
      </c>
      <c r="K27" s="183">
        <f t="shared" ref="K27:K30" si="40">IF(H27/15&lt;=SMG,0,I27/2)</f>
        <v>0</v>
      </c>
      <c r="L27" s="183">
        <f t="shared" ref="L27:L31" si="41">H27+K27</f>
        <v>8552</v>
      </c>
      <c r="M27" s="183">
        <f t="shared" si="29"/>
        <v>7641.91</v>
      </c>
      <c r="N27" s="183">
        <f t="shared" ref="N27:N31" si="42">L27-M27</f>
        <v>910.09000000000015</v>
      </c>
      <c r="O27" s="184">
        <f t="shared" si="31"/>
        <v>0.21360000000000001</v>
      </c>
      <c r="P27" s="183">
        <f t="shared" ref="P27:P31" si="43">N27*O27</f>
        <v>194.39522400000004</v>
      </c>
      <c r="Q27" s="185">
        <f t="shared" si="33"/>
        <v>809.25</v>
      </c>
      <c r="R27" s="183">
        <f t="shared" ref="R27:R31" si="44">P27+Q27</f>
        <v>1003.6452240000001</v>
      </c>
      <c r="S27" s="183">
        <f t="shared" si="35"/>
        <v>0</v>
      </c>
      <c r="T27" s="183">
        <f t="shared" ref="T27:T31" si="45">ROUND(R27-S27,2)</f>
        <v>1003.65</v>
      </c>
      <c r="U27" s="182">
        <f t="shared" si="37"/>
        <v>0</v>
      </c>
      <c r="V27" s="182">
        <f t="shared" si="38"/>
        <v>1003.65</v>
      </c>
      <c r="W27" s="182">
        <f>SUM(V27:V27)</f>
        <v>1003.65</v>
      </c>
      <c r="X27" s="182">
        <f>J27+U27-W27</f>
        <v>7548.35</v>
      </c>
      <c r="Y27" s="117"/>
      <c r="AE27" s="97"/>
    </row>
    <row r="28" spans="1:31" s="94" customFormat="1" ht="132" customHeight="1" x14ac:dyDescent="0.3">
      <c r="A28" s="116"/>
      <c r="B28" s="175" t="s">
        <v>285</v>
      </c>
      <c r="C28" s="175" t="s">
        <v>115</v>
      </c>
      <c r="D28" s="246" t="s">
        <v>286</v>
      </c>
      <c r="E28" s="177" t="s">
        <v>167</v>
      </c>
      <c r="F28" s="178"/>
      <c r="G28" s="179"/>
      <c r="H28" s="180">
        <v>8552</v>
      </c>
      <c r="I28" s="181">
        <v>0</v>
      </c>
      <c r="J28" s="182">
        <f>SUM(H28:I28)</f>
        <v>8552</v>
      </c>
      <c r="K28" s="183">
        <f t="shared" si="40"/>
        <v>0</v>
      </c>
      <c r="L28" s="183">
        <f t="shared" si="41"/>
        <v>8552</v>
      </c>
      <c r="M28" s="183">
        <f t="shared" si="29"/>
        <v>7641.91</v>
      </c>
      <c r="N28" s="183">
        <f t="shared" si="42"/>
        <v>910.09000000000015</v>
      </c>
      <c r="O28" s="184">
        <f t="shared" si="31"/>
        <v>0.21360000000000001</v>
      </c>
      <c r="P28" s="183">
        <f t="shared" si="43"/>
        <v>194.39522400000004</v>
      </c>
      <c r="Q28" s="185">
        <f t="shared" si="33"/>
        <v>809.25</v>
      </c>
      <c r="R28" s="183">
        <f t="shared" si="44"/>
        <v>1003.6452240000001</v>
      </c>
      <c r="S28" s="183">
        <f t="shared" si="35"/>
        <v>0</v>
      </c>
      <c r="T28" s="183">
        <f t="shared" si="45"/>
        <v>1003.65</v>
      </c>
      <c r="U28" s="182">
        <f t="shared" si="37"/>
        <v>0</v>
      </c>
      <c r="V28" s="182">
        <f t="shared" si="38"/>
        <v>1003.65</v>
      </c>
      <c r="W28" s="182">
        <f>SUM(V28:V28)</f>
        <v>1003.65</v>
      </c>
      <c r="X28" s="182">
        <f>J28+U28-W28</f>
        <v>7548.35</v>
      </c>
      <c r="Y28" s="117"/>
      <c r="AE28" s="97"/>
    </row>
    <row r="29" spans="1:31" s="94" customFormat="1" ht="132" customHeight="1" x14ac:dyDescent="0.3">
      <c r="A29" s="116"/>
      <c r="B29" s="175" t="s">
        <v>204</v>
      </c>
      <c r="C29" s="175" t="s">
        <v>115</v>
      </c>
      <c r="D29" s="249" t="s">
        <v>205</v>
      </c>
      <c r="E29" s="177" t="s">
        <v>167</v>
      </c>
      <c r="F29" s="178"/>
      <c r="G29" s="179"/>
      <c r="H29" s="180">
        <v>6843</v>
      </c>
      <c r="I29" s="181">
        <v>456.2</v>
      </c>
      <c r="J29" s="182">
        <f>SUM(H29:I29)</f>
        <v>7299.2</v>
      </c>
      <c r="K29" s="183">
        <f t="shared" si="40"/>
        <v>228.1</v>
      </c>
      <c r="L29" s="183">
        <f t="shared" si="41"/>
        <v>7071.1</v>
      </c>
      <c r="M29" s="183">
        <f t="shared" si="29"/>
        <v>6382.81</v>
      </c>
      <c r="N29" s="183">
        <f t="shared" si="42"/>
        <v>688.29</v>
      </c>
      <c r="O29" s="184">
        <f t="shared" si="31"/>
        <v>0.1792</v>
      </c>
      <c r="P29" s="183">
        <f t="shared" si="43"/>
        <v>123.341568</v>
      </c>
      <c r="Q29" s="185">
        <f t="shared" si="33"/>
        <v>583.65</v>
      </c>
      <c r="R29" s="183">
        <f t="shared" si="44"/>
        <v>706.99156799999992</v>
      </c>
      <c r="S29" s="183">
        <f t="shared" si="35"/>
        <v>0</v>
      </c>
      <c r="T29" s="183">
        <f t="shared" si="45"/>
        <v>706.99</v>
      </c>
      <c r="U29" s="182">
        <f t="shared" si="37"/>
        <v>0</v>
      </c>
      <c r="V29" s="182">
        <f t="shared" si="38"/>
        <v>706.99</v>
      </c>
      <c r="W29" s="182">
        <f>SUM(V29:V29)</f>
        <v>706.99</v>
      </c>
      <c r="X29" s="182">
        <f>J29+U29-W29</f>
        <v>6592.21</v>
      </c>
      <c r="Y29" s="117"/>
      <c r="AE29" s="97"/>
    </row>
    <row r="30" spans="1:31" s="94" customFormat="1" ht="132" customHeight="1" x14ac:dyDescent="0.3">
      <c r="A30" s="116"/>
      <c r="B30" s="175" t="s">
        <v>289</v>
      </c>
      <c r="C30" s="175" t="s">
        <v>115</v>
      </c>
      <c r="D30" s="246" t="s">
        <v>287</v>
      </c>
      <c r="E30" s="177" t="s">
        <v>288</v>
      </c>
      <c r="F30" s="178"/>
      <c r="G30" s="179"/>
      <c r="H30" s="180">
        <v>6253</v>
      </c>
      <c r="I30" s="181">
        <v>416.87</v>
      </c>
      <c r="J30" s="180">
        <f>H30</f>
        <v>6253</v>
      </c>
      <c r="K30" s="183">
        <f t="shared" si="40"/>
        <v>208.435</v>
      </c>
      <c r="L30" s="183">
        <f t="shared" si="41"/>
        <v>6461.4350000000004</v>
      </c>
      <c r="M30" s="183">
        <f t="shared" si="29"/>
        <v>6382.81</v>
      </c>
      <c r="N30" s="183">
        <f t="shared" si="42"/>
        <v>78.625</v>
      </c>
      <c r="O30" s="184">
        <f t="shared" si="31"/>
        <v>0.1792</v>
      </c>
      <c r="P30" s="183">
        <f t="shared" si="43"/>
        <v>14.089599999999999</v>
      </c>
      <c r="Q30" s="185">
        <f t="shared" si="33"/>
        <v>583.65</v>
      </c>
      <c r="R30" s="183">
        <f t="shared" si="44"/>
        <v>597.7396</v>
      </c>
      <c r="S30" s="183">
        <f t="shared" si="35"/>
        <v>0</v>
      </c>
      <c r="T30" s="183">
        <f t="shared" si="45"/>
        <v>597.74</v>
      </c>
      <c r="U30" s="182">
        <f t="shared" si="37"/>
        <v>0</v>
      </c>
      <c r="V30" s="182">
        <f t="shared" si="38"/>
        <v>597.74</v>
      </c>
      <c r="W30" s="182">
        <f>SUM(V30:V30)</f>
        <v>597.74</v>
      </c>
      <c r="X30" s="182">
        <f>J30+U30-W30+I30</f>
        <v>6072.13</v>
      </c>
      <c r="Y30" s="117"/>
      <c r="AE30" s="97"/>
    </row>
    <row r="31" spans="1:31" s="94" customFormat="1" ht="132" customHeight="1" x14ac:dyDescent="0.3">
      <c r="A31" s="116"/>
      <c r="B31" s="175" t="s">
        <v>180</v>
      </c>
      <c r="C31" s="175" t="s">
        <v>115</v>
      </c>
      <c r="D31" s="246" t="s">
        <v>168</v>
      </c>
      <c r="E31" s="177" t="s">
        <v>282</v>
      </c>
      <c r="F31" s="178">
        <v>15</v>
      </c>
      <c r="G31" s="179">
        <f t="shared" ref="G31" si="46">H31/F31</f>
        <v>310.2</v>
      </c>
      <c r="H31" s="180">
        <v>4653</v>
      </c>
      <c r="I31" s="181">
        <v>0</v>
      </c>
      <c r="J31" s="182">
        <f t="shared" ref="J31" si="47">SUM(H31:I31)</f>
        <v>4653</v>
      </c>
      <c r="K31" s="183">
        <f t="shared" ref="K31" si="48">IF(H31/15&lt;=SMG,0,I31/2)</f>
        <v>0</v>
      </c>
      <c r="L31" s="183">
        <f t="shared" si="41"/>
        <v>4653</v>
      </c>
      <c r="M31" s="183">
        <f t="shared" si="29"/>
        <v>3124.36</v>
      </c>
      <c r="N31" s="183">
        <f t="shared" si="42"/>
        <v>1528.6399999999999</v>
      </c>
      <c r="O31" s="184">
        <f t="shared" si="31"/>
        <v>0.10879999999999999</v>
      </c>
      <c r="P31" s="183">
        <f t="shared" si="43"/>
        <v>166.31603199999998</v>
      </c>
      <c r="Q31" s="185">
        <f t="shared" si="33"/>
        <v>183.45</v>
      </c>
      <c r="R31" s="183">
        <f t="shared" si="44"/>
        <v>349.766032</v>
      </c>
      <c r="S31" s="183">
        <f t="shared" si="35"/>
        <v>0</v>
      </c>
      <c r="T31" s="183">
        <f t="shared" si="45"/>
        <v>349.77</v>
      </c>
      <c r="U31" s="182">
        <f t="shared" si="37"/>
        <v>0</v>
      </c>
      <c r="V31" s="182">
        <f t="shared" si="38"/>
        <v>349.77</v>
      </c>
      <c r="W31" s="182">
        <f>SUM(V31:V31)</f>
        <v>349.77</v>
      </c>
      <c r="X31" s="182">
        <f>J31+U31-W31</f>
        <v>4303.2299999999996</v>
      </c>
      <c r="Y31" s="117"/>
      <c r="AE31" s="97"/>
    </row>
    <row r="32" spans="1:31" s="51" customFormat="1" ht="39" customHeight="1" thickBot="1" x14ac:dyDescent="0.3">
      <c r="A32" s="265" t="s">
        <v>44</v>
      </c>
      <c r="B32" s="266"/>
      <c r="C32" s="266"/>
      <c r="D32" s="266"/>
      <c r="E32" s="266"/>
      <c r="F32" s="266"/>
      <c r="G32" s="267"/>
      <c r="H32" s="186">
        <f t="shared" ref="H32:X32" si="49">SUM(H9:H31)</f>
        <v>98491</v>
      </c>
      <c r="I32" s="186">
        <f t="shared" si="49"/>
        <v>1468.67</v>
      </c>
      <c r="J32" s="186">
        <f t="shared" si="49"/>
        <v>99542.8</v>
      </c>
      <c r="K32" s="187">
        <f t="shared" si="49"/>
        <v>734.33500000000004</v>
      </c>
      <c r="L32" s="187">
        <f t="shared" si="49"/>
        <v>99225.335000000006</v>
      </c>
      <c r="M32" s="187">
        <f t="shared" si="49"/>
        <v>82230.13</v>
      </c>
      <c r="N32" s="187">
        <f t="shared" si="49"/>
        <v>16995.205000000002</v>
      </c>
      <c r="O32" s="187">
        <f t="shared" si="49"/>
        <v>2.3567999999999998</v>
      </c>
      <c r="P32" s="187">
        <f t="shared" si="49"/>
        <v>3174.1316639999991</v>
      </c>
      <c r="Q32" s="187">
        <f t="shared" si="49"/>
        <v>7855.3499999999995</v>
      </c>
      <c r="R32" s="187">
        <f t="shared" si="49"/>
        <v>11029.481663999999</v>
      </c>
      <c r="S32" s="187">
        <f t="shared" si="49"/>
        <v>0</v>
      </c>
      <c r="T32" s="187">
        <f t="shared" si="49"/>
        <v>11029.509999999998</v>
      </c>
      <c r="U32" s="186">
        <f t="shared" si="49"/>
        <v>0</v>
      </c>
      <c r="V32" s="186">
        <f t="shared" si="49"/>
        <v>11029.509999999998</v>
      </c>
      <c r="W32" s="186">
        <f t="shared" si="49"/>
        <v>11029.509999999998</v>
      </c>
      <c r="X32" s="186">
        <f t="shared" si="49"/>
        <v>88930.16</v>
      </c>
      <c r="Y32" s="118"/>
    </row>
    <row r="33" spans="1:24" s="51" customFormat="1" ht="39" customHeight="1" thickTop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  <row r="34" spans="1:24" s="51" customFormat="1" ht="39" customHeight="1" x14ac:dyDescent="0.25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2"/>
    </row>
    <row r="35" spans="1:24" s="51" customFormat="1" ht="39" customHeight="1" x14ac:dyDescent="0.25">
      <c r="A35" s="111"/>
      <c r="B35" s="111"/>
      <c r="C35" s="111"/>
      <c r="D35" s="111"/>
      <c r="E35" s="111"/>
      <c r="F35" s="111"/>
      <c r="G35" s="111"/>
      <c r="H35" s="112"/>
      <c r="I35" s="112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2"/>
      <c r="V35" s="112"/>
      <c r="W35" s="112"/>
      <c r="X35" s="112"/>
    </row>
    <row r="36" spans="1:24" s="51" customFormat="1" ht="39" customHeight="1" x14ac:dyDescent="0.25">
      <c r="A36" s="111"/>
      <c r="B36" s="111"/>
      <c r="C36" s="111"/>
      <c r="D36" s="111"/>
      <c r="E36" s="111"/>
      <c r="F36" s="111"/>
      <c r="G36" s="111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2"/>
      <c r="V36" s="112"/>
      <c r="W36" s="112"/>
      <c r="X36" s="112"/>
    </row>
    <row r="37" spans="1:24" s="51" customFormat="1" ht="39" customHeight="1" x14ac:dyDescent="0.25">
      <c r="A37" s="111"/>
      <c r="B37" s="111"/>
      <c r="C37" s="111"/>
      <c r="D37" s="111"/>
      <c r="E37" s="111"/>
      <c r="F37" s="111"/>
      <c r="G37" s="111"/>
      <c r="H37" s="112"/>
      <c r="I37" s="112"/>
      <c r="J37" s="112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2"/>
      <c r="V37" s="112"/>
      <c r="W37" s="112"/>
      <c r="X37" s="112"/>
    </row>
    <row r="38" spans="1:24" s="51" customFormat="1" ht="12" x14ac:dyDescent="0.2"/>
  </sheetData>
  <mergeCells count="11">
    <mergeCell ref="A32:G32"/>
    <mergeCell ref="C5:C7"/>
    <mergeCell ref="A1:Y1"/>
    <mergeCell ref="A2:Y2"/>
    <mergeCell ref="A3:Y3"/>
    <mergeCell ref="H5:J5"/>
    <mergeCell ref="M5:R5"/>
    <mergeCell ref="V5:W5"/>
    <mergeCell ref="B22:Z22"/>
    <mergeCell ref="B23:Z23"/>
    <mergeCell ref="B24:Z2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6:D31 D15:D21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8"/>
  <sheetViews>
    <sheetView topLeftCell="B28" zoomScale="69" zoomScaleNormal="69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3" width="13" hidden="1" customWidth="1"/>
    <col min="14" max="14" width="14.5703125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22</v>
      </c>
      <c r="G6" s="48" t="s">
        <v>5</v>
      </c>
      <c r="H6" s="290" t="s">
        <v>1</v>
      </c>
      <c r="I6" s="291"/>
      <c r="J6" s="292"/>
      <c r="K6" s="49" t="s">
        <v>25</v>
      </c>
      <c r="L6" s="50"/>
      <c r="M6" s="293" t="s">
        <v>8</v>
      </c>
      <c r="N6" s="294"/>
      <c r="O6" s="294"/>
      <c r="P6" s="294"/>
      <c r="Q6" s="294"/>
      <c r="R6" s="295"/>
      <c r="S6" s="49" t="s">
        <v>29</v>
      </c>
      <c r="T6" s="49" t="s">
        <v>9</v>
      </c>
      <c r="U6" s="48" t="s">
        <v>52</v>
      </c>
      <c r="V6" s="296" t="s">
        <v>2</v>
      </c>
      <c r="W6" s="297"/>
      <c r="X6" s="48" t="s">
        <v>0</v>
      </c>
      <c r="Y6" s="47"/>
    </row>
    <row r="7" spans="1:25" s="51" customFormat="1" ht="24" x14ac:dyDescent="0.2">
      <c r="A7" s="52" t="s">
        <v>106</v>
      </c>
      <c r="B7" s="46" t="s">
        <v>101</v>
      </c>
      <c r="C7" s="46" t="s">
        <v>124</v>
      </c>
      <c r="D7" s="52" t="s">
        <v>21</v>
      </c>
      <c r="E7" s="52"/>
      <c r="F7" s="53" t="s">
        <v>23</v>
      </c>
      <c r="G7" s="52" t="s">
        <v>24</v>
      </c>
      <c r="H7" s="48" t="s">
        <v>5</v>
      </c>
      <c r="I7" s="48" t="s">
        <v>57</v>
      </c>
      <c r="J7" s="48" t="s">
        <v>27</v>
      </c>
      <c r="K7" s="54" t="s">
        <v>26</v>
      </c>
      <c r="L7" s="50" t="s">
        <v>31</v>
      </c>
      <c r="M7" s="50" t="s">
        <v>11</v>
      </c>
      <c r="N7" s="50" t="s">
        <v>33</v>
      </c>
      <c r="O7" s="50" t="s">
        <v>35</v>
      </c>
      <c r="P7" s="50" t="s">
        <v>36</v>
      </c>
      <c r="Q7" s="86" t="s">
        <v>13</v>
      </c>
      <c r="R7" s="50" t="s">
        <v>9</v>
      </c>
      <c r="S7" s="54" t="s">
        <v>39</v>
      </c>
      <c r="T7" s="54" t="s">
        <v>40</v>
      </c>
      <c r="U7" s="52" t="s">
        <v>30</v>
      </c>
      <c r="V7" s="48" t="s">
        <v>312</v>
      </c>
      <c r="W7" s="48" t="s">
        <v>6</v>
      </c>
      <c r="X7" s="52" t="s">
        <v>3</v>
      </c>
      <c r="Y7" s="52" t="s">
        <v>56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46</v>
      </c>
      <c r="I8" s="52" t="s">
        <v>58</v>
      </c>
      <c r="J8" s="52" t="s">
        <v>28</v>
      </c>
      <c r="K8" s="54" t="s">
        <v>42</v>
      </c>
      <c r="L8" s="49" t="s">
        <v>32</v>
      </c>
      <c r="M8" s="49" t="s">
        <v>12</v>
      </c>
      <c r="N8" s="49" t="s">
        <v>34</v>
      </c>
      <c r="O8" s="49" t="s">
        <v>34</v>
      </c>
      <c r="P8" s="49" t="s">
        <v>37</v>
      </c>
      <c r="Q8" s="87" t="s">
        <v>14</v>
      </c>
      <c r="R8" s="49" t="s">
        <v>38</v>
      </c>
      <c r="S8" s="54" t="s">
        <v>18</v>
      </c>
      <c r="T8" s="55" t="s">
        <v>125</v>
      </c>
      <c r="U8" s="52" t="s">
        <v>51</v>
      </c>
      <c r="V8" s="52"/>
      <c r="W8" s="52" t="s">
        <v>43</v>
      </c>
      <c r="X8" s="52" t="s">
        <v>4</v>
      </c>
      <c r="Y8" s="56"/>
    </row>
    <row r="9" spans="1:25" s="4" customFormat="1" ht="39.75" customHeight="1" x14ac:dyDescent="0.25">
      <c r="A9" s="98"/>
      <c r="B9" s="124"/>
      <c r="C9" s="124"/>
      <c r="D9" s="124" t="s">
        <v>69</v>
      </c>
      <c r="E9" s="124" t="s">
        <v>60</v>
      </c>
      <c r="F9" s="124"/>
      <c r="G9" s="124"/>
      <c r="H9" s="125">
        <f>SUM(H10:H20)</f>
        <v>44362</v>
      </c>
      <c r="I9" s="125">
        <f>SUM(I10:I20)</f>
        <v>0</v>
      </c>
      <c r="J9" s="125">
        <f>SUM(J10:J20)</f>
        <v>44362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24.99</v>
      </c>
      <c r="V9" s="125">
        <f>SUM(V10:V20)</f>
        <v>2660.41</v>
      </c>
      <c r="W9" s="125">
        <f>SUM(W10:W20)</f>
        <v>2660.41</v>
      </c>
      <c r="X9" s="125">
        <f>SUM(X10:X20)</f>
        <v>41726.579999999994</v>
      </c>
      <c r="Y9" s="99"/>
    </row>
    <row r="10" spans="1:25" s="4" customFormat="1" ht="81" customHeight="1" x14ac:dyDescent="0.3">
      <c r="A10" s="43"/>
      <c r="B10" s="175" t="s">
        <v>181</v>
      </c>
      <c r="C10" s="175" t="s">
        <v>115</v>
      </c>
      <c r="D10" s="249" t="s">
        <v>176</v>
      </c>
      <c r="E10" s="177" t="s">
        <v>175</v>
      </c>
      <c r="F10" s="178">
        <v>15</v>
      </c>
      <c r="G10" s="179">
        <f>H10/F10</f>
        <v>265.66666666666669</v>
      </c>
      <c r="H10" s="180">
        <v>3985</v>
      </c>
      <c r="I10" s="181">
        <v>0</v>
      </c>
      <c r="J10" s="182">
        <f t="shared" ref="J10" si="0">SUM(H10:I10)</f>
        <v>3985</v>
      </c>
      <c r="K10" s="183">
        <f t="shared" ref="K10:K14" si="1">IF(H10/15&lt;=SMG,0,I10/2)</f>
        <v>0</v>
      </c>
      <c r="L10" s="183">
        <f>H10+K10</f>
        <v>3985</v>
      </c>
      <c r="M10" s="183">
        <f t="shared" ref="M10:M20" si="2">VLOOKUP(L10,Tarifa1,1)</f>
        <v>3124.36</v>
      </c>
      <c r="N10" s="183">
        <f>L10-M10</f>
        <v>860.63999999999987</v>
      </c>
      <c r="O10" s="184">
        <f t="shared" ref="O10:O20" si="3">VLOOKUP(L10,Tarifa1,3)</f>
        <v>0.10879999999999999</v>
      </c>
      <c r="P10" s="183">
        <f>N10*O10</f>
        <v>93.637631999999982</v>
      </c>
      <c r="Q10" s="185">
        <f t="shared" ref="Q10:Q20" si="4">VLOOKUP(L10,Tarifa1,2)</f>
        <v>183.45</v>
      </c>
      <c r="R10" s="183">
        <f>P10+Q10</f>
        <v>277.08763199999999</v>
      </c>
      <c r="S10" s="183">
        <f t="shared" ref="S10:S20" si="5">VLOOKUP(L10,Credito1,2)</f>
        <v>0</v>
      </c>
      <c r="T10" s="183">
        <f>ROUND(R10-S10,2)</f>
        <v>277.08999999999997</v>
      </c>
      <c r="U10" s="182">
        <f>-IF(T10&gt;0,0,T10)</f>
        <v>0</v>
      </c>
      <c r="V10" s="182">
        <f t="shared" ref="V10:V20" si="6">IF(H10/15&lt;=SMG,0,IF(T10&lt;0,0,T10))</f>
        <v>277.08999999999997</v>
      </c>
      <c r="W10" s="182">
        <f>SUM(V10:V10)</f>
        <v>277.08999999999997</v>
      </c>
      <c r="X10" s="182">
        <f>J10+U10-W10</f>
        <v>3707.91</v>
      </c>
      <c r="Y10" s="90"/>
    </row>
    <row r="11" spans="1:25" s="4" customFormat="1" ht="81" customHeight="1" x14ac:dyDescent="0.3">
      <c r="A11" s="43"/>
      <c r="B11" s="175" t="s">
        <v>103</v>
      </c>
      <c r="C11" s="175" t="s">
        <v>115</v>
      </c>
      <c r="D11" s="248" t="s">
        <v>70</v>
      </c>
      <c r="E11" s="176" t="s">
        <v>71</v>
      </c>
      <c r="F11" s="178">
        <v>15</v>
      </c>
      <c r="G11" s="179">
        <f>H11/F11</f>
        <v>265.66666666666669</v>
      </c>
      <c r="H11" s="180">
        <v>3985</v>
      </c>
      <c r="I11" s="181">
        <v>0</v>
      </c>
      <c r="J11" s="182">
        <f t="shared" ref="J11" si="7">SUM(H11:I11)</f>
        <v>3985</v>
      </c>
      <c r="K11" s="183">
        <f t="shared" si="1"/>
        <v>0</v>
      </c>
      <c r="L11" s="183">
        <f t="shared" ref="L11:L20" si="8">H11+K11</f>
        <v>3985</v>
      </c>
      <c r="M11" s="183">
        <f t="shared" si="2"/>
        <v>3124.36</v>
      </c>
      <c r="N11" s="183">
        <f t="shared" ref="N11:N20" si="9">L11-M11</f>
        <v>860.63999999999987</v>
      </c>
      <c r="O11" s="184">
        <f t="shared" si="3"/>
        <v>0.10879999999999999</v>
      </c>
      <c r="P11" s="183">
        <f t="shared" ref="P11:P20" si="10">N11*O11</f>
        <v>93.637631999999982</v>
      </c>
      <c r="Q11" s="185">
        <f t="shared" si="4"/>
        <v>183.45</v>
      </c>
      <c r="R11" s="183">
        <f t="shared" ref="R11:R20" si="11">P11+Q11</f>
        <v>277.08763199999999</v>
      </c>
      <c r="S11" s="183">
        <f t="shared" si="5"/>
        <v>0</v>
      </c>
      <c r="T11" s="183">
        <f t="shared" ref="T11:T20" si="12">ROUND(R11-S11,2)</f>
        <v>277.08999999999997</v>
      </c>
      <c r="U11" s="182">
        <f t="shared" ref="U11:U20" si="13">-IF(T11&gt;0,0,T11)</f>
        <v>0</v>
      </c>
      <c r="V11" s="182">
        <f t="shared" si="6"/>
        <v>277.08999999999997</v>
      </c>
      <c r="W11" s="182">
        <f>SUM(V11:V11)</f>
        <v>277.08999999999997</v>
      </c>
      <c r="X11" s="182">
        <f>J11+U11-W11</f>
        <v>3707.91</v>
      </c>
      <c r="Y11" s="90"/>
    </row>
    <row r="12" spans="1:25" s="4" customFormat="1" ht="81" customHeight="1" x14ac:dyDescent="0.3">
      <c r="A12" s="43"/>
      <c r="B12" s="175" t="s">
        <v>291</v>
      </c>
      <c r="C12" s="175" t="s">
        <v>115</v>
      </c>
      <c r="D12" s="248" t="s">
        <v>295</v>
      </c>
      <c r="E12" s="177" t="s">
        <v>175</v>
      </c>
      <c r="F12" s="178">
        <v>15</v>
      </c>
      <c r="G12" s="179"/>
      <c r="H12" s="180">
        <v>3985</v>
      </c>
      <c r="I12" s="181">
        <v>0</v>
      </c>
      <c r="J12" s="182">
        <f t="shared" ref="J12" si="14">SUM(H12:I12)</f>
        <v>3985</v>
      </c>
      <c r="K12" s="183">
        <f t="shared" si="1"/>
        <v>0</v>
      </c>
      <c r="L12" s="183">
        <f t="shared" si="8"/>
        <v>3985</v>
      </c>
      <c r="M12" s="183">
        <f t="shared" si="2"/>
        <v>3124.36</v>
      </c>
      <c r="N12" s="183">
        <f t="shared" si="9"/>
        <v>860.63999999999987</v>
      </c>
      <c r="O12" s="184">
        <f t="shared" si="3"/>
        <v>0.10879999999999999</v>
      </c>
      <c r="P12" s="183">
        <f t="shared" si="10"/>
        <v>93.637631999999982</v>
      </c>
      <c r="Q12" s="185">
        <f t="shared" si="4"/>
        <v>183.45</v>
      </c>
      <c r="R12" s="183">
        <f t="shared" si="11"/>
        <v>277.08763199999999</v>
      </c>
      <c r="S12" s="183">
        <f t="shared" si="5"/>
        <v>0</v>
      </c>
      <c r="T12" s="183">
        <f t="shared" si="12"/>
        <v>277.08999999999997</v>
      </c>
      <c r="U12" s="182">
        <f t="shared" si="13"/>
        <v>0</v>
      </c>
      <c r="V12" s="182">
        <f t="shared" si="6"/>
        <v>277.08999999999997</v>
      </c>
      <c r="W12" s="182">
        <f>SUM(V12:V12)</f>
        <v>277.08999999999997</v>
      </c>
      <c r="X12" s="182">
        <f>J12+U12-W12</f>
        <v>3707.91</v>
      </c>
      <c r="Y12" s="90"/>
    </row>
    <row r="13" spans="1:25" s="4" customFormat="1" ht="81" customHeight="1" x14ac:dyDescent="0.3">
      <c r="A13" s="43"/>
      <c r="B13" s="175" t="s">
        <v>132</v>
      </c>
      <c r="C13" s="175" t="s">
        <v>115</v>
      </c>
      <c r="D13" s="250" t="s">
        <v>131</v>
      </c>
      <c r="E13" s="177" t="s">
        <v>102</v>
      </c>
      <c r="F13" s="178">
        <v>15</v>
      </c>
      <c r="G13" s="179">
        <f>H13/F13</f>
        <v>297.8</v>
      </c>
      <c r="H13" s="180">
        <v>4467</v>
      </c>
      <c r="I13" s="181">
        <v>0</v>
      </c>
      <c r="J13" s="182">
        <f>SUM(H13:I13)</f>
        <v>4467</v>
      </c>
      <c r="K13" s="183">
        <f t="shared" si="1"/>
        <v>0</v>
      </c>
      <c r="L13" s="183">
        <f t="shared" si="8"/>
        <v>4467</v>
      </c>
      <c r="M13" s="183">
        <f t="shared" si="2"/>
        <v>3124.36</v>
      </c>
      <c r="N13" s="183">
        <f t="shared" si="9"/>
        <v>1342.6399999999999</v>
      </c>
      <c r="O13" s="184">
        <f t="shared" si="3"/>
        <v>0.10879999999999999</v>
      </c>
      <c r="P13" s="183">
        <f t="shared" si="10"/>
        <v>146.07923199999999</v>
      </c>
      <c r="Q13" s="185">
        <f t="shared" si="4"/>
        <v>183.45</v>
      </c>
      <c r="R13" s="183">
        <f t="shared" si="11"/>
        <v>329.52923199999998</v>
      </c>
      <c r="S13" s="183">
        <f t="shared" si="5"/>
        <v>0</v>
      </c>
      <c r="T13" s="183">
        <f t="shared" si="12"/>
        <v>329.53</v>
      </c>
      <c r="U13" s="182">
        <f t="shared" si="13"/>
        <v>0</v>
      </c>
      <c r="V13" s="182">
        <f t="shared" si="6"/>
        <v>329.53</v>
      </c>
      <c r="W13" s="182">
        <f>SUM(V13:V13)</f>
        <v>329.53</v>
      </c>
      <c r="X13" s="182">
        <f>J13+U13-W13</f>
        <v>4137.47</v>
      </c>
      <c r="Y13" s="90"/>
    </row>
    <row r="14" spans="1:25" s="4" customFormat="1" ht="81" customHeight="1" x14ac:dyDescent="0.3">
      <c r="A14" s="43"/>
      <c r="B14" s="175" t="s">
        <v>192</v>
      </c>
      <c r="C14" s="175" t="s">
        <v>115</v>
      </c>
      <c r="D14" s="254" t="s">
        <v>193</v>
      </c>
      <c r="E14" s="177" t="s">
        <v>260</v>
      </c>
      <c r="F14" s="178">
        <v>15</v>
      </c>
      <c r="G14" s="179"/>
      <c r="H14" s="180">
        <v>3403</v>
      </c>
      <c r="I14" s="181">
        <v>0</v>
      </c>
      <c r="J14" s="182">
        <f t="shared" ref="J14" si="15">SUM(H14:I14)</f>
        <v>3403</v>
      </c>
      <c r="K14" s="183">
        <f t="shared" si="1"/>
        <v>0</v>
      </c>
      <c r="L14" s="183">
        <f t="shared" si="8"/>
        <v>3403</v>
      </c>
      <c r="M14" s="183">
        <f t="shared" si="2"/>
        <v>3124.36</v>
      </c>
      <c r="N14" s="183">
        <f t="shared" si="9"/>
        <v>278.63999999999987</v>
      </c>
      <c r="O14" s="184">
        <f t="shared" si="3"/>
        <v>0.10879999999999999</v>
      </c>
      <c r="P14" s="183">
        <f t="shared" si="10"/>
        <v>30.316031999999986</v>
      </c>
      <c r="Q14" s="185">
        <f t="shared" si="4"/>
        <v>183.45</v>
      </c>
      <c r="R14" s="183">
        <f t="shared" si="11"/>
        <v>213.76603199999997</v>
      </c>
      <c r="S14" s="183">
        <f t="shared" si="5"/>
        <v>125.1</v>
      </c>
      <c r="T14" s="183">
        <f t="shared" si="12"/>
        <v>88.67</v>
      </c>
      <c r="U14" s="182">
        <f t="shared" si="13"/>
        <v>0</v>
      </c>
      <c r="V14" s="182">
        <f t="shared" si="6"/>
        <v>88.67</v>
      </c>
      <c r="W14" s="182">
        <f>SUM(V14:V14)</f>
        <v>88.67</v>
      </c>
      <c r="X14" s="182">
        <f>J14+U14-W14</f>
        <v>3314.33</v>
      </c>
      <c r="Y14" s="90"/>
    </row>
    <row r="15" spans="1:25" s="4" customFormat="1" ht="81" customHeight="1" x14ac:dyDescent="0.3">
      <c r="A15" s="43"/>
      <c r="B15" s="175" t="s">
        <v>261</v>
      </c>
      <c r="C15" s="175" t="s">
        <v>115</v>
      </c>
      <c r="D15" s="250" t="s">
        <v>263</v>
      </c>
      <c r="E15" s="177" t="s">
        <v>262</v>
      </c>
      <c r="F15" s="178">
        <v>15</v>
      </c>
      <c r="G15" s="179"/>
      <c r="H15" s="180">
        <v>2373</v>
      </c>
      <c r="I15" s="181">
        <v>0</v>
      </c>
      <c r="J15" s="182">
        <f>SUM(H15:I15)</f>
        <v>2373</v>
      </c>
      <c r="K15" s="183">
        <f>IF(H15/15&lt;=SMG,0,I15/2)</f>
        <v>0</v>
      </c>
      <c r="L15" s="183">
        <f t="shared" si="8"/>
        <v>2373</v>
      </c>
      <c r="M15" s="183">
        <f t="shared" si="2"/>
        <v>368.11</v>
      </c>
      <c r="N15" s="183">
        <f t="shared" si="9"/>
        <v>2004.8899999999999</v>
      </c>
      <c r="O15" s="184">
        <f t="shared" si="3"/>
        <v>6.4000000000000001E-2</v>
      </c>
      <c r="P15" s="183">
        <f t="shared" si="10"/>
        <v>128.31296</v>
      </c>
      <c r="Q15" s="185">
        <f t="shared" si="4"/>
        <v>7.05</v>
      </c>
      <c r="R15" s="183">
        <f t="shared" si="11"/>
        <v>135.36296000000002</v>
      </c>
      <c r="S15" s="183">
        <f t="shared" si="5"/>
        <v>160.35</v>
      </c>
      <c r="T15" s="183">
        <f t="shared" si="12"/>
        <v>-24.99</v>
      </c>
      <c r="U15" s="182">
        <f t="shared" si="13"/>
        <v>24.99</v>
      </c>
      <c r="V15" s="182">
        <f t="shared" si="6"/>
        <v>0</v>
      </c>
      <c r="W15" s="182">
        <f>SUM(V15:V15)</f>
        <v>0</v>
      </c>
      <c r="X15" s="182">
        <f>J15+U15-W15</f>
        <v>2397.9899999999998</v>
      </c>
      <c r="Y15" s="90"/>
    </row>
    <row r="16" spans="1:25" s="4" customFormat="1" ht="81" customHeight="1" x14ac:dyDescent="0.3">
      <c r="A16" s="43"/>
      <c r="B16" s="174" t="s">
        <v>230</v>
      </c>
      <c r="C16" s="175" t="s">
        <v>115</v>
      </c>
      <c r="D16" s="248" t="s">
        <v>249</v>
      </c>
      <c r="E16" s="176" t="s">
        <v>72</v>
      </c>
      <c r="F16" s="178">
        <v>15</v>
      </c>
      <c r="G16" s="179">
        <f>H16/F16</f>
        <v>497.6</v>
      </c>
      <c r="H16" s="180">
        <v>7464</v>
      </c>
      <c r="I16" s="181">
        <v>0</v>
      </c>
      <c r="J16" s="182">
        <f t="shared" ref="J16" si="16">SUM(H16:I16)</f>
        <v>7464</v>
      </c>
      <c r="K16" s="183">
        <f t="shared" ref="K16" si="17">IF(H16/15&lt;=SMG,0,I16/2)</f>
        <v>0</v>
      </c>
      <c r="L16" s="183">
        <f t="shared" si="8"/>
        <v>7464</v>
      </c>
      <c r="M16" s="183">
        <f t="shared" si="2"/>
        <v>6382.81</v>
      </c>
      <c r="N16" s="183">
        <f t="shared" si="9"/>
        <v>1081.1899999999996</v>
      </c>
      <c r="O16" s="184">
        <f t="shared" si="3"/>
        <v>0.1792</v>
      </c>
      <c r="P16" s="183">
        <f t="shared" si="10"/>
        <v>193.74924799999994</v>
      </c>
      <c r="Q16" s="185">
        <f t="shared" si="4"/>
        <v>583.65</v>
      </c>
      <c r="R16" s="183">
        <f t="shared" si="11"/>
        <v>777.39924799999994</v>
      </c>
      <c r="S16" s="183">
        <f t="shared" si="5"/>
        <v>0</v>
      </c>
      <c r="T16" s="183">
        <f t="shared" si="12"/>
        <v>777.4</v>
      </c>
      <c r="U16" s="182">
        <f t="shared" si="13"/>
        <v>0</v>
      </c>
      <c r="V16" s="182">
        <f t="shared" si="6"/>
        <v>777.4</v>
      </c>
      <c r="W16" s="182">
        <f>SUM(V16:V16)</f>
        <v>777.4</v>
      </c>
      <c r="X16" s="182">
        <f>J16+U16-W16</f>
        <v>6686.6</v>
      </c>
      <c r="Y16" s="90"/>
    </row>
    <row r="17" spans="1:31" s="4" customFormat="1" ht="81" customHeight="1" x14ac:dyDescent="0.3">
      <c r="A17" s="43"/>
      <c r="B17" s="174" t="s">
        <v>231</v>
      </c>
      <c r="C17" s="175" t="s">
        <v>115</v>
      </c>
      <c r="D17" s="248" t="s">
        <v>248</v>
      </c>
      <c r="E17" s="177" t="s">
        <v>174</v>
      </c>
      <c r="F17" s="178">
        <v>15</v>
      </c>
      <c r="G17" s="179"/>
      <c r="H17" s="180">
        <v>4241</v>
      </c>
      <c r="I17" s="181">
        <v>0</v>
      </c>
      <c r="J17" s="182">
        <f>SUM(H17:I17)</f>
        <v>4241</v>
      </c>
      <c r="K17" s="183">
        <f>IF(H17/15&lt;=SMG,0,I17/2)</f>
        <v>0</v>
      </c>
      <c r="L17" s="183">
        <f t="shared" si="8"/>
        <v>4241</v>
      </c>
      <c r="M17" s="183">
        <f t="shared" si="2"/>
        <v>3124.36</v>
      </c>
      <c r="N17" s="183">
        <f t="shared" si="9"/>
        <v>1116.6399999999999</v>
      </c>
      <c r="O17" s="184">
        <f t="shared" si="3"/>
        <v>0.10879999999999999</v>
      </c>
      <c r="P17" s="183">
        <f t="shared" si="10"/>
        <v>121.49043199999998</v>
      </c>
      <c r="Q17" s="185">
        <f t="shared" si="4"/>
        <v>183.45</v>
      </c>
      <c r="R17" s="183">
        <f t="shared" si="11"/>
        <v>304.94043199999999</v>
      </c>
      <c r="S17" s="183">
        <f t="shared" si="5"/>
        <v>0</v>
      </c>
      <c r="T17" s="183">
        <f t="shared" si="12"/>
        <v>304.94</v>
      </c>
      <c r="U17" s="182">
        <f t="shared" si="13"/>
        <v>0</v>
      </c>
      <c r="V17" s="182">
        <f t="shared" si="6"/>
        <v>304.94</v>
      </c>
      <c r="W17" s="182">
        <f>SUM(V17:V17)</f>
        <v>304.94</v>
      </c>
      <c r="X17" s="182">
        <f>J17+U17-W17</f>
        <v>3936.06</v>
      </c>
      <c r="Y17" s="90"/>
    </row>
    <row r="18" spans="1:31" s="4" customFormat="1" ht="81" customHeight="1" x14ac:dyDescent="0.3">
      <c r="A18" s="119"/>
      <c r="B18" s="174" t="s">
        <v>202</v>
      </c>
      <c r="C18" s="175" t="s">
        <v>115</v>
      </c>
      <c r="D18" s="248" t="s">
        <v>81</v>
      </c>
      <c r="E18" s="177" t="s">
        <v>187</v>
      </c>
      <c r="F18" s="178">
        <v>15</v>
      </c>
      <c r="G18" s="179">
        <f>H18/F18</f>
        <v>214.73333333333332</v>
      </c>
      <c r="H18" s="180">
        <v>3221</v>
      </c>
      <c r="I18" s="181">
        <v>0</v>
      </c>
      <c r="J18" s="182">
        <f>SUM(H18:I18)</f>
        <v>3221</v>
      </c>
      <c r="K18" s="183">
        <f>IF(H18/15&lt;=SMG,0,I18/2)</f>
        <v>0</v>
      </c>
      <c r="L18" s="183">
        <f t="shared" si="8"/>
        <v>3221</v>
      </c>
      <c r="M18" s="183">
        <f t="shared" si="2"/>
        <v>3124.36</v>
      </c>
      <c r="N18" s="183">
        <f t="shared" si="9"/>
        <v>96.639999999999873</v>
      </c>
      <c r="O18" s="184">
        <f t="shared" si="3"/>
        <v>0.10879999999999999</v>
      </c>
      <c r="P18" s="183">
        <f t="shared" si="10"/>
        <v>10.514431999999985</v>
      </c>
      <c r="Q18" s="185">
        <f t="shared" si="4"/>
        <v>183.45</v>
      </c>
      <c r="R18" s="183">
        <f t="shared" si="11"/>
        <v>193.96443199999999</v>
      </c>
      <c r="S18" s="183">
        <f t="shared" si="5"/>
        <v>125.1</v>
      </c>
      <c r="T18" s="183">
        <f t="shared" si="12"/>
        <v>68.86</v>
      </c>
      <c r="U18" s="182">
        <f t="shared" si="13"/>
        <v>0</v>
      </c>
      <c r="V18" s="182">
        <f t="shared" si="6"/>
        <v>68.86</v>
      </c>
      <c r="W18" s="182">
        <f>SUM(V18:V18)</f>
        <v>68.86</v>
      </c>
      <c r="X18" s="182">
        <f>J18+U18-W18</f>
        <v>3152.14</v>
      </c>
      <c r="Y18" s="90"/>
      <c r="Z18" s="88"/>
    </row>
    <row r="19" spans="1:31" s="4" customFormat="1" ht="81" customHeight="1" x14ac:dyDescent="0.3">
      <c r="A19" s="119"/>
      <c r="B19" s="174" t="s">
        <v>232</v>
      </c>
      <c r="C19" s="175" t="s">
        <v>115</v>
      </c>
      <c r="D19" s="248" t="s">
        <v>244</v>
      </c>
      <c r="E19" s="177" t="s">
        <v>144</v>
      </c>
      <c r="F19" s="178">
        <v>15</v>
      </c>
      <c r="G19" s="179"/>
      <c r="H19" s="180">
        <v>3619</v>
      </c>
      <c r="I19" s="181">
        <v>0</v>
      </c>
      <c r="J19" s="182">
        <f t="shared" ref="J19" si="18">SUM(H19:I19)</f>
        <v>3619</v>
      </c>
      <c r="K19" s="183">
        <f t="shared" ref="K19" si="19">IF(H19/15&lt;=SMG,0,I19/2)</f>
        <v>0</v>
      </c>
      <c r="L19" s="183">
        <f t="shared" si="8"/>
        <v>3619</v>
      </c>
      <c r="M19" s="183">
        <f t="shared" si="2"/>
        <v>3124.36</v>
      </c>
      <c r="N19" s="183">
        <f t="shared" si="9"/>
        <v>494.63999999999987</v>
      </c>
      <c r="O19" s="184">
        <f t="shared" si="3"/>
        <v>0.10879999999999999</v>
      </c>
      <c r="P19" s="183">
        <f t="shared" si="10"/>
        <v>53.816831999999984</v>
      </c>
      <c r="Q19" s="185">
        <f t="shared" si="4"/>
        <v>183.45</v>
      </c>
      <c r="R19" s="183">
        <f t="shared" si="11"/>
        <v>237.26683199999997</v>
      </c>
      <c r="S19" s="183">
        <f t="shared" si="5"/>
        <v>107.4</v>
      </c>
      <c r="T19" s="183">
        <f t="shared" si="12"/>
        <v>129.87</v>
      </c>
      <c r="U19" s="182">
        <f t="shared" si="13"/>
        <v>0</v>
      </c>
      <c r="V19" s="182">
        <f t="shared" si="6"/>
        <v>129.87</v>
      </c>
      <c r="W19" s="182">
        <f>SUM(V19:V19)</f>
        <v>129.87</v>
      </c>
      <c r="X19" s="182">
        <f>J19+U19-W19</f>
        <v>3489.13</v>
      </c>
      <c r="Y19" s="90"/>
      <c r="Z19" s="88"/>
    </row>
    <row r="20" spans="1:31" s="4" customFormat="1" ht="81" customHeight="1" x14ac:dyDescent="0.3">
      <c r="A20" s="119"/>
      <c r="B20" s="174" t="s">
        <v>265</v>
      </c>
      <c r="C20" s="175" t="s">
        <v>115</v>
      </c>
      <c r="D20" s="248" t="s">
        <v>246</v>
      </c>
      <c r="E20" s="177" t="s">
        <v>144</v>
      </c>
      <c r="F20" s="178">
        <v>15</v>
      </c>
      <c r="G20" s="179"/>
      <c r="H20" s="180">
        <v>3619</v>
      </c>
      <c r="I20" s="181">
        <v>0</v>
      </c>
      <c r="J20" s="182">
        <f>SUM(H20:I20)</f>
        <v>3619</v>
      </c>
      <c r="K20" s="183">
        <f>IF(H20/15&lt;=SMG,0,I20/2)</f>
        <v>0</v>
      </c>
      <c r="L20" s="183">
        <f t="shared" si="8"/>
        <v>3619</v>
      </c>
      <c r="M20" s="183">
        <f t="shared" si="2"/>
        <v>3124.36</v>
      </c>
      <c r="N20" s="183">
        <f t="shared" si="9"/>
        <v>494.63999999999987</v>
      </c>
      <c r="O20" s="184">
        <f t="shared" si="3"/>
        <v>0.10879999999999999</v>
      </c>
      <c r="P20" s="183">
        <f t="shared" si="10"/>
        <v>53.816831999999984</v>
      </c>
      <c r="Q20" s="185">
        <f t="shared" si="4"/>
        <v>183.45</v>
      </c>
      <c r="R20" s="183">
        <f t="shared" si="11"/>
        <v>237.26683199999997</v>
      </c>
      <c r="S20" s="183">
        <f t="shared" si="5"/>
        <v>107.4</v>
      </c>
      <c r="T20" s="183">
        <f t="shared" si="12"/>
        <v>129.87</v>
      </c>
      <c r="U20" s="182">
        <f t="shared" si="13"/>
        <v>0</v>
      </c>
      <c r="V20" s="182">
        <f t="shared" si="6"/>
        <v>129.87</v>
      </c>
      <c r="W20" s="182">
        <f>SUM(V20:V20)</f>
        <v>129.87</v>
      </c>
      <c r="X20" s="182">
        <f>J20+U20-W20</f>
        <v>3489.13</v>
      </c>
      <c r="Y20" s="90"/>
      <c r="Z20" s="88"/>
    </row>
    <row r="21" spans="1:31" s="4" customFormat="1" ht="75" customHeight="1" x14ac:dyDescent="0.2">
      <c r="A21" s="119"/>
      <c r="B21" s="158"/>
      <c r="C21" s="119"/>
      <c r="D21" s="169"/>
      <c r="E21" s="169"/>
      <c r="F21" s="159"/>
      <c r="G21" s="160"/>
      <c r="H21" s="161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Z21" s="88"/>
    </row>
    <row r="22" spans="1:31" s="4" customFormat="1" ht="24" customHeight="1" x14ac:dyDescent="0.25">
      <c r="A22" s="119"/>
      <c r="B22" s="278" t="s">
        <v>78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31" s="4" customFormat="1" ht="24" customHeight="1" x14ac:dyDescent="0.25">
      <c r="A23" s="119"/>
      <c r="B23" s="278" t="s">
        <v>63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31" s="4" customFormat="1" ht="25.5" customHeight="1" x14ac:dyDescent="0.25">
      <c r="A24" s="119"/>
      <c r="B24" s="269" t="s">
        <v>316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31" s="4" customFormat="1" ht="24" customHeight="1" x14ac:dyDescent="0.2">
      <c r="A25" s="119"/>
      <c r="B25" s="158"/>
      <c r="C25" s="119"/>
      <c r="D25" s="169"/>
      <c r="E25" s="169"/>
      <c r="F25" s="159"/>
      <c r="G25" s="160"/>
      <c r="H25" s="161"/>
      <c r="I25" s="162"/>
      <c r="J25" s="163"/>
      <c r="K25" s="164"/>
      <c r="L25" s="164"/>
      <c r="M25" s="164"/>
      <c r="N25" s="164"/>
      <c r="O25" s="165"/>
      <c r="P25" s="164"/>
      <c r="Q25" s="166"/>
      <c r="R25" s="164"/>
      <c r="S25" s="167"/>
      <c r="T25" s="164"/>
      <c r="U25" s="163"/>
      <c r="V25" s="163"/>
      <c r="W25" s="163"/>
      <c r="X25" s="163"/>
      <c r="Z25" s="88"/>
    </row>
    <row r="26" spans="1:31" s="4" customFormat="1" ht="21.75" customHeight="1" x14ac:dyDescent="0.2">
      <c r="A26" s="119"/>
      <c r="B26" s="158"/>
      <c r="C26" s="119"/>
      <c r="D26" s="169"/>
      <c r="E26" s="169"/>
      <c r="F26" s="159"/>
      <c r="G26" s="160"/>
      <c r="H26" s="161"/>
      <c r="I26" s="162"/>
      <c r="J26" s="163"/>
      <c r="K26" s="164"/>
      <c r="L26" s="164"/>
      <c r="M26" s="164"/>
      <c r="N26" s="164"/>
      <c r="O26" s="165"/>
      <c r="P26" s="164"/>
      <c r="Q26" s="166"/>
      <c r="R26" s="164"/>
      <c r="S26" s="167"/>
      <c r="T26" s="164"/>
      <c r="U26" s="163"/>
      <c r="V26" s="163"/>
      <c r="W26" s="163"/>
      <c r="X26" s="163"/>
      <c r="Z26" s="88"/>
    </row>
    <row r="27" spans="1:31" s="4" customFormat="1" ht="57.75" customHeight="1" x14ac:dyDescent="0.25">
      <c r="A27" s="114"/>
      <c r="B27" s="123" t="s">
        <v>101</v>
      </c>
      <c r="C27" s="123" t="s">
        <v>124</v>
      </c>
      <c r="D27" s="124" t="s">
        <v>123</v>
      </c>
      <c r="E27" s="124" t="s">
        <v>60</v>
      </c>
      <c r="F27" s="124"/>
      <c r="G27" s="124"/>
      <c r="H27" s="125">
        <f>SUM(H28:H29)</f>
        <v>9794</v>
      </c>
      <c r="I27" s="125">
        <f>SUM(I28:I29)</f>
        <v>0</v>
      </c>
      <c r="J27" s="125">
        <f>SUM(J28:J29)</f>
        <v>9794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752.63</v>
      </c>
      <c r="W27" s="125">
        <f>SUM(W28:W29)</f>
        <v>752.63</v>
      </c>
      <c r="X27" s="125">
        <f>SUM(X28:X29)</f>
        <v>9041.369999999999</v>
      </c>
      <c r="Y27" s="99"/>
    </row>
    <row r="28" spans="1:31" s="4" customFormat="1" ht="99.75" customHeight="1" x14ac:dyDescent="0.3">
      <c r="A28" s="116" t="s">
        <v>84</v>
      </c>
      <c r="B28" s="174" t="s">
        <v>160</v>
      </c>
      <c r="C28" s="175" t="s">
        <v>115</v>
      </c>
      <c r="D28" s="248" t="s">
        <v>146</v>
      </c>
      <c r="E28" s="177" t="s">
        <v>145</v>
      </c>
      <c r="F28" s="178">
        <v>15</v>
      </c>
      <c r="G28" s="179">
        <f>H28/F28</f>
        <v>342.73333333333335</v>
      </c>
      <c r="H28" s="180">
        <v>5141</v>
      </c>
      <c r="I28" s="181">
        <v>0</v>
      </c>
      <c r="J28" s="182">
        <f>SUM(H28:I28)</f>
        <v>5141</v>
      </c>
      <c r="K28" s="183">
        <f>IF(H28/15&lt;=SMG,0,I28/2)</f>
        <v>0</v>
      </c>
      <c r="L28" s="183">
        <f t="shared" ref="L28:L29" si="20">H28+K28</f>
        <v>5141</v>
      </c>
      <c r="M28" s="183">
        <f>VLOOKUP(L28,Tarifa1,1)</f>
        <v>3124.36</v>
      </c>
      <c r="N28" s="183">
        <f t="shared" ref="N28:N29" si="21">L28-M28</f>
        <v>2016.6399999999999</v>
      </c>
      <c r="O28" s="184">
        <f>VLOOKUP(L28,Tarifa1,3)</f>
        <v>0.10879999999999999</v>
      </c>
      <c r="P28" s="183">
        <f t="shared" ref="P28:P29" si="22">N28*O28</f>
        <v>219.41043199999999</v>
      </c>
      <c r="Q28" s="185">
        <f>VLOOKUP(L28,Tarifa1,2)</f>
        <v>183.45</v>
      </c>
      <c r="R28" s="183">
        <f t="shared" ref="R28:R29" si="23">P28+Q28</f>
        <v>402.86043199999995</v>
      </c>
      <c r="S28" s="183">
        <f>VLOOKUP(L28,Credito1,2)</f>
        <v>0</v>
      </c>
      <c r="T28" s="183">
        <f t="shared" ref="T28:T29" si="24">ROUND(R28-S28,2)</f>
        <v>402.86</v>
      </c>
      <c r="U28" s="182">
        <f t="shared" ref="U28:U29" si="25">-IF(T28&gt;0,0,T28)</f>
        <v>0</v>
      </c>
      <c r="V28" s="182">
        <f>IF(H28/15&lt;=SMG,0,IF(T28&lt;0,0,T28))</f>
        <v>402.86</v>
      </c>
      <c r="W28" s="182">
        <f>SUM(V28:V28)</f>
        <v>402.86</v>
      </c>
      <c r="X28" s="182">
        <f>J28+U28-W28</f>
        <v>4738.1400000000003</v>
      </c>
      <c r="Y28" s="90"/>
      <c r="AE28" s="95"/>
    </row>
    <row r="29" spans="1:31" s="4" customFormat="1" ht="99.75" customHeight="1" x14ac:dyDescent="0.3">
      <c r="A29" s="116"/>
      <c r="B29" s="174" t="s">
        <v>182</v>
      </c>
      <c r="C29" s="175" t="s">
        <v>115</v>
      </c>
      <c r="D29" s="248" t="s">
        <v>172</v>
      </c>
      <c r="E29" s="177" t="s">
        <v>173</v>
      </c>
      <c r="F29" s="178">
        <v>15</v>
      </c>
      <c r="G29" s="179"/>
      <c r="H29" s="180">
        <v>4653</v>
      </c>
      <c r="I29" s="181">
        <v>0</v>
      </c>
      <c r="J29" s="182">
        <f>SUM(H29:I29)</f>
        <v>4653</v>
      </c>
      <c r="K29" s="183">
        <f>IF(H29/15&lt;=SMG,0,I29/2)</f>
        <v>0</v>
      </c>
      <c r="L29" s="183">
        <f t="shared" si="20"/>
        <v>4653</v>
      </c>
      <c r="M29" s="183">
        <f>VLOOKUP(L29,Tarifa1,1)</f>
        <v>3124.36</v>
      </c>
      <c r="N29" s="183">
        <f t="shared" si="21"/>
        <v>1528.6399999999999</v>
      </c>
      <c r="O29" s="184">
        <f>VLOOKUP(L29,Tarifa1,3)</f>
        <v>0.10879999999999999</v>
      </c>
      <c r="P29" s="183">
        <f t="shared" si="22"/>
        <v>166.31603199999998</v>
      </c>
      <c r="Q29" s="185">
        <f>VLOOKUP(L29,Tarifa1,2)</f>
        <v>183.45</v>
      </c>
      <c r="R29" s="183">
        <f t="shared" si="23"/>
        <v>349.766032</v>
      </c>
      <c r="S29" s="183">
        <f>VLOOKUP(L29,Credito1,2)</f>
        <v>0</v>
      </c>
      <c r="T29" s="183">
        <f t="shared" si="24"/>
        <v>349.77</v>
      </c>
      <c r="U29" s="182">
        <f t="shared" si="25"/>
        <v>0</v>
      </c>
      <c r="V29" s="182">
        <f>IF(H29/15&lt;=SMG,0,IF(T29&lt;0,0,T29))</f>
        <v>349.77</v>
      </c>
      <c r="W29" s="182">
        <f>SUM(V29:V29)</f>
        <v>349.77</v>
      </c>
      <c r="X29" s="182">
        <f>J29+U29-W29</f>
        <v>4303.2299999999996</v>
      </c>
      <c r="Y29" s="90"/>
      <c r="AE29" s="95"/>
    </row>
    <row r="30" spans="1:31" s="4" customFormat="1" ht="27.75" customHeight="1" x14ac:dyDescent="0.25">
      <c r="A30" s="203"/>
      <c r="B30" s="203"/>
      <c r="C30" s="203"/>
      <c r="D30" s="203"/>
      <c r="E30" s="203"/>
      <c r="F30" s="203"/>
      <c r="G30" s="203"/>
      <c r="H30" s="209"/>
      <c r="I30" s="209"/>
      <c r="J30" s="209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</row>
    <row r="31" spans="1:31" s="4" customFormat="1" ht="75" customHeight="1" thickBot="1" x14ac:dyDescent="0.3">
      <c r="A31" s="265" t="s">
        <v>44</v>
      </c>
      <c r="B31" s="266"/>
      <c r="C31" s="266"/>
      <c r="D31" s="266"/>
      <c r="E31" s="266"/>
      <c r="F31" s="266"/>
      <c r="G31" s="267"/>
      <c r="H31" s="186">
        <f>H9+H27</f>
        <v>54156</v>
      </c>
      <c r="I31" s="186">
        <f>I9+I27</f>
        <v>0</v>
      </c>
      <c r="J31" s="186">
        <f>J9+J27</f>
        <v>54156</v>
      </c>
      <c r="K31" s="187">
        <f t="shared" ref="K31:T31" si="26">SUM(K10:K30)</f>
        <v>0</v>
      </c>
      <c r="L31" s="187">
        <f t="shared" si="26"/>
        <v>54156</v>
      </c>
      <c r="M31" s="187">
        <f t="shared" si="26"/>
        <v>41118.880000000005</v>
      </c>
      <c r="N31" s="187">
        <f t="shared" si="26"/>
        <v>13037.119999999995</v>
      </c>
      <c r="O31" s="187">
        <f t="shared" si="26"/>
        <v>1.44</v>
      </c>
      <c r="P31" s="187">
        <f t="shared" si="26"/>
        <v>1404.7353599999997</v>
      </c>
      <c r="Q31" s="187">
        <f t="shared" si="26"/>
        <v>2608.6499999999992</v>
      </c>
      <c r="R31" s="187">
        <f t="shared" si="26"/>
        <v>4013.3853599999993</v>
      </c>
      <c r="S31" s="187">
        <f t="shared" si="26"/>
        <v>625.34999999999991</v>
      </c>
      <c r="T31" s="187">
        <f t="shared" si="26"/>
        <v>3388.05</v>
      </c>
      <c r="U31" s="186">
        <f>U9+U27</f>
        <v>24.99</v>
      </c>
      <c r="V31" s="186">
        <f>V9+V27</f>
        <v>3413.04</v>
      </c>
      <c r="W31" s="186">
        <f>W9+W27</f>
        <v>3413.04</v>
      </c>
      <c r="X31" s="186">
        <f>X9+X27</f>
        <v>50767.95</v>
      </c>
    </row>
    <row r="32" spans="1:31" s="4" customFormat="1" ht="18" customHeight="1" thickTop="1" x14ac:dyDescent="0.25">
      <c r="A32" s="170"/>
      <c r="B32" s="170"/>
      <c r="C32" s="170"/>
      <c r="D32" s="170"/>
      <c r="E32" s="170"/>
      <c r="F32" s="170"/>
      <c r="G32" s="170"/>
      <c r="H32" s="171"/>
      <c r="I32" s="171"/>
      <c r="J32" s="171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1"/>
      <c r="V32" s="171"/>
      <c r="W32" s="171"/>
      <c r="X32" s="171"/>
    </row>
    <row r="33" spans="1:24" s="4" customFormat="1" ht="18" customHeight="1" x14ac:dyDescent="0.25">
      <c r="A33" s="170"/>
      <c r="B33" s="170"/>
      <c r="C33" s="170"/>
      <c r="D33" s="170"/>
      <c r="E33" s="170"/>
      <c r="F33" s="170"/>
      <c r="G33" s="170"/>
      <c r="H33" s="171"/>
      <c r="I33" s="171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1"/>
      <c r="V33" s="171"/>
      <c r="W33" s="171"/>
      <c r="X33" s="171"/>
    </row>
    <row r="34" spans="1:24" s="4" customFormat="1" ht="18" customHeight="1" x14ac:dyDescent="0.25">
      <c r="A34" s="170"/>
      <c r="B34" s="170"/>
      <c r="C34" s="170"/>
      <c r="D34" s="170"/>
      <c r="E34" s="170"/>
      <c r="F34" s="170"/>
      <c r="G34" s="170"/>
      <c r="H34" s="171"/>
      <c r="I34" s="171"/>
      <c r="J34" s="171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1"/>
      <c r="V34" s="171"/>
      <c r="W34" s="171"/>
      <c r="X34" s="171"/>
    </row>
    <row r="35" spans="1:24" s="4" customFormat="1" ht="18" customHeight="1" x14ac:dyDescent="0.25">
      <c r="A35" s="170"/>
      <c r="B35" s="170"/>
      <c r="C35" s="170"/>
      <c r="D35" s="170"/>
      <c r="E35" s="170"/>
      <c r="F35" s="170"/>
      <c r="G35" s="170"/>
      <c r="H35" s="171"/>
      <c r="I35" s="171"/>
      <c r="J35" s="171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1"/>
      <c r="V35" s="171"/>
      <c r="W35" s="171"/>
      <c r="X35" s="171"/>
    </row>
    <row r="36" spans="1:24" s="4" customFormat="1" ht="18" customHeight="1" x14ac:dyDescent="0.25">
      <c r="A36" s="170"/>
      <c r="B36" s="170"/>
      <c r="C36" s="170"/>
      <c r="D36" s="170"/>
      <c r="E36" s="170"/>
      <c r="F36" s="170"/>
      <c r="G36" s="170"/>
      <c r="H36" s="171"/>
      <c r="I36" s="171"/>
      <c r="J36" s="171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1"/>
      <c r="V36" s="171"/>
      <c r="W36" s="171"/>
      <c r="X36" s="171"/>
    </row>
    <row r="37" spans="1:24" s="4" customFormat="1" x14ac:dyDescent="0.2"/>
    <row r="38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4"/>
  <sheetViews>
    <sheetView topLeftCell="B33" zoomScale="57" zoomScaleNormal="57" workbookViewId="0">
      <selection activeCell="W3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2" width="14.7109375" hidden="1" customWidth="1"/>
    <col min="13" max="13" width="15.5703125" hidden="1" customWidth="1"/>
    <col min="14" max="14" width="14.5703125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31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31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7" t="s">
        <v>124</v>
      </c>
      <c r="D5" s="47"/>
      <c r="E5" s="47"/>
      <c r="F5" s="48" t="s">
        <v>22</v>
      </c>
      <c r="G5" s="48" t="s">
        <v>5</v>
      </c>
      <c r="H5" s="290" t="s">
        <v>1</v>
      </c>
      <c r="I5" s="291"/>
      <c r="J5" s="292"/>
      <c r="K5" s="49" t="s">
        <v>25</v>
      </c>
      <c r="L5" s="50"/>
      <c r="M5" s="293" t="s">
        <v>8</v>
      </c>
      <c r="N5" s="294"/>
      <c r="O5" s="294"/>
      <c r="P5" s="294"/>
      <c r="Q5" s="294"/>
      <c r="R5" s="295"/>
      <c r="S5" s="49" t="s">
        <v>29</v>
      </c>
      <c r="T5" s="49" t="s">
        <v>9</v>
      </c>
      <c r="U5" s="48" t="s">
        <v>52</v>
      </c>
      <c r="V5" s="296" t="s">
        <v>2</v>
      </c>
      <c r="W5" s="297"/>
      <c r="X5" s="48" t="s">
        <v>0</v>
      </c>
      <c r="Y5" s="47"/>
    </row>
    <row r="6" spans="1:31" s="51" customFormat="1" ht="24" x14ac:dyDescent="0.2">
      <c r="A6" s="52" t="s">
        <v>20</v>
      </c>
      <c r="B6" s="46" t="s">
        <v>101</v>
      </c>
      <c r="C6" s="288"/>
      <c r="D6" s="52" t="s">
        <v>21</v>
      </c>
      <c r="E6" s="52"/>
      <c r="F6" s="53" t="s">
        <v>23</v>
      </c>
      <c r="G6" s="52" t="s">
        <v>24</v>
      </c>
      <c r="H6" s="48" t="s">
        <v>5</v>
      </c>
      <c r="I6" s="48" t="s">
        <v>57</v>
      </c>
      <c r="J6" s="48" t="s">
        <v>27</v>
      </c>
      <c r="K6" s="54" t="s">
        <v>26</v>
      </c>
      <c r="L6" s="50" t="s">
        <v>31</v>
      </c>
      <c r="M6" s="50" t="s">
        <v>11</v>
      </c>
      <c r="N6" s="50" t="s">
        <v>33</v>
      </c>
      <c r="O6" s="50" t="s">
        <v>35</v>
      </c>
      <c r="P6" s="50" t="s">
        <v>36</v>
      </c>
      <c r="Q6" s="86" t="s">
        <v>13</v>
      </c>
      <c r="R6" s="50" t="s">
        <v>9</v>
      </c>
      <c r="S6" s="54" t="s">
        <v>39</v>
      </c>
      <c r="T6" s="54" t="s">
        <v>40</v>
      </c>
      <c r="U6" s="52" t="s">
        <v>30</v>
      </c>
      <c r="V6" s="48" t="s">
        <v>312</v>
      </c>
      <c r="W6" s="48" t="s">
        <v>6</v>
      </c>
      <c r="X6" s="52" t="s">
        <v>3</v>
      </c>
      <c r="Y6" s="52" t="s">
        <v>56</v>
      </c>
    </row>
    <row r="7" spans="1:31" s="51" customFormat="1" ht="12" x14ac:dyDescent="0.2">
      <c r="A7" s="52"/>
      <c r="B7" s="52"/>
      <c r="C7" s="289"/>
      <c r="D7" s="52"/>
      <c r="E7" s="52"/>
      <c r="F7" s="52"/>
      <c r="G7" s="52"/>
      <c r="H7" s="52" t="s">
        <v>46</v>
      </c>
      <c r="I7" s="52" t="s">
        <v>58</v>
      </c>
      <c r="J7" s="52" t="s">
        <v>28</v>
      </c>
      <c r="K7" s="54" t="s">
        <v>42</v>
      </c>
      <c r="L7" s="49" t="s">
        <v>32</v>
      </c>
      <c r="M7" s="49" t="s">
        <v>12</v>
      </c>
      <c r="N7" s="49" t="s">
        <v>34</v>
      </c>
      <c r="O7" s="49" t="s">
        <v>34</v>
      </c>
      <c r="P7" s="49" t="s">
        <v>37</v>
      </c>
      <c r="Q7" s="87" t="s">
        <v>14</v>
      </c>
      <c r="R7" s="49" t="s">
        <v>38</v>
      </c>
      <c r="S7" s="54" t="s">
        <v>18</v>
      </c>
      <c r="T7" s="55" t="s">
        <v>125</v>
      </c>
      <c r="U7" s="52" t="s">
        <v>51</v>
      </c>
      <c r="V7" s="52"/>
      <c r="W7" s="52" t="s">
        <v>43</v>
      </c>
      <c r="X7" s="52" t="s">
        <v>4</v>
      </c>
      <c r="Y7" s="56"/>
    </row>
    <row r="8" spans="1:31" s="51" customFormat="1" ht="84.95" customHeight="1" x14ac:dyDescent="0.25">
      <c r="A8" s="37"/>
      <c r="B8" s="103" t="s">
        <v>101</v>
      </c>
      <c r="C8" s="103" t="s">
        <v>124</v>
      </c>
      <c r="D8" s="37" t="s">
        <v>150</v>
      </c>
      <c r="E8" s="37" t="s">
        <v>60</v>
      </c>
      <c r="F8" s="37"/>
      <c r="G8" s="37"/>
      <c r="H8" s="100">
        <f>SUM(H9:H9)</f>
        <v>7013</v>
      </c>
      <c r="I8" s="100">
        <f>SUM(I9:I9)</f>
        <v>0</v>
      </c>
      <c r="J8" s="100">
        <f>SUM(J9:J9)</f>
        <v>7013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696.58</v>
      </c>
      <c r="W8" s="100">
        <f>SUM(W9:W9)</f>
        <v>696.58</v>
      </c>
      <c r="X8" s="100">
        <f>SUM(X9:X9)</f>
        <v>6316.42</v>
      </c>
      <c r="Y8" s="102"/>
    </row>
    <row r="9" spans="1:31" s="51" customFormat="1" ht="91.5" customHeight="1" x14ac:dyDescent="0.3">
      <c r="A9" s="37"/>
      <c r="B9" s="210">
        <v>275</v>
      </c>
      <c r="C9" s="211" t="s">
        <v>115</v>
      </c>
      <c r="D9" s="251" t="s">
        <v>259</v>
      </c>
      <c r="E9" s="212" t="s">
        <v>227</v>
      </c>
      <c r="F9" s="197">
        <v>15</v>
      </c>
      <c r="G9" s="197"/>
      <c r="H9" s="180">
        <v>7013</v>
      </c>
      <c r="I9" s="181">
        <v>0</v>
      </c>
      <c r="J9" s="182">
        <f>SUM(H9:I9)</f>
        <v>7013</v>
      </c>
      <c r="K9" s="183">
        <f>IF(H9/15&lt;=SMG,0,I9/2)</f>
        <v>0</v>
      </c>
      <c r="L9" s="183">
        <f>H9+K9</f>
        <v>7013</v>
      </c>
      <c r="M9" s="183">
        <f>VLOOKUP(L9,Tarifa1,1)</f>
        <v>6382.81</v>
      </c>
      <c r="N9" s="183">
        <f>L9-M9</f>
        <v>630.1899999999996</v>
      </c>
      <c r="O9" s="184">
        <f>VLOOKUP(L9,Tarifa1,3)</f>
        <v>0.1792</v>
      </c>
      <c r="P9" s="183">
        <f>N9*O9</f>
        <v>112.93004799999993</v>
      </c>
      <c r="Q9" s="185">
        <f>VLOOKUP(L9,Tarifa1,2)</f>
        <v>583.65</v>
      </c>
      <c r="R9" s="183">
        <f>P9+Q9</f>
        <v>696.58004799999992</v>
      </c>
      <c r="S9" s="183">
        <f>VLOOKUP(L9,Credito1,2)</f>
        <v>0</v>
      </c>
      <c r="T9" s="183">
        <f>ROUND(R9-S9,2)</f>
        <v>696.58</v>
      </c>
      <c r="U9" s="182">
        <f>-IF(T9&gt;0,0,T9)</f>
        <v>0</v>
      </c>
      <c r="V9" s="182">
        <f>IF(H9/15&lt;=SMG,0,IF(T9&lt;0,0,T9))</f>
        <v>696.58</v>
      </c>
      <c r="W9" s="182">
        <f>SUM(V9:V9)</f>
        <v>696.58</v>
      </c>
      <c r="X9" s="182">
        <f>J9+U9-W9</f>
        <v>6316.42</v>
      </c>
      <c r="Y9" s="168"/>
    </row>
    <row r="10" spans="1:31" s="51" customFormat="1" ht="91.5" customHeight="1" x14ac:dyDescent="0.25">
      <c r="A10" s="37"/>
      <c r="B10" s="174" t="s">
        <v>158</v>
      </c>
      <c r="C10" s="175" t="s">
        <v>115</v>
      </c>
      <c r="D10" s="252" t="s">
        <v>141</v>
      </c>
      <c r="E10" s="177" t="s">
        <v>292</v>
      </c>
      <c r="F10" s="178">
        <v>15</v>
      </c>
      <c r="G10" s="179">
        <v>341.11</v>
      </c>
      <c r="H10" s="180">
        <v>4814</v>
      </c>
      <c r="I10" s="181">
        <v>0</v>
      </c>
      <c r="J10" s="182">
        <f>SUM(H10:I10)</f>
        <v>4814</v>
      </c>
      <c r="K10" s="183">
        <f>IF(H10/15&lt;=SMG,0,I10/2)</f>
        <v>0</v>
      </c>
      <c r="L10" s="183">
        <f>H10+K10</f>
        <v>4814</v>
      </c>
      <c r="M10" s="183">
        <f>VLOOKUP(L10,Tarifa1,1)</f>
        <v>3124.36</v>
      </c>
      <c r="N10" s="183">
        <f>L10-M10</f>
        <v>1689.6399999999999</v>
      </c>
      <c r="O10" s="184">
        <f>VLOOKUP(L10,Tarifa1,3)</f>
        <v>0.10879999999999999</v>
      </c>
      <c r="P10" s="183">
        <f>N10*O10</f>
        <v>183.83283199999997</v>
      </c>
      <c r="Q10" s="185">
        <f>VLOOKUP(L10,Tarifa1,2)</f>
        <v>183.45</v>
      </c>
      <c r="R10" s="183">
        <f>P10+Q10</f>
        <v>367.28283199999998</v>
      </c>
      <c r="S10" s="183">
        <f>VLOOKUP(L10,Credito1,2)</f>
        <v>0</v>
      </c>
      <c r="T10" s="183">
        <f>ROUND(R10-S10,2)</f>
        <v>367.28</v>
      </c>
      <c r="U10" s="182">
        <f>-IF(T10&gt;0,0,T10)</f>
        <v>0</v>
      </c>
      <c r="V10" s="182">
        <f>IF(H10/15&lt;=SMG,0,IF(T10&lt;0,0,T10))</f>
        <v>367.28</v>
      </c>
      <c r="W10" s="182">
        <f>SUM(V10:V10)</f>
        <v>367.28</v>
      </c>
      <c r="X10" s="182">
        <f>J10+U10-W10</f>
        <v>4446.72</v>
      </c>
      <c r="Y10" s="168"/>
    </row>
    <row r="11" spans="1:31" s="51" customFormat="1" ht="84.95" customHeight="1" x14ac:dyDescent="0.25">
      <c r="A11" s="45"/>
      <c r="B11" s="103" t="s">
        <v>101</v>
      </c>
      <c r="C11" s="103" t="s">
        <v>124</v>
      </c>
      <c r="D11" s="37" t="s">
        <v>197</v>
      </c>
      <c r="E11" s="37" t="s">
        <v>60</v>
      </c>
      <c r="F11" s="37"/>
      <c r="G11" s="37"/>
      <c r="H11" s="100">
        <f>SUM(H12)</f>
        <v>7013</v>
      </c>
      <c r="I11" s="100">
        <f>SUM(I12)</f>
        <v>0</v>
      </c>
      <c r="J11" s="100">
        <f>SUM(J12)</f>
        <v>7013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696.58</v>
      </c>
      <c r="W11" s="100">
        <f>SUM(W12)</f>
        <v>696.58</v>
      </c>
      <c r="X11" s="100">
        <f>SUM(X12)</f>
        <v>6316.42</v>
      </c>
      <c r="Y11" s="102"/>
      <c r="AE11" s="59"/>
    </row>
    <row r="12" spans="1:31" s="51" customFormat="1" ht="84.95" customHeight="1" x14ac:dyDescent="0.25">
      <c r="A12" s="45"/>
      <c r="B12" s="174" t="s">
        <v>198</v>
      </c>
      <c r="C12" s="175" t="s">
        <v>115</v>
      </c>
      <c r="D12" s="252" t="s">
        <v>196</v>
      </c>
      <c r="E12" s="177" t="s">
        <v>268</v>
      </c>
      <c r="F12" s="178">
        <v>15</v>
      </c>
      <c r="G12" s="179">
        <f>H12/F12</f>
        <v>467.53333333333336</v>
      </c>
      <c r="H12" s="180">
        <v>7013</v>
      </c>
      <c r="I12" s="181">
        <v>0</v>
      </c>
      <c r="J12" s="182">
        <f>SUM(H12:I12)</f>
        <v>7013</v>
      </c>
      <c r="K12" s="183">
        <f>IF(H12/15&lt;=SMG,0,I12/2)</f>
        <v>0</v>
      </c>
      <c r="L12" s="183">
        <f>H12+K12</f>
        <v>7013</v>
      </c>
      <c r="M12" s="183">
        <f>VLOOKUP(L12,Tarifa1,1)</f>
        <v>6382.81</v>
      </c>
      <c r="N12" s="183">
        <f>L12-M12</f>
        <v>630.1899999999996</v>
      </c>
      <c r="O12" s="184">
        <f>VLOOKUP(L12,Tarifa1,3)</f>
        <v>0.1792</v>
      </c>
      <c r="P12" s="183">
        <f>N12*O12</f>
        <v>112.93004799999993</v>
      </c>
      <c r="Q12" s="185">
        <f>VLOOKUP(L12,Tarifa1,2)</f>
        <v>583.65</v>
      </c>
      <c r="R12" s="183">
        <f>P12+Q12</f>
        <v>696.58004799999992</v>
      </c>
      <c r="S12" s="183">
        <f>VLOOKUP(L12,Credito1,2)</f>
        <v>0</v>
      </c>
      <c r="T12" s="183">
        <f>ROUND(R12-S12,2)</f>
        <v>696.58</v>
      </c>
      <c r="U12" s="182">
        <f>-IF(T12&gt;0,0,T12)</f>
        <v>0</v>
      </c>
      <c r="V12" s="182">
        <f>IF(H12/15&lt;=SMG,0,IF(T12&lt;0,0,T12))</f>
        <v>696.58</v>
      </c>
      <c r="W12" s="182">
        <f>SUM(V12:V12)</f>
        <v>696.58</v>
      </c>
      <c r="X12" s="182">
        <f>J12+U12-W12</f>
        <v>6316.42</v>
      </c>
      <c r="Y12" s="93"/>
      <c r="AE12" s="59"/>
    </row>
    <row r="13" spans="1:31" s="51" customFormat="1" ht="84.95" customHeight="1" x14ac:dyDescent="0.25">
      <c r="A13" s="45"/>
      <c r="B13" s="103" t="s">
        <v>101</v>
      </c>
      <c r="C13" s="103" t="s">
        <v>124</v>
      </c>
      <c r="D13" s="37" t="s">
        <v>127</v>
      </c>
      <c r="E13" s="37" t="s">
        <v>60</v>
      </c>
      <c r="F13" s="37"/>
      <c r="G13" s="37"/>
      <c r="H13" s="100">
        <f>SUM(H14:H15)</f>
        <v>10858</v>
      </c>
      <c r="I13" s="100">
        <f>SUM(I14:I15)</f>
        <v>0</v>
      </c>
      <c r="J13" s="100">
        <f>SUM(J14:J15)</f>
        <v>10858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SUM(U14:U15)</f>
        <v>0</v>
      </c>
      <c r="V13" s="100">
        <f>SUM(V14:V15)</f>
        <v>948.57999999999993</v>
      </c>
      <c r="W13" s="100">
        <f>SUM(W14:W15)</f>
        <v>948.57999999999993</v>
      </c>
      <c r="X13" s="100">
        <f>SUM(X14:X15)</f>
        <v>9909.42</v>
      </c>
      <c r="Y13" s="102"/>
      <c r="AE13" s="59"/>
    </row>
    <row r="14" spans="1:31" s="51" customFormat="1" ht="84.95" customHeight="1" x14ac:dyDescent="0.25">
      <c r="A14" s="45" t="s">
        <v>87</v>
      </c>
      <c r="B14" s="175" t="s">
        <v>114</v>
      </c>
      <c r="C14" s="175" t="s">
        <v>115</v>
      </c>
      <c r="D14" s="252" t="s">
        <v>93</v>
      </c>
      <c r="E14" s="177" t="s">
        <v>94</v>
      </c>
      <c r="F14" s="178">
        <v>15</v>
      </c>
      <c r="G14" s="179">
        <f t="shared" ref="G14:G33" si="0">H14/F14</f>
        <v>458.2</v>
      </c>
      <c r="H14" s="180">
        <v>6873</v>
      </c>
      <c r="I14" s="181">
        <v>0</v>
      </c>
      <c r="J14" s="182">
        <f>SUM(H14:I14)</f>
        <v>6873</v>
      </c>
      <c r="K14" s="183">
        <f>IF(H14/15&lt;=SMG,0,I14/2)</f>
        <v>0</v>
      </c>
      <c r="L14" s="183">
        <f>H14+K14</f>
        <v>6873</v>
      </c>
      <c r="M14" s="183">
        <f>VLOOKUP(L14,Tarifa1,1)</f>
        <v>6382.81</v>
      </c>
      <c r="N14" s="183">
        <f>L14-M14</f>
        <v>490.1899999999996</v>
      </c>
      <c r="O14" s="184">
        <f>VLOOKUP(L14,Tarifa1,3)</f>
        <v>0.1792</v>
      </c>
      <c r="P14" s="183">
        <f>N14*O14</f>
        <v>87.842047999999934</v>
      </c>
      <c r="Q14" s="185">
        <f>VLOOKUP(L14,Tarifa1,2)</f>
        <v>583.65</v>
      </c>
      <c r="R14" s="183">
        <f>P14+Q14</f>
        <v>671.49204799999995</v>
      </c>
      <c r="S14" s="183">
        <f>VLOOKUP(L14,Credito1,2)</f>
        <v>0</v>
      </c>
      <c r="T14" s="183">
        <f>ROUND(R14-S14,2)</f>
        <v>671.49</v>
      </c>
      <c r="U14" s="182">
        <f>-IF(T14&gt;0,0,T14)</f>
        <v>0</v>
      </c>
      <c r="V14" s="182">
        <f>IF(H14/15&lt;=SMG,0,IF(T14&lt;0,0,T14))</f>
        <v>671.49</v>
      </c>
      <c r="W14" s="182">
        <f>SUM(V14:V14)</f>
        <v>671.49</v>
      </c>
      <c r="X14" s="182">
        <f>J14+U14-W14</f>
        <v>6201.51</v>
      </c>
      <c r="Y14" s="93"/>
      <c r="AE14" s="64"/>
    </row>
    <row r="15" spans="1:31" s="51" customFormat="1" ht="84.95" customHeight="1" x14ac:dyDescent="0.25">
      <c r="A15" s="45"/>
      <c r="B15" s="174" t="s">
        <v>183</v>
      </c>
      <c r="C15" s="175" t="s">
        <v>115</v>
      </c>
      <c r="D15" s="252" t="s">
        <v>169</v>
      </c>
      <c r="E15" s="177" t="s">
        <v>170</v>
      </c>
      <c r="F15" s="178">
        <v>15</v>
      </c>
      <c r="G15" s="179"/>
      <c r="H15" s="180">
        <v>3985</v>
      </c>
      <c r="I15" s="181">
        <v>0</v>
      </c>
      <c r="J15" s="182">
        <f>SUM(H15:I15)</f>
        <v>3985</v>
      </c>
      <c r="K15" s="183">
        <f>IF(H15/15&lt;=SMG,0,I15/2)</f>
        <v>0</v>
      </c>
      <c r="L15" s="183">
        <f>H15+K15</f>
        <v>3985</v>
      </c>
      <c r="M15" s="183">
        <f>VLOOKUP(L15,Tarifa1,1)</f>
        <v>3124.36</v>
      </c>
      <c r="N15" s="183">
        <f>L15-M15</f>
        <v>860.63999999999987</v>
      </c>
      <c r="O15" s="184">
        <f>VLOOKUP(L15,Tarifa1,3)</f>
        <v>0.10879999999999999</v>
      </c>
      <c r="P15" s="183">
        <f>N15*O15</f>
        <v>93.637631999999982</v>
      </c>
      <c r="Q15" s="185">
        <f>VLOOKUP(L15,Tarifa1,2)</f>
        <v>183.45</v>
      </c>
      <c r="R15" s="183">
        <f>P15+Q15</f>
        <v>277.08763199999999</v>
      </c>
      <c r="S15" s="183">
        <f>VLOOKUP(L15,Credito1,2)</f>
        <v>0</v>
      </c>
      <c r="T15" s="183">
        <f>ROUND(R15-S15,2)</f>
        <v>277.08999999999997</v>
      </c>
      <c r="U15" s="182">
        <f>-IF(T15&gt;0,0,T15)</f>
        <v>0</v>
      </c>
      <c r="V15" s="182">
        <f>IF(H15/15&lt;=SMG,0,IF(T15&lt;0,0,T15))</f>
        <v>277.08999999999997</v>
      </c>
      <c r="W15" s="182">
        <f>SUM(V15:V15)</f>
        <v>277.08999999999997</v>
      </c>
      <c r="X15" s="182">
        <f>J15+U15-W15</f>
        <v>3707.91</v>
      </c>
      <c r="Y15" s="117"/>
      <c r="AE15" s="64"/>
    </row>
    <row r="16" spans="1:31" s="51" customFormat="1" ht="51.75" customHeight="1" x14ac:dyDescent="0.25">
      <c r="A16" s="45"/>
      <c r="B16" s="103" t="s">
        <v>101</v>
      </c>
      <c r="C16" s="103" t="s">
        <v>124</v>
      </c>
      <c r="D16" s="37" t="s">
        <v>128</v>
      </c>
      <c r="E16" s="37" t="s">
        <v>60</v>
      </c>
      <c r="F16" s="37"/>
      <c r="G16" s="37"/>
      <c r="H16" s="100">
        <f>SUM(H17:H19)</f>
        <v>16828</v>
      </c>
      <c r="I16" s="100">
        <f>SUM(I17:I19)</f>
        <v>0</v>
      </c>
      <c r="J16" s="100">
        <f>SUM(J17:J19)</f>
        <v>16828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1483.24</v>
      </c>
      <c r="W16" s="100">
        <f>SUM(W17:W19)</f>
        <v>1483.24</v>
      </c>
      <c r="X16" s="100">
        <f>SUM(X17:X19)</f>
        <v>15344.76</v>
      </c>
      <c r="Y16" s="102"/>
      <c r="AE16" s="64"/>
    </row>
    <row r="17" spans="1:31" s="51" customFormat="1" ht="84.95" customHeight="1" x14ac:dyDescent="0.3">
      <c r="A17" s="45" t="s">
        <v>88</v>
      </c>
      <c r="B17" s="213">
        <v>185</v>
      </c>
      <c r="C17" s="175" t="s">
        <v>115</v>
      </c>
      <c r="D17" s="253" t="s">
        <v>155</v>
      </c>
      <c r="E17" s="177" t="s">
        <v>95</v>
      </c>
      <c r="F17" s="178">
        <v>15</v>
      </c>
      <c r="G17" s="179">
        <f t="shared" si="0"/>
        <v>497.6</v>
      </c>
      <c r="H17" s="180">
        <v>7464</v>
      </c>
      <c r="I17" s="181">
        <v>0</v>
      </c>
      <c r="J17" s="182">
        <f t="shared" ref="J17" si="1">SUM(H17:I17)</f>
        <v>7464</v>
      </c>
      <c r="K17" s="183">
        <f>IF(H17/15&lt;=SMG,0,I17/2)</f>
        <v>0</v>
      </c>
      <c r="L17" s="183">
        <f>H17+K17</f>
        <v>7464</v>
      </c>
      <c r="M17" s="183">
        <f>VLOOKUP(L17,Tarifa1,1)</f>
        <v>6382.81</v>
      </c>
      <c r="N17" s="183">
        <f>L17-M17</f>
        <v>1081.1899999999996</v>
      </c>
      <c r="O17" s="184">
        <f>VLOOKUP(L17,Tarifa1,3)</f>
        <v>0.1792</v>
      </c>
      <c r="P17" s="183">
        <f>N17*O17</f>
        <v>193.74924799999994</v>
      </c>
      <c r="Q17" s="185">
        <f>VLOOKUP(L17,Tarifa1,2)</f>
        <v>583.65</v>
      </c>
      <c r="R17" s="183">
        <f>P17+Q17</f>
        <v>777.39924799999994</v>
      </c>
      <c r="S17" s="183">
        <f>VLOOKUP(L17,Credito1,2)</f>
        <v>0</v>
      </c>
      <c r="T17" s="183">
        <f>ROUND(R17-S17,2)</f>
        <v>777.4</v>
      </c>
      <c r="U17" s="182">
        <f>-IF(T17&gt;0,0,T17)</f>
        <v>0</v>
      </c>
      <c r="V17" s="182">
        <f>IF(H17/15&lt;=SMG,0,IF(T17&lt;0,0,T17))</f>
        <v>777.4</v>
      </c>
      <c r="W17" s="182">
        <f>SUM(V17:V17)</f>
        <v>777.4</v>
      </c>
      <c r="X17" s="182">
        <f>J17+U17-W17</f>
        <v>6686.6</v>
      </c>
      <c r="Y17" s="93"/>
      <c r="AE17" s="64"/>
    </row>
    <row r="18" spans="1:31" s="51" customFormat="1" ht="84.95" customHeight="1" x14ac:dyDescent="0.3">
      <c r="A18" s="45"/>
      <c r="B18" s="174" t="s">
        <v>161</v>
      </c>
      <c r="C18" s="175" t="s">
        <v>115</v>
      </c>
      <c r="D18" s="250" t="s">
        <v>148</v>
      </c>
      <c r="E18" s="177" t="s">
        <v>147</v>
      </c>
      <c r="F18" s="178">
        <v>15</v>
      </c>
      <c r="G18" s="179">
        <f>H18/F18</f>
        <v>358.6</v>
      </c>
      <c r="H18" s="180">
        <v>5379</v>
      </c>
      <c r="I18" s="181">
        <v>0</v>
      </c>
      <c r="J18" s="182">
        <f>SUM(H18:I18)</f>
        <v>5379</v>
      </c>
      <c r="K18" s="183">
        <f>IF(H18/15&lt;=SMG,0,I18/2)</f>
        <v>0</v>
      </c>
      <c r="L18" s="183">
        <f t="shared" ref="L18:L19" si="2">H18+K18</f>
        <v>5379</v>
      </c>
      <c r="M18" s="183">
        <f>VLOOKUP(L18,Tarifa1,1)</f>
        <v>3124.36</v>
      </c>
      <c r="N18" s="183">
        <f t="shared" ref="N18:N19" si="3">L18-M18</f>
        <v>2254.64</v>
      </c>
      <c r="O18" s="184">
        <f>VLOOKUP(L18,Tarifa1,3)</f>
        <v>0.10879999999999999</v>
      </c>
      <c r="P18" s="183">
        <f t="shared" ref="P18:P19" si="4">N18*O18</f>
        <v>245.30483199999998</v>
      </c>
      <c r="Q18" s="185">
        <f>VLOOKUP(L18,Tarifa1,2)</f>
        <v>183.45</v>
      </c>
      <c r="R18" s="183">
        <f t="shared" ref="R18:R19" si="5">P18+Q18</f>
        <v>428.75483199999996</v>
      </c>
      <c r="S18" s="183">
        <f>VLOOKUP(L18,Credito1,2)</f>
        <v>0</v>
      </c>
      <c r="T18" s="183">
        <f t="shared" ref="T18:T19" si="6">ROUND(R18-S18,2)</f>
        <v>428.75</v>
      </c>
      <c r="U18" s="182">
        <f t="shared" ref="U18:U21" si="7">-IF(T18&gt;0,0,T18)</f>
        <v>0</v>
      </c>
      <c r="V18" s="182">
        <f>IF(H18/15&lt;=SMG,0,IF(T18&lt;0,0,T18))</f>
        <v>428.75</v>
      </c>
      <c r="W18" s="182">
        <f>SUM(V18:V18)</f>
        <v>428.75</v>
      </c>
      <c r="X18" s="182">
        <f>J18+U18-W18</f>
        <v>4950.25</v>
      </c>
      <c r="Y18" s="93"/>
      <c r="AE18" s="64"/>
    </row>
    <row r="19" spans="1:31" s="51" customFormat="1" ht="84.95" customHeight="1" x14ac:dyDescent="0.3">
      <c r="A19" s="45"/>
      <c r="B19" s="174" t="s">
        <v>191</v>
      </c>
      <c r="C19" s="175" t="s">
        <v>115</v>
      </c>
      <c r="D19" s="254" t="s">
        <v>188</v>
      </c>
      <c r="E19" s="177" t="s">
        <v>189</v>
      </c>
      <c r="F19" s="178">
        <v>15</v>
      </c>
      <c r="G19" s="179"/>
      <c r="H19" s="180">
        <v>3985</v>
      </c>
      <c r="I19" s="181">
        <v>0</v>
      </c>
      <c r="J19" s="182">
        <f>SUM(H19:I19)</f>
        <v>3985</v>
      </c>
      <c r="K19" s="183">
        <f>IF(H19/15&lt;=SMG,0,I19/2)</f>
        <v>0</v>
      </c>
      <c r="L19" s="183">
        <f t="shared" si="2"/>
        <v>3985</v>
      </c>
      <c r="M19" s="183">
        <f>VLOOKUP(L19,Tarifa1,1)</f>
        <v>3124.36</v>
      </c>
      <c r="N19" s="183">
        <f t="shared" si="3"/>
        <v>860.63999999999987</v>
      </c>
      <c r="O19" s="184">
        <f>VLOOKUP(L19,Tarifa1,3)</f>
        <v>0.10879999999999999</v>
      </c>
      <c r="P19" s="183">
        <f t="shared" si="4"/>
        <v>93.637631999999982</v>
      </c>
      <c r="Q19" s="185">
        <f>VLOOKUP(L19,Tarifa1,2)</f>
        <v>183.45</v>
      </c>
      <c r="R19" s="183">
        <f t="shared" si="5"/>
        <v>277.08763199999999</v>
      </c>
      <c r="S19" s="183">
        <f>VLOOKUP(L19,Credito1,2)</f>
        <v>0</v>
      </c>
      <c r="T19" s="183">
        <f t="shared" si="6"/>
        <v>277.08999999999997</v>
      </c>
      <c r="U19" s="182">
        <f t="shared" si="7"/>
        <v>0</v>
      </c>
      <c r="V19" s="182">
        <f>IF(H19/15&lt;=SMG,0,IF(T19&lt;0,0,T19))</f>
        <v>277.08999999999997</v>
      </c>
      <c r="W19" s="182">
        <f>SUM(V19:V19)</f>
        <v>277.08999999999997</v>
      </c>
      <c r="X19" s="182">
        <f>J19+U19-W19</f>
        <v>3707.91</v>
      </c>
      <c r="Y19" s="93"/>
      <c r="AE19" s="64"/>
    </row>
    <row r="20" spans="1:31" s="51" customFormat="1" ht="60" customHeight="1" x14ac:dyDescent="0.25">
      <c r="A20" s="45"/>
      <c r="B20" s="103" t="s">
        <v>101</v>
      </c>
      <c r="C20" s="103" t="s">
        <v>124</v>
      </c>
      <c r="D20" s="37" t="s">
        <v>306</v>
      </c>
      <c r="E20" s="37" t="s">
        <v>60</v>
      </c>
      <c r="F20" s="37"/>
      <c r="G20" s="37"/>
      <c r="H20" s="100">
        <f>SUM(H21:H23)</f>
        <v>7013</v>
      </c>
      <c r="I20" s="100">
        <f>SUM(I21:I23)</f>
        <v>0</v>
      </c>
      <c r="J20" s="100">
        <f>SUM(J21:J23)</f>
        <v>7013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SUM(U21:U23)</f>
        <v>0</v>
      </c>
      <c r="V20" s="100">
        <f>SUM(V21:V23)</f>
        <v>696.58</v>
      </c>
      <c r="W20" s="100">
        <f>SUM(W21:W23)</f>
        <v>696.58</v>
      </c>
      <c r="X20" s="100">
        <f>SUM(X21:X23)</f>
        <v>6316.42</v>
      </c>
      <c r="Y20" s="102"/>
      <c r="AE20" s="64"/>
    </row>
    <row r="21" spans="1:31" s="51" customFormat="1" ht="84.95" customHeight="1" x14ac:dyDescent="0.3">
      <c r="A21" s="45"/>
      <c r="B21" s="174" t="s">
        <v>303</v>
      </c>
      <c r="C21" s="175" t="s">
        <v>115</v>
      </c>
      <c r="D21" s="250" t="s">
        <v>304</v>
      </c>
      <c r="E21" s="177" t="s">
        <v>305</v>
      </c>
      <c r="F21" s="178"/>
      <c r="G21" s="179"/>
      <c r="H21" s="180">
        <v>7013</v>
      </c>
      <c r="I21" s="181">
        <v>0</v>
      </c>
      <c r="J21" s="182">
        <f>SUM(H21:I21)</f>
        <v>7013</v>
      </c>
      <c r="K21" s="183">
        <f>IF(H21/15&lt;=SMG,0,I21/2)</f>
        <v>0</v>
      </c>
      <c r="L21" s="183">
        <f t="shared" ref="L21" si="8">H21+K21</f>
        <v>7013</v>
      </c>
      <c r="M21" s="183">
        <f>VLOOKUP(L21,Tarifa1,1)</f>
        <v>6382.81</v>
      </c>
      <c r="N21" s="183">
        <f t="shared" ref="N21" si="9">L21-M21</f>
        <v>630.1899999999996</v>
      </c>
      <c r="O21" s="184">
        <f>VLOOKUP(L21,Tarifa1,3)</f>
        <v>0.1792</v>
      </c>
      <c r="P21" s="183">
        <f t="shared" ref="P21" si="10">N21*O21</f>
        <v>112.93004799999993</v>
      </c>
      <c r="Q21" s="185">
        <f>VLOOKUP(L21,Tarifa1,2)</f>
        <v>583.65</v>
      </c>
      <c r="R21" s="183">
        <f t="shared" ref="R21" si="11">P21+Q21</f>
        <v>696.58004799999992</v>
      </c>
      <c r="S21" s="183">
        <f>VLOOKUP(L21,Credito1,2)</f>
        <v>0</v>
      </c>
      <c r="T21" s="183">
        <f t="shared" ref="T21" si="12">ROUND(R21-S21,2)</f>
        <v>696.58</v>
      </c>
      <c r="U21" s="182">
        <f t="shared" si="7"/>
        <v>0</v>
      </c>
      <c r="V21" s="182">
        <f>IF(H21/15&lt;=SMG,0,IF(T21&lt;0,0,T21))</f>
        <v>696.58</v>
      </c>
      <c r="W21" s="182">
        <f>SUM(V21:V21)</f>
        <v>696.58</v>
      </c>
      <c r="X21" s="182">
        <f>J21+U21-W21</f>
        <v>6316.42</v>
      </c>
      <c r="Y21" s="93"/>
      <c r="AE21" s="64"/>
    </row>
    <row r="22" spans="1:31" s="51" customFormat="1" ht="24" customHeight="1" x14ac:dyDescent="0.25">
      <c r="A22" s="45"/>
      <c r="B22" s="237"/>
      <c r="C22" s="220"/>
      <c r="D22" s="238"/>
      <c r="E22" s="226"/>
      <c r="F22" s="227"/>
      <c r="G22" s="228"/>
      <c r="H22" s="229"/>
      <c r="I22" s="23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94"/>
      <c r="AE22" s="64"/>
    </row>
    <row r="23" spans="1:31" s="51" customFormat="1" ht="24" customHeight="1" x14ac:dyDescent="0.25">
      <c r="A23" s="45"/>
      <c r="B23" s="237"/>
      <c r="C23" s="220"/>
      <c r="D23" s="238"/>
      <c r="E23" s="226"/>
      <c r="F23" s="227"/>
      <c r="G23" s="228"/>
      <c r="H23" s="229"/>
      <c r="I23" s="230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94"/>
      <c r="AE23" s="64"/>
    </row>
    <row r="24" spans="1:31" s="51" customFormat="1" ht="24" customHeight="1" x14ac:dyDescent="0.25">
      <c r="A24" s="45"/>
      <c r="B24" s="237"/>
      <c r="C24" s="220"/>
      <c r="D24" s="238"/>
      <c r="E24" s="226"/>
      <c r="F24" s="227"/>
      <c r="G24" s="228"/>
      <c r="H24" s="229"/>
      <c r="I24" s="230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94"/>
      <c r="AE24" s="64"/>
    </row>
    <row r="25" spans="1:31" s="51" customFormat="1" ht="24" customHeight="1" x14ac:dyDescent="0.25">
      <c r="A25" s="45"/>
      <c r="B25" s="237"/>
      <c r="C25" s="220"/>
      <c r="D25" s="238"/>
      <c r="E25" s="226"/>
      <c r="F25" s="227"/>
      <c r="G25" s="228"/>
      <c r="H25" s="229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94"/>
      <c r="AE25" s="64"/>
    </row>
    <row r="26" spans="1:31" s="51" customFormat="1" ht="24" customHeight="1" x14ac:dyDescent="0.25">
      <c r="A26" s="45"/>
      <c r="B26" s="237"/>
      <c r="C26" s="220"/>
      <c r="D26" s="238"/>
      <c r="E26" s="226"/>
      <c r="F26" s="227"/>
      <c r="G26" s="228"/>
      <c r="H26" s="229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94"/>
      <c r="AE26" s="64"/>
    </row>
    <row r="27" spans="1:31" s="51" customFormat="1" ht="24" customHeight="1" x14ac:dyDescent="0.25">
      <c r="A27" s="45"/>
      <c r="B27" s="237"/>
      <c r="C27" s="220"/>
      <c r="D27" s="238"/>
      <c r="E27" s="226"/>
      <c r="F27" s="227"/>
      <c r="G27" s="228"/>
      <c r="H27" s="229"/>
      <c r="I27" s="230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94"/>
      <c r="AE27" s="64"/>
    </row>
    <row r="28" spans="1:31" s="51" customFormat="1" ht="26.25" customHeight="1" x14ac:dyDescent="0.25">
      <c r="A28" s="45"/>
      <c r="B28" s="278" t="s">
        <v>78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E28" s="64"/>
    </row>
    <row r="29" spans="1:31" s="51" customFormat="1" ht="21.75" customHeight="1" x14ac:dyDescent="0.25">
      <c r="A29" s="45"/>
      <c r="B29" s="278" t="s">
        <v>63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E29" s="64"/>
    </row>
    <row r="30" spans="1:31" s="51" customFormat="1" ht="25.5" customHeight="1" x14ac:dyDescent="0.25">
      <c r="A30" s="45"/>
      <c r="B30" s="269" t="s">
        <v>316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E30" s="64"/>
    </row>
    <row r="31" spans="1:31" s="51" customFormat="1" ht="29.25" customHeight="1" x14ac:dyDescent="0.25">
      <c r="A31" s="236"/>
      <c r="B31" s="237"/>
      <c r="C31" s="220"/>
      <c r="D31" s="238"/>
      <c r="E31" s="226"/>
      <c r="F31" s="227"/>
      <c r="G31" s="228"/>
      <c r="H31" s="229"/>
      <c r="I31" s="230"/>
      <c r="J31" s="231"/>
      <c r="K31" s="232"/>
      <c r="L31" s="232"/>
      <c r="M31" s="232"/>
      <c r="N31" s="232"/>
      <c r="O31" s="233"/>
      <c r="P31" s="232"/>
      <c r="Q31" s="234"/>
      <c r="R31" s="232"/>
      <c r="S31" s="235"/>
      <c r="T31" s="232"/>
      <c r="U31" s="231"/>
      <c r="V31" s="239"/>
      <c r="W31" s="231"/>
      <c r="X31" s="231"/>
      <c r="Y31" s="94"/>
      <c r="AE31" s="64"/>
    </row>
    <row r="32" spans="1:31" s="51" customFormat="1" ht="84.95" customHeight="1" x14ac:dyDescent="0.25">
      <c r="A32" s="45"/>
      <c r="B32" s="103" t="s">
        <v>101</v>
      </c>
      <c r="C32" s="103" t="s">
        <v>124</v>
      </c>
      <c r="D32" s="103" t="s">
        <v>129</v>
      </c>
      <c r="E32" s="37" t="s">
        <v>60</v>
      </c>
      <c r="F32" s="37"/>
      <c r="G32" s="37"/>
      <c r="H32" s="100">
        <f>SUM(H33)</f>
        <v>5435</v>
      </c>
      <c r="I32" s="100">
        <f>SUM(I33)</f>
        <v>0</v>
      </c>
      <c r="J32" s="100">
        <f>SUM(J33)</f>
        <v>5435</v>
      </c>
      <c r="K32" s="37"/>
      <c r="L32" s="37"/>
      <c r="M32" s="37"/>
      <c r="N32" s="37"/>
      <c r="O32" s="37"/>
      <c r="P32" s="37"/>
      <c r="Q32" s="101"/>
      <c r="R32" s="37"/>
      <c r="S32" s="37"/>
      <c r="T32" s="37"/>
      <c r="U32" s="100">
        <f>SUM(U33)</f>
        <v>0</v>
      </c>
      <c r="V32" s="100">
        <f>SUM(V33)</f>
        <v>434.85</v>
      </c>
      <c r="W32" s="100">
        <f>SUM(W33)</f>
        <v>434.85</v>
      </c>
      <c r="X32" s="100">
        <f>SUM(X33)</f>
        <v>5000.1499999999996</v>
      </c>
      <c r="Y32" s="102"/>
      <c r="AE32" s="64"/>
    </row>
    <row r="33" spans="1:31" s="51" customFormat="1" ht="106.5" customHeight="1" x14ac:dyDescent="0.3">
      <c r="A33" s="45" t="s">
        <v>89</v>
      </c>
      <c r="B33" s="174" t="s">
        <v>163</v>
      </c>
      <c r="C33" s="175" t="s">
        <v>115</v>
      </c>
      <c r="D33" s="248" t="s">
        <v>223</v>
      </c>
      <c r="E33" s="177" t="s">
        <v>100</v>
      </c>
      <c r="F33" s="178">
        <v>15</v>
      </c>
      <c r="G33" s="179">
        <f t="shared" si="0"/>
        <v>362.33333333333331</v>
      </c>
      <c r="H33" s="180">
        <v>5435</v>
      </c>
      <c r="I33" s="181">
        <v>0</v>
      </c>
      <c r="J33" s="182">
        <f>SUM(H33:I33)</f>
        <v>5435</v>
      </c>
      <c r="K33" s="183">
        <f>IF(H33/15&lt;=SMG,0,I33/2)</f>
        <v>0</v>
      </c>
      <c r="L33" s="183">
        <f t="shared" ref="L33" si="13">H33+K33</f>
        <v>5435</v>
      </c>
      <c r="M33" s="183">
        <f>VLOOKUP(L33,Tarifa1,1)</f>
        <v>3124.36</v>
      </c>
      <c r="N33" s="183">
        <f t="shared" ref="N33" si="14">L33-M33</f>
        <v>2310.64</v>
      </c>
      <c r="O33" s="184">
        <f>VLOOKUP(L33,Tarifa1,3)</f>
        <v>0.10879999999999999</v>
      </c>
      <c r="P33" s="183">
        <f t="shared" ref="P33" si="15">N33*O33</f>
        <v>251.39763199999996</v>
      </c>
      <c r="Q33" s="185">
        <f>VLOOKUP(L33,Tarifa1,2)</f>
        <v>183.45</v>
      </c>
      <c r="R33" s="183">
        <f t="shared" ref="R33" si="16">P33+Q33</f>
        <v>434.84763199999998</v>
      </c>
      <c r="S33" s="183">
        <f>VLOOKUP(L33,Credito1,2)</f>
        <v>0</v>
      </c>
      <c r="T33" s="183">
        <f t="shared" ref="T33" si="17">ROUND(R33-S33,2)</f>
        <v>434.85</v>
      </c>
      <c r="U33" s="182">
        <f>-IF(T33&gt;0,0,T33)</f>
        <v>0</v>
      </c>
      <c r="V33" s="182">
        <f>IF(H33/15&lt;=SMG,0,IF(T33&lt;0,0,T33))</f>
        <v>434.85</v>
      </c>
      <c r="W33" s="182">
        <f>SUM(V33:V33)</f>
        <v>434.85</v>
      </c>
      <c r="X33" s="182">
        <f>J33+U33-W33</f>
        <v>5000.1499999999996</v>
      </c>
      <c r="Y33" s="93"/>
      <c r="AE33" s="64"/>
    </row>
    <row r="34" spans="1:31" s="51" customFormat="1" ht="84.95" customHeight="1" x14ac:dyDescent="0.25">
      <c r="A34" s="45"/>
      <c r="B34" s="103" t="s">
        <v>101</v>
      </c>
      <c r="C34" s="103" t="s">
        <v>124</v>
      </c>
      <c r="D34" s="103" t="s">
        <v>293</v>
      </c>
      <c r="E34" s="37" t="s">
        <v>60</v>
      </c>
      <c r="F34" s="37"/>
      <c r="G34" s="37"/>
      <c r="H34" s="100">
        <f>SUM(H35)</f>
        <v>5043</v>
      </c>
      <c r="I34" s="100">
        <f>SUM(I35)</f>
        <v>0</v>
      </c>
      <c r="J34" s="100">
        <f>SUM(J35)</f>
        <v>5043</v>
      </c>
      <c r="K34" s="37"/>
      <c r="L34" s="37"/>
      <c r="M34" s="37"/>
      <c r="N34" s="37"/>
      <c r="O34" s="37"/>
      <c r="P34" s="37"/>
      <c r="Q34" s="101"/>
      <c r="R34" s="37"/>
      <c r="S34" s="37"/>
      <c r="T34" s="37"/>
      <c r="U34" s="100">
        <f>SUM(U35)</f>
        <v>0</v>
      </c>
      <c r="V34" s="100">
        <f>SUM(V35)</f>
        <v>392.2</v>
      </c>
      <c r="W34" s="100">
        <f>SUM(W35)</f>
        <v>392.2</v>
      </c>
      <c r="X34" s="100">
        <f>SUM(X35)</f>
        <v>4650.8</v>
      </c>
      <c r="Y34" s="102"/>
      <c r="AE34" s="64"/>
    </row>
    <row r="35" spans="1:31" s="51" customFormat="1" ht="107.25" customHeight="1" x14ac:dyDescent="0.3">
      <c r="A35" s="45"/>
      <c r="B35" s="175" t="s">
        <v>108</v>
      </c>
      <c r="C35" s="175" t="s">
        <v>115</v>
      </c>
      <c r="D35" s="248" t="s">
        <v>98</v>
      </c>
      <c r="E35" s="177" t="s">
        <v>297</v>
      </c>
      <c r="F35" s="178">
        <v>15</v>
      </c>
      <c r="G35" s="179">
        <v>305.35000000000002</v>
      </c>
      <c r="H35" s="180">
        <v>5043</v>
      </c>
      <c r="I35" s="181">
        <v>0</v>
      </c>
      <c r="J35" s="182">
        <f>SUM(H35:I35)</f>
        <v>5043</v>
      </c>
      <c r="K35" s="183">
        <f>IF(H35/15&lt;=SMG,0,I35/2)</f>
        <v>0</v>
      </c>
      <c r="L35" s="183">
        <f t="shared" ref="L35" si="18">H35+K35</f>
        <v>5043</v>
      </c>
      <c r="M35" s="183">
        <f>VLOOKUP(L35,Tarifa1,1)</f>
        <v>3124.36</v>
      </c>
      <c r="N35" s="183">
        <f t="shared" ref="N35" si="19">L35-M35</f>
        <v>1918.6399999999999</v>
      </c>
      <c r="O35" s="184">
        <f>VLOOKUP(L35,Tarifa1,3)</f>
        <v>0.10879999999999999</v>
      </c>
      <c r="P35" s="183">
        <f t="shared" ref="P35" si="20">N35*O35</f>
        <v>208.74803199999997</v>
      </c>
      <c r="Q35" s="185">
        <f>VLOOKUP(L35,Tarifa1,2)</f>
        <v>183.45</v>
      </c>
      <c r="R35" s="183">
        <f t="shared" ref="R35" si="21">P35+Q35</f>
        <v>392.19803199999996</v>
      </c>
      <c r="S35" s="183">
        <f>VLOOKUP(L35,Credito1,2)</f>
        <v>0</v>
      </c>
      <c r="T35" s="183">
        <f t="shared" ref="T35" si="22">ROUND(R35-S35,2)</f>
        <v>392.2</v>
      </c>
      <c r="U35" s="182">
        <f t="shared" ref="U35" si="23">-IF(T35&gt;0,0,T35)</f>
        <v>0</v>
      </c>
      <c r="V35" s="182">
        <f>IF(H35/15&lt;=SMG,0,IF(T35&lt;0,0,T35))</f>
        <v>392.2</v>
      </c>
      <c r="W35" s="182">
        <f>SUM(V35:V35)</f>
        <v>392.2</v>
      </c>
      <c r="X35" s="182">
        <f>J35+U35-W35</f>
        <v>4650.8</v>
      </c>
      <c r="Y35" s="93"/>
      <c r="AE35" s="64"/>
    </row>
    <row r="36" spans="1:31" s="51" customFormat="1" ht="84.95" customHeight="1" x14ac:dyDescent="0.25">
      <c r="A36" s="104"/>
      <c r="B36" s="103" t="s">
        <v>101</v>
      </c>
      <c r="C36" s="103" t="s">
        <v>124</v>
      </c>
      <c r="D36" s="37" t="s">
        <v>149</v>
      </c>
      <c r="E36" s="37" t="s">
        <v>60</v>
      </c>
      <c r="F36" s="37"/>
      <c r="G36" s="37"/>
      <c r="H36" s="100">
        <f>SUM(H37)</f>
        <v>7013</v>
      </c>
      <c r="I36" s="100">
        <f>SUM(I37)</f>
        <v>0</v>
      </c>
      <c r="J36" s="100">
        <f>SUM(J37)</f>
        <v>7013</v>
      </c>
      <c r="K36" s="37"/>
      <c r="L36" s="37"/>
      <c r="M36" s="37"/>
      <c r="N36" s="37"/>
      <c r="O36" s="37"/>
      <c r="P36" s="37"/>
      <c r="Q36" s="101"/>
      <c r="R36" s="37"/>
      <c r="S36" s="37"/>
      <c r="T36" s="37"/>
      <c r="U36" s="100">
        <f>SUM(U37)</f>
        <v>0</v>
      </c>
      <c r="V36" s="100">
        <f>SUM(V37)</f>
        <v>696.58</v>
      </c>
      <c r="W36" s="100">
        <f>SUM(W37)</f>
        <v>696.58</v>
      </c>
      <c r="X36" s="100">
        <f>SUM(X37)</f>
        <v>6316.42</v>
      </c>
      <c r="Y36" s="102"/>
    </row>
    <row r="37" spans="1:31" s="51" customFormat="1" ht="107.25" customHeight="1" x14ac:dyDescent="0.3">
      <c r="A37" s="104"/>
      <c r="B37" s="174" t="s">
        <v>162</v>
      </c>
      <c r="C37" s="175" t="s">
        <v>115</v>
      </c>
      <c r="D37" s="248" t="s">
        <v>152</v>
      </c>
      <c r="E37" s="177" t="s">
        <v>153</v>
      </c>
      <c r="F37" s="178">
        <v>15</v>
      </c>
      <c r="G37" s="179">
        <f>H37/F37</f>
        <v>467.53333333333336</v>
      </c>
      <c r="H37" s="180">
        <v>7013</v>
      </c>
      <c r="I37" s="181">
        <v>0</v>
      </c>
      <c r="J37" s="182">
        <f>SUM(H37:I37)</f>
        <v>7013</v>
      </c>
      <c r="K37" s="183">
        <f>IF(H37/15&lt;=SMG,0,I37/2)</f>
        <v>0</v>
      </c>
      <c r="L37" s="183">
        <f t="shared" ref="L37" si="24">H37+K37</f>
        <v>7013</v>
      </c>
      <c r="M37" s="183">
        <f>VLOOKUP(L37,Tarifa1,1)</f>
        <v>6382.81</v>
      </c>
      <c r="N37" s="183">
        <f t="shared" ref="N37" si="25">L37-M37</f>
        <v>630.1899999999996</v>
      </c>
      <c r="O37" s="184">
        <f>VLOOKUP(L37,Tarifa1,3)</f>
        <v>0.1792</v>
      </c>
      <c r="P37" s="183">
        <f t="shared" ref="P37" si="26">N37*O37</f>
        <v>112.93004799999993</v>
      </c>
      <c r="Q37" s="185">
        <f>VLOOKUP(L37,Tarifa1,2)</f>
        <v>583.65</v>
      </c>
      <c r="R37" s="183">
        <f t="shared" ref="R37" si="27">P37+Q37</f>
        <v>696.58004799999992</v>
      </c>
      <c r="S37" s="183">
        <f>VLOOKUP(L37,Credito1,2)</f>
        <v>0</v>
      </c>
      <c r="T37" s="183">
        <f t="shared" ref="T37" si="28">ROUND(R37-S37,2)</f>
        <v>696.58</v>
      </c>
      <c r="U37" s="182">
        <f t="shared" ref="U37" si="29">-IF(T37&gt;0,0,T37)</f>
        <v>0</v>
      </c>
      <c r="V37" s="182">
        <f>IF(H37/15&lt;=SMG,0,IF(T37&lt;0,0,T37))</f>
        <v>696.58</v>
      </c>
      <c r="W37" s="182">
        <f>SUM(V37:V37)</f>
        <v>696.58</v>
      </c>
      <c r="X37" s="182">
        <f>J37+U37-W37</f>
        <v>6316.42</v>
      </c>
      <c r="Y37" s="93"/>
    </row>
    <row r="38" spans="1:31" s="51" customFormat="1" ht="15" x14ac:dyDescent="0.25">
      <c r="A38" s="104"/>
      <c r="B38" s="104"/>
      <c r="C38" s="104"/>
      <c r="D38" s="104"/>
      <c r="E38" s="104"/>
      <c r="F38" s="104"/>
      <c r="G38" s="104"/>
      <c r="H38" s="105"/>
      <c r="I38" s="105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93"/>
    </row>
    <row r="39" spans="1:31" s="51" customFormat="1" ht="39" customHeight="1" x14ac:dyDescent="0.25">
      <c r="A39" s="298" t="s">
        <v>44</v>
      </c>
      <c r="B39" s="298"/>
      <c r="C39" s="298"/>
      <c r="D39" s="298"/>
      <c r="E39" s="298"/>
      <c r="F39" s="298"/>
      <c r="G39" s="298"/>
      <c r="H39" s="214">
        <f>H8+H11+H13+H16+H32+H36+H34+H20</f>
        <v>66216</v>
      </c>
      <c r="I39" s="214">
        <f>I8+I11+I13+I16+I32+I36+I34+I20</f>
        <v>0</v>
      </c>
      <c r="J39" s="214">
        <f>J8+J11+J13+J16+J32+J36+J34+J20</f>
        <v>66216</v>
      </c>
      <c r="K39" s="215">
        <f t="shared" ref="K39:T39" si="30">SUM(K11:K38)</f>
        <v>0</v>
      </c>
      <c r="L39" s="215">
        <f t="shared" si="30"/>
        <v>59203</v>
      </c>
      <c r="M39" s="215">
        <f t="shared" si="30"/>
        <v>47535.85</v>
      </c>
      <c r="N39" s="215">
        <f t="shared" si="30"/>
        <v>11667.149999999998</v>
      </c>
      <c r="O39" s="215">
        <f t="shared" si="30"/>
        <v>1.44</v>
      </c>
      <c r="P39" s="215">
        <f t="shared" si="30"/>
        <v>1513.1071999999995</v>
      </c>
      <c r="Q39" s="215">
        <f t="shared" si="30"/>
        <v>3835.4999999999995</v>
      </c>
      <c r="R39" s="215">
        <f t="shared" si="30"/>
        <v>5348.6071999999995</v>
      </c>
      <c r="S39" s="215">
        <f t="shared" si="30"/>
        <v>0</v>
      </c>
      <c r="T39" s="215">
        <f t="shared" si="30"/>
        <v>5348.61</v>
      </c>
      <c r="U39" s="214">
        <f>U8+U11+U13+U16+U32+U36+U34+U20</f>
        <v>0</v>
      </c>
      <c r="V39" s="214">
        <f>V8+V11+V13+V16+V32+V36+V34+V20</f>
        <v>6045.19</v>
      </c>
      <c r="W39" s="214">
        <f>W8+W11+W13+W16+W32+W36+W34+W20</f>
        <v>6045.19</v>
      </c>
      <c r="X39" s="214">
        <f>X8+X11+X13+X16+X32+X36+X34+X20</f>
        <v>60170.810000000005</v>
      </c>
      <c r="Y39" s="93"/>
    </row>
    <row r="40" spans="1:31" s="51" customFormat="1" ht="12" x14ac:dyDescent="0.2"/>
    <row r="41" spans="1:31" s="51" customFormat="1" ht="12" x14ac:dyDescent="0.2"/>
    <row r="42" spans="1:31" s="51" customFormat="1" ht="12" x14ac:dyDescent="0.2"/>
    <row r="43" spans="1:31" s="51" customFormat="1" ht="12" x14ac:dyDescent="0.2"/>
    <row r="44" spans="1:31" s="51" customFormat="1" ht="12" x14ac:dyDescent="0.2"/>
  </sheetData>
  <mergeCells count="11">
    <mergeCell ref="A39:G39"/>
    <mergeCell ref="A1:Y1"/>
    <mergeCell ref="A2:Y2"/>
    <mergeCell ref="A3:Y3"/>
    <mergeCell ref="H5:J5"/>
    <mergeCell ref="M5:R5"/>
    <mergeCell ref="V5:W5"/>
    <mergeCell ref="C5:C7"/>
    <mergeCell ref="B28:Z28"/>
    <mergeCell ref="B29:Z29"/>
    <mergeCell ref="B30:Z30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2 D10" xr:uid="{00000000-0002-0000-05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5.140625" hidden="1" customWidth="1"/>
    <col min="13" max="13" width="15.7109375" hidden="1" customWidth="1"/>
    <col min="14" max="14" width="12.28515625" hidden="1" customWidth="1"/>
    <col min="15" max="16" width="13.140625" hidden="1" customWidth="1"/>
    <col min="17" max="17" width="12.85546875" hidden="1" customWidth="1"/>
    <col min="18" max="18" width="12.140625" hidden="1" customWidth="1"/>
    <col min="19" max="19" width="13.140625" hidden="1" customWidth="1"/>
    <col min="20" max="20" width="13.42578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5</v>
      </c>
      <c r="H6" s="279" t="s">
        <v>1</v>
      </c>
      <c r="I6" s="280"/>
      <c r="J6" s="281"/>
      <c r="K6" s="24" t="s">
        <v>25</v>
      </c>
      <c r="L6" s="25"/>
      <c r="M6" s="282" t="s">
        <v>8</v>
      </c>
      <c r="N6" s="283"/>
      <c r="O6" s="283"/>
      <c r="P6" s="283"/>
      <c r="Q6" s="283"/>
      <c r="R6" s="284"/>
      <c r="S6" s="24" t="s">
        <v>29</v>
      </c>
      <c r="T6" s="24" t="s">
        <v>9</v>
      </c>
      <c r="U6" s="23" t="s">
        <v>52</v>
      </c>
      <c r="V6" s="285" t="s">
        <v>2</v>
      </c>
      <c r="W6" s="286"/>
      <c r="X6" s="23" t="s">
        <v>0</v>
      </c>
      <c r="Y6" s="34"/>
    </row>
    <row r="7" spans="1:25" ht="33.75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57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312</v>
      </c>
      <c r="W7" s="23" t="s">
        <v>6</v>
      </c>
      <c r="X7" s="26" t="s">
        <v>3</v>
      </c>
      <c r="Y7" s="36" t="s">
        <v>56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46</v>
      </c>
      <c r="I8" s="29" t="s">
        <v>58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5" s="4" customFormat="1" ht="54.75" customHeight="1" x14ac:dyDescent="0.25">
      <c r="A9" s="142"/>
      <c r="B9" s="142"/>
      <c r="C9" s="142"/>
      <c r="D9" s="141" t="s">
        <v>112</v>
      </c>
      <c r="E9" s="142" t="s">
        <v>60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131.25" customHeight="1" x14ac:dyDescent="0.3">
      <c r="A10" s="116" t="s">
        <v>83</v>
      </c>
      <c r="B10" s="175" t="s">
        <v>110</v>
      </c>
      <c r="C10" s="175" t="s">
        <v>115</v>
      </c>
      <c r="D10" s="248" t="s">
        <v>99</v>
      </c>
      <c r="E10" s="177" t="s">
        <v>225</v>
      </c>
      <c r="F10" s="178">
        <v>15</v>
      </c>
      <c r="G10" s="179">
        <f>H10/F10</f>
        <v>1110.0666666666666</v>
      </c>
      <c r="H10" s="180">
        <v>16651</v>
      </c>
      <c r="I10" s="181">
        <v>0</v>
      </c>
      <c r="J10" s="182">
        <f>SUM(H10:I10)</f>
        <v>16651</v>
      </c>
      <c r="K10" s="183">
        <f>IF(H10/15&lt;=SMG,0,I10/2)</f>
        <v>0</v>
      </c>
      <c r="L10" s="183">
        <f>H10+K10</f>
        <v>16651</v>
      </c>
      <c r="M10" s="183">
        <f>VLOOKUP(L10,Tarifa1,1)</f>
        <v>15412.81</v>
      </c>
      <c r="N10" s="183">
        <f>L10-M10</f>
        <v>1238.1900000000005</v>
      </c>
      <c r="O10" s="184">
        <f>VLOOKUP(L10,Tarifa1,3)</f>
        <v>0.23519999999999999</v>
      </c>
      <c r="P10" s="183">
        <f>N10*O10</f>
        <v>291.22228800000011</v>
      </c>
      <c r="Q10" s="185">
        <f>VLOOKUP(L10,Tarifa1,2)</f>
        <v>2469.15</v>
      </c>
      <c r="R10" s="183">
        <f>P10+Q10</f>
        <v>2760.372288</v>
      </c>
      <c r="S10" s="183">
        <f>VLOOKUP(L10,Credito1,2)</f>
        <v>0</v>
      </c>
      <c r="T10" s="183">
        <f>ROUND(R10-S10,2)</f>
        <v>2760.37</v>
      </c>
      <c r="U10" s="182">
        <f>-IF(T10&gt;0,0,T10)</f>
        <v>0</v>
      </c>
      <c r="V10" s="182">
        <f>IF(H10/15&lt;=SMG,0,IF(T10&lt;0,0,T10))</f>
        <v>2760.37</v>
      </c>
      <c r="W10" s="182">
        <f>SUM(V10:V10)</f>
        <v>2760.37</v>
      </c>
      <c r="X10" s="182">
        <f>J10+U10-W10</f>
        <v>13890.630000000001</v>
      </c>
      <c r="Y10" s="90"/>
    </row>
    <row r="11" spans="1:25" s="4" customFormat="1" ht="131.25" customHeight="1" x14ac:dyDescent="0.3">
      <c r="A11" s="116" t="s">
        <v>85</v>
      </c>
      <c r="B11" s="175" t="s">
        <v>104</v>
      </c>
      <c r="C11" s="175" t="s">
        <v>115</v>
      </c>
      <c r="D11" s="249" t="s">
        <v>73</v>
      </c>
      <c r="E11" s="177" t="s">
        <v>226</v>
      </c>
      <c r="F11" s="178">
        <v>15</v>
      </c>
      <c r="G11" s="179">
        <f>H11/F11</f>
        <v>704.86666666666667</v>
      </c>
      <c r="H11" s="180">
        <v>10573</v>
      </c>
      <c r="I11" s="181">
        <v>0</v>
      </c>
      <c r="J11" s="182">
        <f>H11</f>
        <v>10573</v>
      </c>
      <c r="K11" s="183">
        <f>IF(H11/15&lt;=SMG,0,I11/2)</f>
        <v>0</v>
      </c>
      <c r="L11" s="183">
        <f t="shared" ref="L11:L12" si="0">H11+K11</f>
        <v>10573</v>
      </c>
      <c r="M11" s="183">
        <f>VLOOKUP(L11,Tarifa1,1)</f>
        <v>7641.91</v>
      </c>
      <c r="N11" s="183">
        <f t="shared" ref="N11:N12" si="1">L11-M11</f>
        <v>2931.09</v>
      </c>
      <c r="O11" s="184">
        <f>VLOOKUP(L11,Tarifa1,3)</f>
        <v>0.21360000000000001</v>
      </c>
      <c r="P11" s="183">
        <f t="shared" ref="P11:P12" si="2">N11*O11</f>
        <v>626.08082400000012</v>
      </c>
      <c r="Q11" s="185">
        <f>VLOOKUP(L11,Tarifa1,2)</f>
        <v>809.25</v>
      </c>
      <c r="R11" s="183">
        <f t="shared" ref="R11:R12" si="3">P11+Q11</f>
        <v>1435.3308240000001</v>
      </c>
      <c r="S11" s="183">
        <f>VLOOKUP(L11,Credito1,2)</f>
        <v>0</v>
      </c>
      <c r="T11" s="183">
        <f t="shared" ref="T11:T12" si="4">ROUND(R11-S11,2)</f>
        <v>1435.33</v>
      </c>
      <c r="U11" s="182">
        <f t="shared" ref="U11:U12" si="5">-IF(T11&gt;0,0,T11)</f>
        <v>0</v>
      </c>
      <c r="V11" s="182">
        <f>IF(H11/15&lt;=SMG,0,IF(T11&lt;0,0,T11))</f>
        <v>1435.33</v>
      </c>
      <c r="W11" s="182">
        <f>SUM(V11:V11)</f>
        <v>1435.33</v>
      </c>
      <c r="X11" s="182">
        <f>J11+U11-W11</f>
        <v>9137.67</v>
      </c>
      <c r="Y11" s="90"/>
    </row>
    <row r="12" spans="1:25" s="4" customFormat="1" ht="131.25" customHeight="1" x14ac:dyDescent="0.3">
      <c r="A12" s="116" t="s">
        <v>86</v>
      </c>
      <c r="B12" s="175" t="s">
        <v>111</v>
      </c>
      <c r="C12" s="175" t="s">
        <v>115</v>
      </c>
      <c r="D12" s="249" t="s">
        <v>96</v>
      </c>
      <c r="E12" s="177" t="s">
        <v>226</v>
      </c>
      <c r="F12" s="178">
        <v>15</v>
      </c>
      <c r="G12" s="179">
        <f>H12/F12</f>
        <v>418.33333333333331</v>
      </c>
      <c r="H12" s="180">
        <v>6275</v>
      </c>
      <c r="I12" s="181">
        <v>0</v>
      </c>
      <c r="J12" s="182">
        <f>SUM(H12:I12)</f>
        <v>6275</v>
      </c>
      <c r="K12" s="183">
        <f>IF(H12/15&lt;=SMG,0,I12/2)</f>
        <v>0</v>
      </c>
      <c r="L12" s="183">
        <f t="shared" si="0"/>
        <v>6275</v>
      </c>
      <c r="M12" s="183">
        <f>VLOOKUP(L12,Tarifa1,1)</f>
        <v>5490.76</v>
      </c>
      <c r="N12" s="183">
        <f t="shared" si="1"/>
        <v>784.23999999999978</v>
      </c>
      <c r="O12" s="184">
        <f>VLOOKUP(L12,Tarifa1,3)</f>
        <v>0.16</v>
      </c>
      <c r="P12" s="183">
        <f t="shared" si="2"/>
        <v>125.47839999999997</v>
      </c>
      <c r="Q12" s="185">
        <f>VLOOKUP(L12,Tarifa1,2)</f>
        <v>441</v>
      </c>
      <c r="R12" s="183">
        <f t="shared" si="3"/>
        <v>566.47839999999997</v>
      </c>
      <c r="S12" s="183">
        <f>VLOOKUP(L12,Credito1,2)</f>
        <v>0</v>
      </c>
      <c r="T12" s="183">
        <f t="shared" si="4"/>
        <v>566.48</v>
      </c>
      <c r="U12" s="182">
        <f t="shared" si="5"/>
        <v>0</v>
      </c>
      <c r="V12" s="182">
        <f>IF(H12/15&lt;=SMG,0,IF(T12&lt;0,0,T12))</f>
        <v>566.48</v>
      </c>
      <c r="W12" s="182">
        <f>SUM(V12:V12)</f>
        <v>566.48</v>
      </c>
      <c r="X12" s="182">
        <f>J12+U12-W12</f>
        <v>5708.52</v>
      </c>
      <c r="Y12" s="90"/>
    </row>
    <row r="13" spans="1:25" s="4" customFormat="1" ht="36" customHeight="1" x14ac:dyDescent="0.25">
      <c r="A13" s="203"/>
      <c r="B13" s="203"/>
      <c r="C13" s="203"/>
      <c r="D13" s="203"/>
      <c r="E13" s="203"/>
      <c r="F13" s="203"/>
      <c r="G13" s="203"/>
      <c r="H13" s="209"/>
      <c r="I13" s="209"/>
      <c r="J13" s="209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</row>
    <row r="14" spans="1:25" s="4" customFormat="1" ht="60" customHeight="1" thickBot="1" x14ac:dyDescent="0.3">
      <c r="A14" s="265" t="s">
        <v>44</v>
      </c>
      <c r="B14" s="266"/>
      <c r="C14" s="266"/>
      <c r="D14" s="266"/>
      <c r="E14" s="266"/>
      <c r="F14" s="266"/>
      <c r="G14" s="267"/>
      <c r="H14" s="186">
        <f>SUM(H10:H13)</f>
        <v>33499</v>
      </c>
      <c r="I14" s="186">
        <f>SUM(I10:I13)</f>
        <v>0</v>
      </c>
      <c r="J14" s="186">
        <f>SUM(J10:J13)</f>
        <v>33499</v>
      </c>
      <c r="K14" s="187">
        <f t="shared" ref="K14:T14" si="6">SUM(K10:K13)</f>
        <v>0</v>
      </c>
      <c r="L14" s="187">
        <f t="shared" si="6"/>
        <v>33499</v>
      </c>
      <c r="M14" s="187">
        <f t="shared" si="6"/>
        <v>28545.480000000003</v>
      </c>
      <c r="N14" s="187">
        <f t="shared" si="6"/>
        <v>4953.5200000000004</v>
      </c>
      <c r="O14" s="187">
        <f t="shared" si="6"/>
        <v>0.60880000000000001</v>
      </c>
      <c r="P14" s="187">
        <f t="shared" si="6"/>
        <v>1042.7815120000002</v>
      </c>
      <c r="Q14" s="187">
        <f t="shared" si="6"/>
        <v>3719.4</v>
      </c>
      <c r="R14" s="187">
        <f t="shared" si="6"/>
        <v>4762.1815120000001</v>
      </c>
      <c r="S14" s="187">
        <f t="shared" si="6"/>
        <v>0</v>
      </c>
      <c r="T14" s="187">
        <f t="shared" si="6"/>
        <v>4762.18</v>
      </c>
      <c r="U14" s="186">
        <f>SUM(U10:U13)</f>
        <v>0</v>
      </c>
      <c r="V14" s="186">
        <f>SUM(V10:V13)</f>
        <v>4762.18</v>
      </c>
      <c r="W14" s="186">
        <f>SUM(W10:W13)</f>
        <v>4762.18</v>
      </c>
      <c r="X14" s="186">
        <f>SUM(X10:X12)</f>
        <v>28736.820000000003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1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4.28515625" customWidth="1"/>
    <col min="10" max="10" width="13.140625" hidden="1" customWidth="1"/>
    <col min="11" max="13" width="12.85546875" hidden="1" customWidth="1"/>
    <col min="14" max="15" width="13.140625" hidden="1" customWidth="1"/>
    <col min="16" max="16" width="10.5703125" hidden="1" customWidth="1"/>
    <col min="17" max="17" width="13" hidden="1" customWidth="1"/>
    <col min="18" max="18" width="13.140625" hidden="1" customWidth="1"/>
    <col min="19" max="19" width="13.85546875" hidden="1" customWidth="1"/>
    <col min="20" max="20" width="9.7109375" customWidth="1"/>
    <col min="21" max="21" width="14.7109375" customWidth="1"/>
    <col min="22" max="22" width="14.5703125" customWidth="1"/>
    <col min="23" max="23" width="15.42578125" customWidth="1"/>
    <col min="24" max="24" width="71.140625" customWidth="1"/>
    <col min="25" max="25" width="0.8554687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22</v>
      </c>
      <c r="G6" s="23" t="s">
        <v>5</v>
      </c>
      <c r="H6" s="279" t="s">
        <v>1</v>
      </c>
      <c r="I6" s="281"/>
      <c r="J6" s="24" t="s">
        <v>25</v>
      </c>
      <c r="K6" s="25"/>
      <c r="L6" s="282" t="s">
        <v>8</v>
      </c>
      <c r="M6" s="283"/>
      <c r="N6" s="283"/>
      <c r="O6" s="283"/>
      <c r="P6" s="283"/>
      <c r="Q6" s="284"/>
      <c r="R6" s="24" t="s">
        <v>29</v>
      </c>
      <c r="S6" s="24" t="s">
        <v>9</v>
      </c>
      <c r="T6" s="23" t="s">
        <v>52</v>
      </c>
      <c r="U6" s="285" t="s">
        <v>2</v>
      </c>
      <c r="V6" s="286"/>
      <c r="W6" s="23" t="s">
        <v>0</v>
      </c>
      <c r="X6" s="34"/>
    </row>
    <row r="7" spans="1:25" ht="33.75" customHeight="1" x14ac:dyDescent="0.2">
      <c r="A7" s="26" t="s">
        <v>20</v>
      </c>
      <c r="B7" s="44" t="s">
        <v>101</v>
      </c>
      <c r="C7" s="44" t="s">
        <v>116</v>
      </c>
      <c r="D7" s="26" t="s">
        <v>21</v>
      </c>
      <c r="E7" s="26"/>
      <c r="F7" s="27" t="s">
        <v>23</v>
      </c>
      <c r="G7" s="26" t="s">
        <v>24</v>
      </c>
      <c r="H7" s="23" t="s">
        <v>5</v>
      </c>
      <c r="I7" s="23" t="s">
        <v>27</v>
      </c>
      <c r="J7" s="28" t="s">
        <v>26</v>
      </c>
      <c r="K7" s="25" t="s">
        <v>31</v>
      </c>
      <c r="L7" s="25" t="s">
        <v>11</v>
      </c>
      <c r="M7" s="25" t="s">
        <v>33</v>
      </c>
      <c r="N7" s="25" t="s">
        <v>35</v>
      </c>
      <c r="O7" s="25" t="s">
        <v>36</v>
      </c>
      <c r="P7" s="25" t="s">
        <v>13</v>
      </c>
      <c r="Q7" s="25" t="s">
        <v>9</v>
      </c>
      <c r="R7" s="28" t="s">
        <v>39</v>
      </c>
      <c r="S7" s="28" t="s">
        <v>40</v>
      </c>
      <c r="T7" s="26" t="s">
        <v>30</v>
      </c>
      <c r="U7" s="23" t="s">
        <v>312</v>
      </c>
      <c r="V7" s="23" t="s">
        <v>6</v>
      </c>
      <c r="W7" s="26" t="s">
        <v>3</v>
      </c>
      <c r="X7" s="36" t="s">
        <v>56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46</v>
      </c>
      <c r="I8" s="29" t="s">
        <v>28</v>
      </c>
      <c r="J8" s="30" t="s">
        <v>42</v>
      </c>
      <c r="K8" s="24" t="s">
        <v>32</v>
      </c>
      <c r="L8" s="24" t="s">
        <v>12</v>
      </c>
      <c r="M8" s="24" t="s">
        <v>34</v>
      </c>
      <c r="N8" s="24" t="s">
        <v>34</v>
      </c>
      <c r="O8" s="24" t="s">
        <v>37</v>
      </c>
      <c r="P8" s="24" t="s">
        <v>14</v>
      </c>
      <c r="Q8" s="24" t="s">
        <v>38</v>
      </c>
      <c r="R8" s="28" t="s">
        <v>18</v>
      </c>
      <c r="S8" s="31" t="s">
        <v>41</v>
      </c>
      <c r="T8" s="29" t="s">
        <v>51</v>
      </c>
      <c r="U8" s="29"/>
      <c r="V8" s="29" t="s">
        <v>43</v>
      </c>
      <c r="W8" s="29" t="s">
        <v>4</v>
      </c>
      <c r="X8" s="35"/>
    </row>
    <row r="9" spans="1:25" ht="15" x14ac:dyDescent="0.25">
      <c r="A9" s="39"/>
      <c r="B9" s="39"/>
      <c r="C9" s="39"/>
      <c r="D9" s="91" t="s">
        <v>59</v>
      </c>
      <c r="E9" s="38" t="s">
        <v>60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9.5" customHeight="1" x14ac:dyDescent="0.3">
      <c r="A10" s="116" t="s">
        <v>83</v>
      </c>
      <c r="B10" s="174" t="s">
        <v>252</v>
      </c>
      <c r="C10" s="175" t="s">
        <v>115</v>
      </c>
      <c r="D10" s="248" t="s">
        <v>235</v>
      </c>
      <c r="E10" s="176" t="s">
        <v>75</v>
      </c>
      <c r="F10" s="178">
        <v>15</v>
      </c>
      <c r="G10" s="216">
        <f>H10/F10</f>
        <v>590</v>
      </c>
      <c r="H10" s="180">
        <v>8850</v>
      </c>
      <c r="I10" s="182">
        <f t="shared" ref="I10:I18" si="0">SUM(H10:H10)</f>
        <v>8850</v>
      </c>
      <c r="J10" s="183">
        <v>0</v>
      </c>
      <c r="K10" s="183">
        <f>I10+J10</f>
        <v>8850</v>
      </c>
      <c r="L10" s="183">
        <f t="shared" ref="L10:L18" si="1">VLOOKUP(K10,Tarifa1,1)</f>
        <v>7641.91</v>
      </c>
      <c r="M10" s="183">
        <f>K10-L10</f>
        <v>1208.0900000000001</v>
      </c>
      <c r="N10" s="184">
        <f t="shared" ref="N10" si="2">VLOOKUP(K10,Tarifa1,3)</f>
        <v>0.21360000000000001</v>
      </c>
      <c r="O10" s="183">
        <f>M10*N10</f>
        <v>258.04802400000005</v>
      </c>
      <c r="P10" s="185">
        <f t="shared" ref="P10:P18" si="3">VLOOKUP(K10,Tarifa1,2)</f>
        <v>809.25</v>
      </c>
      <c r="Q10" s="183">
        <f>O10+P10</f>
        <v>1067.2980240000002</v>
      </c>
      <c r="R10" s="183">
        <f t="shared" ref="R10" si="4">VLOOKUP(K10,Credito1,2)</f>
        <v>0</v>
      </c>
      <c r="S10" s="183">
        <f>ROUND(Q10-R10,2)</f>
        <v>1067.3</v>
      </c>
      <c r="T10" s="182">
        <f t="shared" ref="T10:T18" si="5">-IF(S10&gt;0,0,S10)</f>
        <v>0</v>
      </c>
      <c r="U10" s="182">
        <f t="shared" ref="U10:U18" si="6">IF(H10/15&lt;=SMG,0,IF(S10&lt;0,0,S10))</f>
        <v>1067.3</v>
      </c>
      <c r="V10" s="182">
        <f>SUM(U10:U10)</f>
        <v>1067.3</v>
      </c>
      <c r="W10" s="182">
        <f>I10+T10-V10</f>
        <v>7782.7</v>
      </c>
      <c r="X10" s="33"/>
    </row>
    <row r="11" spans="1:25" ht="79.5" customHeight="1" x14ac:dyDescent="0.3">
      <c r="A11" s="116" t="s">
        <v>84</v>
      </c>
      <c r="B11" s="174" t="s">
        <v>233</v>
      </c>
      <c r="C11" s="175" t="s">
        <v>115</v>
      </c>
      <c r="D11" s="248" t="s">
        <v>236</v>
      </c>
      <c r="E11" s="176" t="s">
        <v>75</v>
      </c>
      <c r="F11" s="178">
        <v>15</v>
      </c>
      <c r="G11" s="216">
        <f t="shared" ref="G11:G18" si="7">H11/F11</f>
        <v>590</v>
      </c>
      <c r="H11" s="180">
        <v>8850</v>
      </c>
      <c r="I11" s="182">
        <f t="shared" si="0"/>
        <v>8850</v>
      </c>
      <c r="J11" s="183">
        <v>0</v>
      </c>
      <c r="K11" s="183">
        <f t="shared" ref="K11:K18" si="8">I11+J11</f>
        <v>8850</v>
      </c>
      <c r="L11" s="183">
        <f t="shared" si="1"/>
        <v>7641.91</v>
      </c>
      <c r="M11" s="183">
        <f t="shared" ref="M11" si="9">K11-L11</f>
        <v>1208.0900000000001</v>
      </c>
      <c r="N11" s="184">
        <f t="shared" ref="N11" si="10">VLOOKUP(K11,Tarifa1,3)</f>
        <v>0.21360000000000001</v>
      </c>
      <c r="O11" s="183">
        <f t="shared" ref="O11" si="11">M11*N11</f>
        <v>258.04802400000005</v>
      </c>
      <c r="P11" s="185">
        <f t="shared" si="3"/>
        <v>809.25</v>
      </c>
      <c r="Q11" s="183">
        <f t="shared" ref="Q11:Q18" si="12">O11+P11</f>
        <v>1067.2980240000002</v>
      </c>
      <c r="R11" s="183">
        <f t="shared" ref="R11:R18" si="13">VLOOKUP(K11,Credito1,2)</f>
        <v>0</v>
      </c>
      <c r="S11" s="183">
        <f t="shared" ref="S11:S18" si="14">ROUND(Q11-R11,2)</f>
        <v>1067.3</v>
      </c>
      <c r="T11" s="182">
        <f t="shared" si="5"/>
        <v>0</v>
      </c>
      <c r="U11" s="182">
        <f t="shared" si="6"/>
        <v>1067.3</v>
      </c>
      <c r="V11" s="182">
        <f>SUM(U11:U11)</f>
        <v>1067.3</v>
      </c>
      <c r="W11" s="182">
        <f>I11+T11-V11</f>
        <v>7782.7</v>
      </c>
      <c r="X11" s="33"/>
    </row>
    <row r="12" spans="1:25" ht="79.5" customHeight="1" x14ac:dyDescent="0.3">
      <c r="A12" s="116" t="s">
        <v>85</v>
      </c>
      <c r="B12" s="174" t="s">
        <v>234</v>
      </c>
      <c r="C12" s="175" t="s">
        <v>115</v>
      </c>
      <c r="D12" s="248" t="s">
        <v>237</v>
      </c>
      <c r="E12" s="176" t="s">
        <v>75</v>
      </c>
      <c r="F12" s="178">
        <v>15</v>
      </c>
      <c r="G12" s="216">
        <f t="shared" si="7"/>
        <v>590</v>
      </c>
      <c r="H12" s="180">
        <v>8850</v>
      </c>
      <c r="I12" s="182">
        <f t="shared" si="0"/>
        <v>8850</v>
      </c>
      <c r="J12" s="183">
        <v>0</v>
      </c>
      <c r="K12" s="183">
        <f t="shared" si="8"/>
        <v>8850</v>
      </c>
      <c r="L12" s="183">
        <f t="shared" si="1"/>
        <v>7641.91</v>
      </c>
      <c r="M12" s="183">
        <f t="shared" ref="M12:M18" si="15">K12-L12</f>
        <v>1208.0900000000001</v>
      </c>
      <c r="N12" s="184">
        <f t="shared" ref="N12:N18" si="16">VLOOKUP(K12,Tarifa1,3)</f>
        <v>0.21360000000000001</v>
      </c>
      <c r="O12" s="183">
        <f t="shared" ref="O12:O18" si="17">M12*N12</f>
        <v>258.04802400000005</v>
      </c>
      <c r="P12" s="185">
        <f t="shared" si="3"/>
        <v>809.25</v>
      </c>
      <c r="Q12" s="183">
        <f t="shared" si="12"/>
        <v>1067.2980240000002</v>
      </c>
      <c r="R12" s="183">
        <f t="shared" si="13"/>
        <v>0</v>
      </c>
      <c r="S12" s="183">
        <f t="shared" si="14"/>
        <v>1067.3</v>
      </c>
      <c r="T12" s="182">
        <f t="shared" si="5"/>
        <v>0</v>
      </c>
      <c r="U12" s="182">
        <f t="shared" si="6"/>
        <v>1067.3</v>
      </c>
      <c r="V12" s="182">
        <f>SUM(U12:U12)</f>
        <v>1067.3</v>
      </c>
      <c r="W12" s="182">
        <f>I12+T12-V12</f>
        <v>7782.7</v>
      </c>
      <c r="X12" s="33"/>
    </row>
    <row r="13" spans="1:25" ht="79.5" customHeight="1" x14ac:dyDescent="0.3">
      <c r="A13" s="116" t="s">
        <v>86</v>
      </c>
      <c r="B13" s="174" t="s">
        <v>253</v>
      </c>
      <c r="C13" s="175" t="s">
        <v>115</v>
      </c>
      <c r="D13" s="249" t="s">
        <v>238</v>
      </c>
      <c r="E13" s="176" t="s">
        <v>75</v>
      </c>
      <c r="F13" s="178">
        <v>10</v>
      </c>
      <c r="G13" s="216">
        <f t="shared" si="7"/>
        <v>885</v>
      </c>
      <c r="H13" s="180">
        <v>8850</v>
      </c>
      <c r="I13" s="182">
        <f t="shared" ref="I13" si="18">SUM(H13:H13)</f>
        <v>8850</v>
      </c>
      <c r="J13" s="183">
        <v>0</v>
      </c>
      <c r="K13" s="183">
        <f t="shared" ref="K13" si="19">I13+J13</f>
        <v>8850</v>
      </c>
      <c r="L13" s="183">
        <f t="shared" si="1"/>
        <v>7641.91</v>
      </c>
      <c r="M13" s="183">
        <f t="shared" si="15"/>
        <v>1208.0900000000001</v>
      </c>
      <c r="N13" s="184">
        <f t="shared" si="16"/>
        <v>0.21360000000000001</v>
      </c>
      <c r="O13" s="183">
        <f t="shared" si="17"/>
        <v>258.04802400000005</v>
      </c>
      <c r="P13" s="185">
        <f t="shared" si="3"/>
        <v>809.25</v>
      </c>
      <c r="Q13" s="183">
        <f t="shared" ref="Q13" si="20">O13+P13</f>
        <v>1067.2980240000002</v>
      </c>
      <c r="R13" s="183">
        <f t="shared" ref="R13" si="21">VLOOKUP(K13,Credito1,2)</f>
        <v>0</v>
      </c>
      <c r="S13" s="183">
        <f t="shared" ref="S13" si="22">ROUND(Q13-R13,2)</f>
        <v>1067.3</v>
      </c>
      <c r="T13" s="182">
        <f t="shared" si="5"/>
        <v>0</v>
      </c>
      <c r="U13" s="182">
        <f t="shared" si="6"/>
        <v>1067.3</v>
      </c>
      <c r="V13" s="182">
        <f>SUM(U13:U13)</f>
        <v>1067.3</v>
      </c>
      <c r="W13" s="182">
        <f>I13+T13-V13</f>
        <v>7782.7</v>
      </c>
      <c r="X13" s="33"/>
    </row>
    <row r="14" spans="1:25" ht="79.5" customHeight="1" x14ac:dyDescent="0.3">
      <c r="A14" s="116" t="s">
        <v>87</v>
      </c>
      <c r="B14" s="174" t="s">
        <v>254</v>
      </c>
      <c r="C14" s="175" t="s">
        <v>115</v>
      </c>
      <c r="D14" s="250" t="s">
        <v>239</v>
      </c>
      <c r="E14" s="193" t="s">
        <v>75</v>
      </c>
      <c r="F14" s="194">
        <v>15</v>
      </c>
      <c r="G14" s="217">
        <f t="shared" si="7"/>
        <v>590</v>
      </c>
      <c r="H14" s="180">
        <v>8850</v>
      </c>
      <c r="I14" s="182">
        <f t="shared" ref="I14" si="23">SUM(H14:H14)</f>
        <v>8850</v>
      </c>
      <c r="J14" s="183">
        <v>0</v>
      </c>
      <c r="K14" s="183">
        <f t="shared" si="8"/>
        <v>8850</v>
      </c>
      <c r="L14" s="183">
        <f t="shared" si="1"/>
        <v>7641.91</v>
      </c>
      <c r="M14" s="183">
        <f t="shared" si="15"/>
        <v>1208.0900000000001</v>
      </c>
      <c r="N14" s="184">
        <f t="shared" si="16"/>
        <v>0.21360000000000001</v>
      </c>
      <c r="O14" s="183">
        <f t="shared" si="17"/>
        <v>258.04802400000005</v>
      </c>
      <c r="P14" s="185">
        <f t="shared" si="3"/>
        <v>809.25</v>
      </c>
      <c r="Q14" s="183">
        <f t="shared" si="12"/>
        <v>1067.2980240000002</v>
      </c>
      <c r="R14" s="183">
        <f t="shared" si="13"/>
        <v>0</v>
      </c>
      <c r="S14" s="183">
        <f t="shared" si="14"/>
        <v>1067.3</v>
      </c>
      <c r="T14" s="182">
        <f t="shared" ref="T14" si="24">-IF(S14&gt;0,0,S14)</f>
        <v>0</v>
      </c>
      <c r="U14" s="182">
        <f t="shared" si="6"/>
        <v>1067.3</v>
      </c>
      <c r="V14" s="182">
        <f>SUM(U14:U14)</f>
        <v>1067.3</v>
      </c>
      <c r="W14" s="182">
        <f>I14+T14-V14</f>
        <v>7782.7</v>
      </c>
      <c r="X14" s="33"/>
    </row>
    <row r="15" spans="1:25" ht="79.5" customHeight="1" x14ac:dyDescent="0.3">
      <c r="A15" s="116" t="s">
        <v>88</v>
      </c>
      <c r="B15" s="174" t="s">
        <v>255</v>
      </c>
      <c r="C15" s="175" t="s">
        <v>115</v>
      </c>
      <c r="D15" s="248" t="s">
        <v>240</v>
      </c>
      <c r="E15" s="176" t="s">
        <v>75</v>
      </c>
      <c r="F15" s="178">
        <v>15</v>
      </c>
      <c r="G15" s="216">
        <f t="shared" si="7"/>
        <v>590</v>
      </c>
      <c r="H15" s="180">
        <v>8850</v>
      </c>
      <c r="I15" s="182">
        <f t="shared" si="0"/>
        <v>8850</v>
      </c>
      <c r="J15" s="183">
        <v>0</v>
      </c>
      <c r="K15" s="183">
        <f t="shared" si="8"/>
        <v>8850</v>
      </c>
      <c r="L15" s="183">
        <f t="shared" si="1"/>
        <v>7641.91</v>
      </c>
      <c r="M15" s="183">
        <f t="shared" si="15"/>
        <v>1208.0900000000001</v>
      </c>
      <c r="N15" s="184">
        <f t="shared" si="16"/>
        <v>0.21360000000000001</v>
      </c>
      <c r="O15" s="183">
        <f t="shared" si="17"/>
        <v>258.04802400000005</v>
      </c>
      <c r="P15" s="185">
        <f t="shared" si="3"/>
        <v>809.25</v>
      </c>
      <c r="Q15" s="183">
        <f t="shared" si="12"/>
        <v>1067.2980240000002</v>
      </c>
      <c r="R15" s="183">
        <f t="shared" si="13"/>
        <v>0</v>
      </c>
      <c r="S15" s="183">
        <f t="shared" si="14"/>
        <v>1067.3</v>
      </c>
      <c r="T15" s="182">
        <f t="shared" si="5"/>
        <v>0</v>
      </c>
      <c r="U15" s="182">
        <f t="shared" si="6"/>
        <v>1067.3</v>
      </c>
      <c r="V15" s="182">
        <f>SUM(U15:U15)</f>
        <v>1067.3</v>
      </c>
      <c r="W15" s="182">
        <f>I15+T15-V15</f>
        <v>7782.7</v>
      </c>
      <c r="X15" s="33"/>
    </row>
    <row r="16" spans="1:25" ht="79.5" customHeight="1" x14ac:dyDescent="0.3">
      <c r="A16" s="116" t="s">
        <v>89</v>
      </c>
      <c r="B16" s="174" t="s">
        <v>241</v>
      </c>
      <c r="C16" s="175" t="s">
        <v>115</v>
      </c>
      <c r="D16" s="248" t="s">
        <v>242</v>
      </c>
      <c r="E16" s="176" t="s">
        <v>75</v>
      </c>
      <c r="F16" s="178">
        <v>15</v>
      </c>
      <c r="G16" s="216">
        <f t="shared" si="7"/>
        <v>590</v>
      </c>
      <c r="H16" s="180">
        <v>8850</v>
      </c>
      <c r="I16" s="182">
        <f t="shared" si="0"/>
        <v>8850</v>
      </c>
      <c r="J16" s="183">
        <v>0</v>
      </c>
      <c r="K16" s="183">
        <f t="shared" si="8"/>
        <v>8850</v>
      </c>
      <c r="L16" s="183">
        <f t="shared" si="1"/>
        <v>7641.91</v>
      </c>
      <c r="M16" s="183">
        <f t="shared" si="15"/>
        <v>1208.0900000000001</v>
      </c>
      <c r="N16" s="184">
        <f t="shared" si="16"/>
        <v>0.21360000000000001</v>
      </c>
      <c r="O16" s="183">
        <f t="shared" si="17"/>
        <v>258.04802400000005</v>
      </c>
      <c r="P16" s="185">
        <f t="shared" si="3"/>
        <v>809.25</v>
      </c>
      <c r="Q16" s="183">
        <f t="shared" si="12"/>
        <v>1067.2980240000002</v>
      </c>
      <c r="R16" s="183">
        <f t="shared" si="13"/>
        <v>0</v>
      </c>
      <c r="S16" s="183">
        <f t="shared" si="14"/>
        <v>1067.3</v>
      </c>
      <c r="T16" s="182">
        <f t="shared" si="5"/>
        <v>0</v>
      </c>
      <c r="U16" s="182">
        <f t="shared" si="6"/>
        <v>1067.3</v>
      </c>
      <c r="V16" s="182">
        <f>SUM(U16:U16)</f>
        <v>1067.3</v>
      </c>
      <c r="W16" s="182">
        <f>I16+T16-V16</f>
        <v>7782.7</v>
      </c>
      <c r="X16" s="33"/>
    </row>
    <row r="17" spans="1:24" ht="79.5" customHeight="1" x14ac:dyDescent="0.3">
      <c r="A17" s="116" t="s">
        <v>90</v>
      </c>
      <c r="B17" s="174" t="s">
        <v>256</v>
      </c>
      <c r="C17" s="175" t="s">
        <v>115</v>
      </c>
      <c r="D17" s="248" t="s">
        <v>243</v>
      </c>
      <c r="E17" s="176" t="s">
        <v>75</v>
      </c>
      <c r="F17" s="178">
        <v>15</v>
      </c>
      <c r="G17" s="216">
        <f t="shared" si="7"/>
        <v>590</v>
      </c>
      <c r="H17" s="180">
        <v>8850</v>
      </c>
      <c r="I17" s="182">
        <f t="shared" si="0"/>
        <v>8850</v>
      </c>
      <c r="J17" s="183">
        <v>0</v>
      </c>
      <c r="K17" s="183">
        <f t="shared" si="8"/>
        <v>8850</v>
      </c>
      <c r="L17" s="183">
        <f t="shared" si="1"/>
        <v>7641.91</v>
      </c>
      <c r="M17" s="183">
        <f t="shared" si="15"/>
        <v>1208.0900000000001</v>
      </c>
      <c r="N17" s="184">
        <f t="shared" si="16"/>
        <v>0.21360000000000001</v>
      </c>
      <c r="O17" s="183">
        <f t="shared" si="17"/>
        <v>258.04802400000005</v>
      </c>
      <c r="P17" s="185">
        <f t="shared" si="3"/>
        <v>809.25</v>
      </c>
      <c r="Q17" s="183">
        <f t="shared" si="12"/>
        <v>1067.2980240000002</v>
      </c>
      <c r="R17" s="183">
        <f t="shared" si="13"/>
        <v>0</v>
      </c>
      <c r="S17" s="183">
        <f t="shared" si="14"/>
        <v>1067.3</v>
      </c>
      <c r="T17" s="182">
        <f t="shared" si="5"/>
        <v>0</v>
      </c>
      <c r="U17" s="182">
        <f t="shared" si="6"/>
        <v>1067.3</v>
      </c>
      <c r="V17" s="182">
        <f>SUM(U17:U17)</f>
        <v>1067.3</v>
      </c>
      <c r="W17" s="182">
        <f>I17+T17-V17</f>
        <v>7782.7</v>
      </c>
      <c r="X17" s="33"/>
    </row>
    <row r="18" spans="1:24" ht="79.5" customHeight="1" x14ac:dyDescent="0.3">
      <c r="A18" s="116" t="s">
        <v>91</v>
      </c>
      <c r="B18" s="174" t="s">
        <v>257</v>
      </c>
      <c r="C18" s="175" t="s">
        <v>115</v>
      </c>
      <c r="D18" s="248" t="s">
        <v>264</v>
      </c>
      <c r="E18" s="176" t="s">
        <v>75</v>
      </c>
      <c r="F18" s="178">
        <v>15</v>
      </c>
      <c r="G18" s="216">
        <f t="shared" si="7"/>
        <v>590</v>
      </c>
      <c r="H18" s="180">
        <v>8850</v>
      </c>
      <c r="I18" s="182">
        <f t="shared" si="0"/>
        <v>8850</v>
      </c>
      <c r="J18" s="183">
        <v>0</v>
      </c>
      <c r="K18" s="183">
        <f t="shared" si="8"/>
        <v>8850</v>
      </c>
      <c r="L18" s="183">
        <f t="shared" si="1"/>
        <v>7641.91</v>
      </c>
      <c r="M18" s="183">
        <f t="shared" si="15"/>
        <v>1208.0900000000001</v>
      </c>
      <c r="N18" s="184">
        <f t="shared" si="16"/>
        <v>0.21360000000000001</v>
      </c>
      <c r="O18" s="183">
        <f t="shared" si="17"/>
        <v>258.04802400000005</v>
      </c>
      <c r="P18" s="185">
        <f t="shared" si="3"/>
        <v>809.25</v>
      </c>
      <c r="Q18" s="183">
        <f t="shared" si="12"/>
        <v>1067.2980240000002</v>
      </c>
      <c r="R18" s="183">
        <f t="shared" si="13"/>
        <v>0</v>
      </c>
      <c r="S18" s="183">
        <f t="shared" si="14"/>
        <v>1067.3</v>
      </c>
      <c r="T18" s="182">
        <f t="shared" si="5"/>
        <v>0</v>
      </c>
      <c r="U18" s="182">
        <f t="shared" si="6"/>
        <v>1067.3</v>
      </c>
      <c r="V18" s="182">
        <f>SUM(U18:U18)</f>
        <v>1067.3</v>
      </c>
      <c r="W18" s="182">
        <f>I18+T18-V18</f>
        <v>7782.7</v>
      </c>
      <c r="X18" s="33"/>
    </row>
    <row r="19" spans="1:24" ht="21.75" customHeight="1" x14ac:dyDescent="0.25">
      <c r="A19" s="203"/>
      <c r="B19" s="203"/>
      <c r="C19" s="203"/>
      <c r="D19" s="203"/>
      <c r="E19" s="203"/>
      <c r="F19" s="203"/>
      <c r="G19" s="203"/>
      <c r="H19" s="209"/>
      <c r="I19" s="209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</row>
    <row r="20" spans="1:24" ht="40.5" customHeight="1" thickBot="1" x14ac:dyDescent="0.3">
      <c r="A20" s="265" t="s">
        <v>44</v>
      </c>
      <c r="B20" s="266"/>
      <c r="C20" s="266"/>
      <c r="D20" s="266"/>
      <c r="E20" s="266"/>
      <c r="F20" s="266"/>
      <c r="G20" s="267"/>
      <c r="H20" s="186">
        <f>SUM(H10:H19)</f>
        <v>79650</v>
      </c>
      <c r="I20" s="186">
        <f>SUM(I10:I19)</f>
        <v>79650</v>
      </c>
      <c r="J20" s="187">
        <f t="shared" ref="J20:S20" si="25">SUM(J10:J19)</f>
        <v>0</v>
      </c>
      <c r="K20" s="187">
        <f t="shared" si="25"/>
        <v>79650</v>
      </c>
      <c r="L20" s="187">
        <f t="shared" si="25"/>
        <v>68777.190000000017</v>
      </c>
      <c r="M20" s="187">
        <f t="shared" si="25"/>
        <v>10872.810000000001</v>
      </c>
      <c r="N20" s="187">
        <f t="shared" si="25"/>
        <v>1.9224000000000001</v>
      </c>
      <c r="O20" s="187">
        <f t="shared" si="25"/>
        <v>2322.4322160000011</v>
      </c>
      <c r="P20" s="187">
        <f t="shared" si="25"/>
        <v>7283.25</v>
      </c>
      <c r="Q20" s="187">
        <f t="shared" si="25"/>
        <v>9605.6822159999992</v>
      </c>
      <c r="R20" s="187">
        <f t="shared" si="25"/>
        <v>0</v>
      </c>
      <c r="S20" s="187">
        <f t="shared" si="25"/>
        <v>9605.6999999999989</v>
      </c>
      <c r="T20" s="186">
        <f>SUM(T10:T19)</f>
        <v>0</v>
      </c>
      <c r="U20" s="186">
        <f>SUM(U10:U19)</f>
        <v>9605.6999999999989</v>
      </c>
      <c r="V20" s="186">
        <f>SUM(V10:V19)</f>
        <v>9605.6999999999989</v>
      </c>
      <c r="W20" s="186">
        <f>SUM(W10:W19)</f>
        <v>70044.299999999988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4.85546875" hidden="1" customWidth="1"/>
    <col min="12" max="12" width="14.7109375" hidden="1" customWidth="1"/>
    <col min="13" max="13" width="13" hidden="1" customWidth="1"/>
    <col min="14" max="14" width="11.42578125" hidden="1" customWidth="1"/>
    <col min="15" max="15" width="13.28515625" hidden="1" customWidth="1"/>
    <col min="16" max="17" width="12.5703125" hidden="1" customWidth="1"/>
    <col min="18" max="18" width="11.42578125" hidden="1" customWidth="1"/>
    <col min="19" max="19" width="12.8554687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22</v>
      </c>
      <c r="F7" s="23" t="s">
        <v>5</v>
      </c>
      <c r="G7" s="279" t="s">
        <v>1</v>
      </c>
      <c r="H7" s="280"/>
      <c r="I7" s="281"/>
      <c r="J7" s="24" t="s">
        <v>25</v>
      </c>
      <c r="K7" s="25"/>
      <c r="L7" s="282" t="s">
        <v>8</v>
      </c>
      <c r="M7" s="283"/>
      <c r="N7" s="283"/>
      <c r="O7" s="283"/>
      <c r="P7" s="283"/>
      <c r="Q7" s="284"/>
      <c r="R7" s="24" t="s">
        <v>29</v>
      </c>
      <c r="S7" s="24" t="s">
        <v>9</v>
      </c>
      <c r="T7" s="23" t="s">
        <v>52</v>
      </c>
      <c r="U7" s="285" t="s">
        <v>2</v>
      </c>
      <c r="V7" s="286"/>
      <c r="W7" s="23" t="s">
        <v>0</v>
      </c>
      <c r="X7" s="34"/>
    </row>
    <row r="8" spans="1:25" ht="22.5" x14ac:dyDescent="0.2">
      <c r="A8" s="44" t="s">
        <v>101</v>
      </c>
      <c r="B8" s="44" t="s">
        <v>116</v>
      </c>
      <c r="C8" s="26" t="s">
        <v>21</v>
      </c>
      <c r="D8" s="26"/>
      <c r="E8" s="27" t="s">
        <v>23</v>
      </c>
      <c r="F8" s="26" t="s">
        <v>24</v>
      </c>
      <c r="G8" s="23" t="s">
        <v>5</v>
      </c>
      <c r="H8" s="23" t="s">
        <v>57</v>
      </c>
      <c r="I8" s="23" t="s">
        <v>27</v>
      </c>
      <c r="J8" s="28" t="s">
        <v>26</v>
      </c>
      <c r="K8" s="25" t="s">
        <v>31</v>
      </c>
      <c r="L8" s="25" t="s">
        <v>11</v>
      </c>
      <c r="M8" s="25" t="s">
        <v>33</v>
      </c>
      <c r="N8" s="25" t="s">
        <v>35</v>
      </c>
      <c r="O8" s="25" t="s">
        <v>36</v>
      </c>
      <c r="P8" s="25" t="s">
        <v>13</v>
      </c>
      <c r="Q8" s="25" t="s">
        <v>9</v>
      </c>
      <c r="R8" s="28" t="s">
        <v>39</v>
      </c>
      <c r="S8" s="28" t="s">
        <v>40</v>
      </c>
      <c r="T8" s="26" t="s">
        <v>30</v>
      </c>
      <c r="U8" s="23" t="s">
        <v>312</v>
      </c>
      <c r="V8" s="23" t="s">
        <v>6</v>
      </c>
      <c r="W8" s="26" t="s">
        <v>3</v>
      </c>
      <c r="X8" s="36" t="s">
        <v>56</v>
      </c>
    </row>
    <row r="9" spans="1:25" x14ac:dyDescent="0.2">
      <c r="A9" s="29"/>
      <c r="B9" s="29"/>
      <c r="C9" s="29"/>
      <c r="D9" s="29"/>
      <c r="E9" s="29"/>
      <c r="F9" s="29"/>
      <c r="G9" s="29" t="s">
        <v>46</v>
      </c>
      <c r="H9" s="29" t="s">
        <v>58</v>
      </c>
      <c r="I9" s="29" t="s">
        <v>28</v>
      </c>
      <c r="J9" s="30" t="s">
        <v>42</v>
      </c>
      <c r="K9" s="24" t="s">
        <v>32</v>
      </c>
      <c r="L9" s="24" t="s">
        <v>12</v>
      </c>
      <c r="M9" s="24" t="s">
        <v>34</v>
      </c>
      <c r="N9" s="24" t="s">
        <v>34</v>
      </c>
      <c r="O9" s="24" t="s">
        <v>37</v>
      </c>
      <c r="P9" s="24" t="s">
        <v>14</v>
      </c>
      <c r="Q9" s="24" t="s">
        <v>38</v>
      </c>
      <c r="R9" s="28" t="s">
        <v>18</v>
      </c>
      <c r="S9" s="31" t="s">
        <v>41</v>
      </c>
      <c r="T9" s="29" t="s">
        <v>51</v>
      </c>
      <c r="U9" s="29"/>
      <c r="V9" s="29" t="s">
        <v>43</v>
      </c>
      <c r="W9" s="29" t="s">
        <v>4</v>
      </c>
      <c r="X9" s="35"/>
    </row>
    <row r="10" spans="1:25" ht="15" x14ac:dyDescent="0.25">
      <c r="A10" s="39"/>
      <c r="B10" s="39"/>
      <c r="C10" s="91" t="s">
        <v>74</v>
      </c>
      <c r="D10" s="38" t="s">
        <v>60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29" customHeight="1" x14ac:dyDescent="0.25">
      <c r="A11" s="174" t="s">
        <v>221</v>
      </c>
      <c r="B11" s="175" t="s">
        <v>115</v>
      </c>
      <c r="C11" s="177" t="s">
        <v>222</v>
      </c>
      <c r="D11" s="177" t="s">
        <v>276</v>
      </c>
      <c r="E11" s="178">
        <v>15</v>
      </c>
      <c r="F11" s="179">
        <f>G11/E11</f>
        <v>990.6</v>
      </c>
      <c r="G11" s="180">
        <v>14859</v>
      </c>
      <c r="H11" s="181">
        <v>0</v>
      </c>
      <c r="I11" s="182">
        <f>SUM(G11:H11)</f>
        <v>14859</v>
      </c>
      <c r="J11" s="183">
        <f>H11/2</f>
        <v>0</v>
      </c>
      <c r="K11" s="183">
        <f>G11+J11</f>
        <v>14859</v>
      </c>
      <c r="L11" s="183">
        <f>VLOOKUP(K11,Tarifa1,1)</f>
        <v>7641.91</v>
      </c>
      <c r="M11" s="183">
        <f>K11-L11</f>
        <v>7217.09</v>
      </c>
      <c r="N11" s="184">
        <f t="shared" ref="N11" si="0">VLOOKUP(K11,Tarifa1,3)</f>
        <v>0.21360000000000001</v>
      </c>
      <c r="O11" s="183">
        <f>M11*N11</f>
        <v>1541.5704240000002</v>
      </c>
      <c r="P11" s="185">
        <f>VLOOKUP(K11,Tarifa1,2)</f>
        <v>809.25</v>
      </c>
      <c r="Q11" s="183">
        <f>O11+P11</f>
        <v>2350.8204240000005</v>
      </c>
      <c r="R11" s="183">
        <f t="shared" ref="R11" si="1">VLOOKUP(K11,Credito1,2)</f>
        <v>0</v>
      </c>
      <c r="S11" s="183">
        <f>ROUND(Q11-R11,2)</f>
        <v>2350.8200000000002</v>
      </c>
      <c r="T11" s="182">
        <f t="shared" ref="T11" si="2">-IF(S11&gt;0,0,S11)</f>
        <v>0</v>
      </c>
      <c r="U11" s="182">
        <f>IF(G11/15&lt;=SMG,0,IF(S11&lt;0,0,S11))</f>
        <v>2350.8200000000002</v>
      </c>
      <c r="V11" s="182">
        <f>SUM(U11:U11)</f>
        <v>2350.8200000000002</v>
      </c>
      <c r="W11" s="182">
        <f>I11+T11-V11</f>
        <v>12508.18</v>
      </c>
      <c r="X11" s="93"/>
    </row>
    <row r="12" spans="1:25" ht="18" x14ac:dyDescent="0.25">
      <c r="A12" s="203"/>
      <c r="B12" s="203"/>
      <c r="C12" s="203"/>
      <c r="D12" s="203"/>
      <c r="E12" s="204"/>
      <c r="F12" s="203"/>
      <c r="G12" s="205"/>
      <c r="H12" s="205"/>
      <c r="I12" s="205"/>
      <c r="J12" s="206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</row>
    <row r="13" spans="1:25" ht="41.25" customHeight="1" thickBot="1" x14ac:dyDescent="0.3">
      <c r="A13" s="266"/>
      <c r="B13" s="266"/>
      <c r="C13" s="266"/>
      <c r="D13" s="266"/>
      <c r="E13" s="266"/>
      <c r="F13" s="267"/>
      <c r="G13" s="186">
        <f t="shared" ref="G13:W13" si="3">SUM(G11:G12)</f>
        <v>14859</v>
      </c>
      <c r="H13" s="186">
        <f t="shared" si="3"/>
        <v>0</v>
      </c>
      <c r="I13" s="186">
        <f t="shared" si="3"/>
        <v>14859</v>
      </c>
      <c r="J13" s="187">
        <f t="shared" si="3"/>
        <v>0</v>
      </c>
      <c r="K13" s="187">
        <f t="shared" si="3"/>
        <v>14859</v>
      </c>
      <c r="L13" s="187">
        <f t="shared" si="3"/>
        <v>7641.91</v>
      </c>
      <c r="M13" s="187">
        <f t="shared" si="3"/>
        <v>7217.09</v>
      </c>
      <c r="N13" s="187">
        <f t="shared" si="3"/>
        <v>0.21360000000000001</v>
      </c>
      <c r="O13" s="187">
        <f t="shared" si="3"/>
        <v>1541.5704240000002</v>
      </c>
      <c r="P13" s="187">
        <f t="shared" si="3"/>
        <v>809.25</v>
      </c>
      <c r="Q13" s="187">
        <f t="shared" si="3"/>
        <v>2350.8204240000005</v>
      </c>
      <c r="R13" s="187">
        <f t="shared" si="3"/>
        <v>0</v>
      </c>
      <c r="S13" s="187">
        <f t="shared" si="3"/>
        <v>2350.8200000000002</v>
      </c>
      <c r="T13" s="186">
        <f t="shared" si="3"/>
        <v>0</v>
      </c>
      <c r="U13" s="186">
        <f t="shared" si="3"/>
        <v>2350.8200000000002</v>
      </c>
      <c r="V13" s="186">
        <f t="shared" si="3"/>
        <v>2350.8200000000002</v>
      </c>
      <c r="W13" s="186">
        <f t="shared" si="3"/>
        <v>12508.18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2023-02-01T19:14:58Z</cp:lastPrinted>
  <dcterms:created xsi:type="dcterms:W3CDTF">2000-05-05T04:08:27Z</dcterms:created>
  <dcterms:modified xsi:type="dcterms:W3CDTF">2023-09-15T15:41:50Z</dcterms:modified>
</cp:coreProperties>
</file>