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B5F79EAB-68E6-4961-8C4D-1D30B661D624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SINDICO!$1:$25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33" l="1"/>
  <c r="L16" i="133" s="1"/>
  <c r="J16" i="133"/>
  <c r="K15" i="133"/>
  <c r="L15" i="133" s="1"/>
  <c r="J15" i="133"/>
  <c r="K14" i="133"/>
  <c r="L14" i="133" s="1"/>
  <c r="J14" i="133"/>
  <c r="K13" i="133"/>
  <c r="L13" i="133" s="1"/>
  <c r="J13" i="133"/>
  <c r="K12" i="133"/>
  <c r="L12" i="133" s="1"/>
  <c r="J12" i="133"/>
  <c r="V15" i="121"/>
  <c r="W15" i="121" s="1"/>
  <c r="K15" i="121"/>
  <c r="L15" i="121" s="1"/>
  <c r="J15" i="121"/>
  <c r="I21" i="135"/>
  <c r="J21" i="135" s="1"/>
  <c r="H21" i="135"/>
  <c r="K10" i="132"/>
  <c r="L10" i="132" s="1"/>
  <c r="J10" i="132"/>
  <c r="K10" i="118"/>
  <c r="L10" i="118" s="1"/>
  <c r="S10" i="118" s="1"/>
  <c r="J10" i="118"/>
  <c r="K10" i="119"/>
  <c r="L10" i="119" s="1"/>
  <c r="J10" i="119"/>
  <c r="J11" i="136"/>
  <c r="K11" i="136" s="1"/>
  <c r="I11" i="136"/>
  <c r="K17" i="123"/>
  <c r="L17" i="123" s="1"/>
  <c r="J17" i="123"/>
  <c r="S16" i="133" l="1"/>
  <c r="Q16" i="133"/>
  <c r="M16" i="133"/>
  <c r="N16" i="133" s="1"/>
  <c r="O16" i="133"/>
  <c r="P16" i="133" s="1"/>
  <c r="R16" i="133" s="1"/>
  <c r="Q15" i="133"/>
  <c r="S15" i="133"/>
  <c r="O15" i="133"/>
  <c r="M15" i="133"/>
  <c r="N15" i="133" s="1"/>
  <c r="P15" i="133" s="1"/>
  <c r="S14" i="133"/>
  <c r="Q14" i="133"/>
  <c r="M14" i="133"/>
  <c r="N14" i="133" s="1"/>
  <c r="O14" i="133"/>
  <c r="O13" i="133"/>
  <c r="Q13" i="133"/>
  <c r="M13" i="133"/>
  <c r="N13" i="133" s="1"/>
  <c r="S13" i="133"/>
  <c r="S12" i="133"/>
  <c r="O12" i="133"/>
  <c r="Q12" i="133"/>
  <c r="M12" i="133"/>
  <c r="N12" i="133" s="1"/>
  <c r="S15" i="121"/>
  <c r="O15" i="121"/>
  <c r="Q15" i="121"/>
  <c r="M15" i="121"/>
  <c r="N15" i="121" s="1"/>
  <c r="Q21" i="135"/>
  <c r="M21" i="135"/>
  <c r="L21" i="135"/>
  <c r="N21" i="135" s="1"/>
  <c r="O21" i="135"/>
  <c r="K21" i="135"/>
  <c r="O10" i="132"/>
  <c r="S10" i="132"/>
  <c r="Q10" i="132"/>
  <c r="M10" i="132"/>
  <c r="N10" i="132" s="1"/>
  <c r="M10" i="118"/>
  <c r="N10" i="118" s="1"/>
  <c r="Q10" i="118"/>
  <c r="O10" i="118"/>
  <c r="S10" i="119"/>
  <c r="Q10" i="119"/>
  <c r="M10" i="119"/>
  <c r="N10" i="119" s="1"/>
  <c r="O10" i="119"/>
  <c r="R11" i="136"/>
  <c r="N11" i="136"/>
  <c r="P11" i="136"/>
  <c r="L11" i="136"/>
  <c r="M11" i="136" s="1"/>
  <c r="O11" i="136" s="1"/>
  <c r="Q11" i="136" s="1"/>
  <c r="S11" i="136" s="1"/>
  <c r="S17" i="123"/>
  <c r="O17" i="123"/>
  <c r="Q17" i="123"/>
  <c r="M17" i="123"/>
  <c r="N17" i="123" s="1"/>
  <c r="R15" i="133" l="1"/>
  <c r="T15" i="133" s="1"/>
  <c r="U15" i="133" s="1"/>
  <c r="T16" i="133"/>
  <c r="V16" i="133" s="1"/>
  <c r="W16" i="133" s="1"/>
  <c r="P10" i="119"/>
  <c r="R10" i="119" s="1"/>
  <c r="T10" i="119" s="1"/>
  <c r="U10" i="119" s="1"/>
  <c r="P17" i="123"/>
  <c r="P14" i="133"/>
  <c r="R14" i="133" s="1"/>
  <c r="T14" i="133" s="1"/>
  <c r="P15" i="121"/>
  <c r="R15" i="121" s="1"/>
  <c r="V15" i="133"/>
  <c r="W15" i="133" s="1"/>
  <c r="P13" i="133"/>
  <c r="R13" i="133" s="1"/>
  <c r="T13" i="133" s="1"/>
  <c r="P12" i="133"/>
  <c r="R12" i="133" s="1"/>
  <c r="T12" i="133" s="1"/>
  <c r="V12" i="133" s="1"/>
  <c r="W12" i="133" s="1"/>
  <c r="T15" i="121"/>
  <c r="U15" i="121" s="1"/>
  <c r="X15" i="121" s="1"/>
  <c r="P21" i="135"/>
  <c r="R21" i="135" s="1"/>
  <c r="P10" i="132"/>
  <c r="R10" i="132" s="1"/>
  <c r="T10" i="132" s="1"/>
  <c r="V10" i="132" s="1"/>
  <c r="W10" i="132" s="1"/>
  <c r="P10" i="118"/>
  <c r="R10" i="118" s="1"/>
  <c r="T10" i="118" s="1"/>
  <c r="U11" i="136"/>
  <c r="V11" i="136" s="1"/>
  <c r="T11" i="136"/>
  <c r="R17" i="123"/>
  <c r="T17" i="123" s="1"/>
  <c r="U16" i="133" l="1"/>
  <c r="X16" i="133" s="1"/>
  <c r="V10" i="119"/>
  <c r="W10" i="119" s="1"/>
  <c r="W11" i="136"/>
  <c r="X15" i="133"/>
  <c r="U14" i="133"/>
  <c r="V14" i="133"/>
  <c r="W14" i="133" s="1"/>
  <c r="V13" i="133"/>
  <c r="W13" i="133" s="1"/>
  <c r="U13" i="133"/>
  <c r="U12" i="133"/>
  <c r="X12" i="133" s="1"/>
  <c r="T21" i="135"/>
  <c r="U21" i="135" s="1"/>
  <c r="S21" i="135"/>
  <c r="U10" i="132"/>
  <c r="X10" i="132" s="1"/>
  <c r="V10" i="118"/>
  <c r="W10" i="118" s="1"/>
  <c r="U10" i="118"/>
  <c r="X10" i="119"/>
  <c r="V17" i="123"/>
  <c r="W17" i="123" s="1"/>
  <c r="U17" i="123"/>
  <c r="X13" i="133" l="1"/>
  <c r="X14" i="133"/>
  <c r="X10" i="118"/>
  <c r="V21" i="135"/>
  <c r="X17" i="123"/>
  <c r="K14" i="123"/>
  <c r="L14" i="123" s="1"/>
  <c r="J14" i="123"/>
  <c r="K33" i="123"/>
  <c r="L33" i="123" s="1"/>
  <c r="J33" i="123"/>
  <c r="K12" i="134"/>
  <c r="L12" i="134" s="1"/>
  <c r="J12" i="134"/>
  <c r="K9" i="120"/>
  <c r="L9" i="120" s="1"/>
  <c r="J9" i="120"/>
  <c r="K10" i="134"/>
  <c r="L10" i="134" s="1"/>
  <c r="J10" i="134"/>
  <c r="K17" i="119"/>
  <c r="L17" i="119" s="1"/>
  <c r="J17" i="119"/>
  <c r="K15" i="119"/>
  <c r="L15" i="119" s="1"/>
  <c r="J15" i="119"/>
  <c r="V14" i="121"/>
  <c r="V19" i="119"/>
  <c r="S14" i="123" l="1"/>
  <c r="O14" i="123"/>
  <c r="Q14" i="123"/>
  <c r="M14" i="123"/>
  <c r="N14" i="123" s="1"/>
  <c r="Q33" i="123"/>
  <c r="M33" i="123"/>
  <c r="N33" i="123" s="1"/>
  <c r="S33" i="123"/>
  <c r="O33" i="123"/>
  <c r="S12" i="134"/>
  <c r="O12" i="134"/>
  <c r="Q12" i="134"/>
  <c r="M12" i="134"/>
  <c r="N12" i="134" s="1"/>
  <c r="S9" i="120"/>
  <c r="O9" i="120"/>
  <c r="Q9" i="120"/>
  <c r="M9" i="120"/>
  <c r="N9" i="120" s="1"/>
  <c r="P9" i="120" s="1"/>
  <c r="S10" i="134"/>
  <c r="O10" i="134"/>
  <c r="N10" i="134"/>
  <c r="P10" i="134" s="1"/>
  <c r="Q10" i="134"/>
  <c r="M10" i="134"/>
  <c r="S17" i="119"/>
  <c r="O17" i="119"/>
  <c r="Q17" i="119"/>
  <c r="M17" i="119"/>
  <c r="N17" i="119" s="1"/>
  <c r="S15" i="119"/>
  <c r="O15" i="119"/>
  <c r="Q15" i="119"/>
  <c r="M15" i="119"/>
  <c r="N15" i="119" s="1"/>
  <c r="K29" i="120"/>
  <c r="L29" i="120" s="1"/>
  <c r="J29" i="120"/>
  <c r="I13" i="134"/>
  <c r="H13" i="134"/>
  <c r="K14" i="134"/>
  <c r="L14" i="134" s="1"/>
  <c r="J14" i="134"/>
  <c r="J13" i="134" s="1"/>
  <c r="G14" i="134"/>
  <c r="P15" i="119" l="1"/>
  <c r="R15" i="119" s="1"/>
  <c r="T15" i="119" s="1"/>
  <c r="P14" i="123"/>
  <c r="R14" i="123" s="1"/>
  <c r="T14" i="123" s="1"/>
  <c r="V14" i="123" s="1"/>
  <c r="W14" i="123" s="1"/>
  <c r="P33" i="123"/>
  <c r="R33" i="123" s="1"/>
  <c r="T33" i="123" s="1"/>
  <c r="V33" i="123" s="1"/>
  <c r="W33" i="123" s="1"/>
  <c r="R9" i="120"/>
  <c r="T9" i="120" s="1"/>
  <c r="U9" i="120" s="1"/>
  <c r="P12" i="134"/>
  <c r="R12" i="134" s="1"/>
  <c r="T12" i="134" s="1"/>
  <c r="V12" i="134" s="1"/>
  <c r="W12" i="134" s="1"/>
  <c r="R10" i="134"/>
  <c r="T10" i="134" s="1"/>
  <c r="P17" i="119"/>
  <c r="R17" i="119" s="1"/>
  <c r="T17" i="119" s="1"/>
  <c r="V17" i="119" s="1"/>
  <c r="W17" i="119" s="1"/>
  <c r="V15" i="119"/>
  <c r="W15" i="119" s="1"/>
  <c r="U15" i="119"/>
  <c r="Q14" i="134"/>
  <c r="M14" i="134"/>
  <c r="N14" i="134" s="1"/>
  <c r="O14" i="134"/>
  <c r="S14" i="134"/>
  <c r="M29" i="120"/>
  <c r="N29" i="120" s="1"/>
  <c r="S29" i="120"/>
  <c r="Q29" i="120"/>
  <c r="O29" i="120"/>
  <c r="K15" i="123"/>
  <c r="L15" i="123" s="1"/>
  <c r="J15" i="123"/>
  <c r="K26" i="120"/>
  <c r="L26" i="120" s="1"/>
  <c r="J26" i="120"/>
  <c r="K13" i="120"/>
  <c r="L13" i="120" s="1"/>
  <c r="J13" i="120"/>
  <c r="K11" i="120"/>
  <c r="L11" i="120" s="1"/>
  <c r="J11" i="120"/>
  <c r="P14" i="134" l="1"/>
  <c r="R14" i="134" s="1"/>
  <c r="T14" i="134" s="1"/>
  <c r="U33" i="123"/>
  <c r="V9" i="120"/>
  <c r="W9" i="120" s="1"/>
  <c r="X9" i="120" s="1"/>
  <c r="U14" i="123"/>
  <c r="X14" i="123" s="1"/>
  <c r="X33" i="123"/>
  <c r="U12" i="134"/>
  <c r="X12" i="134" s="1"/>
  <c r="V10" i="134"/>
  <c r="W10" i="134" s="1"/>
  <c r="U10" i="134"/>
  <c r="U17" i="119"/>
  <c r="X17" i="119" s="1"/>
  <c r="X15" i="119"/>
  <c r="Q11" i="120"/>
  <c r="O11" i="120"/>
  <c r="M11" i="120"/>
  <c r="N11" i="120" s="1"/>
  <c r="P11" i="120" s="1"/>
  <c r="S11" i="120"/>
  <c r="S26" i="120"/>
  <c r="M26" i="120"/>
  <c r="N26" i="120" s="1"/>
  <c r="Q26" i="120"/>
  <c r="O26" i="120"/>
  <c r="S13" i="120"/>
  <c r="Q13" i="120"/>
  <c r="O13" i="120"/>
  <c r="M13" i="120"/>
  <c r="N13" i="120" s="1"/>
  <c r="M15" i="123"/>
  <c r="N15" i="123" s="1"/>
  <c r="Q15" i="123"/>
  <c r="O15" i="123"/>
  <c r="S15" i="123"/>
  <c r="P29" i="120"/>
  <c r="R29" i="120" s="1"/>
  <c r="T29" i="120" s="1"/>
  <c r="P13" i="120" l="1"/>
  <c r="R13" i="120" s="1"/>
  <c r="T13" i="120" s="1"/>
  <c r="R11" i="120"/>
  <c r="T11" i="120"/>
  <c r="U11" i="120" s="1"/>
  <c r="X10" i="134"/>
  <c r="U29" i="120"/>
  <c r="V29" i="120"/>
  <c r="W29" i="120" s="1"/>
  <c r="P15" i="123"/>
  <c r="R15" i="123" s="1"/>
  <c r="P26" i="120"/>
  <c r="R26" i="120" s="1"/>
  <c r="T26" i="120" s="1"/>
  <c r="T15" i="123"/>
  <c r="U14" i="134"/>
  <c r="V14" i="134"/>
  <c r="U13" i="134"/>
  <c r="V11" i="120" l="1"/>
  <c r="W11" i="120" s="1"/>
  <c r="X11" i="120" s="1"/>
  <c r="X29" i="120"/>
  <c r="U13" i="120"/>
  <c r="V13" i="120"/>
  <c r="W13" i="120" s="1"/>
  <c r="V15" i="123"/>
  <c r="W15" i="123" s="1"/>
  <c r="U15" i="123"/>
  <c r="W14" i="134"/>
  <c r="V13" i="134"/>
  <c r="V26" i="120"/>
  <c r="W26" i="120" s="1"/>
  <c r="U26" i="120"/>
  <c r="X13" i="120" l="1"/>
  <c r="X26" i="120"/>
  <c r="X15" i="123"/>
  <c r="W13" i="134"/>
  <c r="X14" i="134"/>
  <c r="X13" i="134" s="1"/>
  <c r="K12" i="121"/>
  <c r="L12" i="121" s="1"/>
  <c r="J12" i="121"/>
  <c r="K17" i="121"/>
  <c r="L17" i="121" s="1"/>
  <c r="J17" i="121"/>
  <c r="I20" i="123"/>
  <c r="H20" i="123"/>
  <c r="K21" i="123"/>
  <c r="L21" i="123" s="1"/>
  <c r="J21" i="123"/>
  <c r="J20" i="123" s="1"/>
  <c r="O21" i="123" l="1"/>
  <c r="Q21" i="123"/>
  <c r="S21" i="123"/>
  <c r="M21" i="123"/>
  <c r="N21" i="123" s="1"/>
  <c r="M12" i="121"/>
  <c r="N12" i="121" s="1"/>
  <c r="Q12" i="121"/>
  <c r="S12" i="121"/>
  <c r="O12" i="121"/>
  <c r="M17" i="121"/>
  <c r="N17" i="121" s="1"/>
  <c r="Q17" i="121"/>
  <c r="O17" i="121"/>
  <c r="S17" i="121"/>
  <c r="K10" i="133"/>
  <c r="L10" i="133" s="1"/>
  <c r="J10" i="133"/>
  <c r="I19" i="133"/>
  <c r="H19" i="133"/>
  <c r="I22" i="135"/>
  <c r="J22" i="135" s="1"/>
  <c r="H22" i="135"/>
  <c r="K28" i="120"/>
  <c r="L28" i="120" s="1"/>
  <c r="J28" i="120"/>
  <c r="K13" i="132"/>
  <c r="L13" i="132" s="1"/>
  <c r="J13" i="132"/>
  <c r="P21" i="123" l="1"/>
  <c r="R21" i="123" s="1"/>
  <c r="T21" i="123" s="1"/>
  <c r="V21" i="123" s="1"/>
  <c r="Q28" i="120"/>
  <c r="O28" i="120"/>
  <c r="S28" i="120"/>
  <c r="M28" i="120"/>
  <c r="N28" i="120" s="1"/>
  <c r="M13" i="132"/>
  <c r="N13" i="132" s="1"/>
  <c r="S13" i="132"/>
  <c r="O13" i="132"/>
  <c r="Q13" i="132"/>
  <c r="M22" i="135"/>
  <c r="O22" i="135"/>
  <c r="K22" i="135"/>
  <c r="L22" i="135" s="1"/>
  <c r="Q22" i="135"/>
  <c r="M10" i="133"/>
  <c r="N10" i="133" s="1"/>
  <c r="S10" i="133"/>
  <c r="Q10" i="133"/>
  <c r="O10" i="133"/>
  <c r="P17" i="121"/>
  <c r="R17" i="121" s="1"/>
  <c r="T17" i="121" s="1"/>
  <c r="P12" i="121"/>
  <c r="R12" i="121" s="1"/>
  <c r="T12" i="121" s="1"/>
  <c r="P28" i="120" l="1"/>
  <c r="R28" i="120" s="1"/>
  <c r="T28" i="120" s="1"/>
  <c r="N22" i="135"/>
  <c r="P22" i="135" s="1"/>
  <c r="R22" i="135" s="1"/>
  <c r="P10" i="133"/>
  <c r="R10" i="133" s="1"/>
  <c r="T10" i="133" s="1"/>
  <c r="U21" i="123"/>
  <c r="U20" i="123" s="1"/>
  <c r="S22" i="135"/>
  <c r="T22" i="135"/>
  <c r="U22" i="135" s="1"/>
  <c r="U17" i="121"/>
  <c r="V17" i="121"/>
  <c r="W17" i="121" s="1"/>
  <c r="P13" i="132"/>
  <c r="R13" i="132" s="1"/>
  <c r="T13" i="132" s="1"/>
  <c r="V12" i="121"/>
  <c r="W12" i="121" s="1"/>
  <c r="U12" i="121"/>
  <c r="W21" i="123"/>
  <c r="W20" i="123" s="1"/>
  <c r="V20" i="123"/>
  <c r="X12" i="121" l="1"/>
  <c r="X17" i="121"/>
  <c r="U28" i="120"/>
  <c r="V28" i="120"/>
  <c r="W28" i="120" s="1"/>
  <c r="X28" i="120" s="1"/>
  <c r="V10" i="133"/>
  <c r="W10" i="133" s="1"/>
  <c r="U10" i="133"/>
  <c r="U13" i="132"/>
  <c r="V13" i="132"/>
  <c r="W13" i="132" s="1"/>
  <c r="X21" i="123"/>
  <c r="X20" i="123" s="1"/>
  <c r="V22" i="135"/>
  <c r="X13" i="132" l="1"/>
  <c r="X10" i="133"/>
  <c r="K37" i="123"/>
  <c r="L37" i="123" s="1"/>
  <c r="J37" i="123"/>
  <c r="K16" i="121"/>
  <c r="L16" i="121" s="1"/>
  <c r="J16" i="121"/>
  <c r="Q37" i="123" l="1"/>
  <c r="O37" i="123"/>
  <c r="S37" i="123"/>
  <c r="M37" i="123"/>
  <c r="N37" i="123" s="1"/>
  <c r="P37" i="123" s="1"/>
  <c r="R37" i="123" s="1"/>
  <c r="T37" i="123" s="1"/>
  <c r="M16" i="121"/>
  <c r="N16" i="121" s="1"/>
  <c r="S16" i="121"/>
  <c r="O16" i="121"/>
  <c r="Q16" i="121"/>
  <c r="V37" i="123" l="1"/>
  <c r="W37" i="123" s="1"/>
  <c r="U37" i="123"/>
  <c r="X37" i="123" s="1"/>
  <c r="P16" i="121"/>
  <c r="R16" i="121" s="1"/>
  <c r="T16" i="121" s="1"/>
  <c r="V16" i="121" l="1"/>
  <c r="W16" i="121" s="1"/>
  <c r="U16" i="121"/>
  <c r="K10" i="123"/>
  <c r="L10" i="123" s="1"/>
  <c r="J10" i="123"/>
  <c r="K35" i="123"/>
  <c r="L35" i="123" s="1"/>
  <c r="J35" i="123"/>
  <c r="H34" i="123"/>
  <c r="S10" i="123" l="1"/>
  <c r="O10" i="123"/>
  <c r="Q10" i="123"/>
  <c r="M10" i="123"/>
  <c r="N10" i="123" s="1"/>
  <c r="P10" i="123" s="1"/>
  <c r="R10" i="123" s="1"/>
  <c r="T10" i="123" s="1"/>
  <c r="X16" i="121"/>
  <c r="S35" i="123"/>
  <c r="Q35" i="123"/>
  <c r="M35" i="123"/>
  <c r="N35" i="123" s="1"/>
  <c r="P35" i="123" s="1"/>
  <c r="R35" i="123" s="1"/>
  <c r="T35" i="123" s="1"/>
  <c r="O35" i="123"/>
  <c r="I34" i="123"/>
  <c r="J34" i="123"/>
  <c r="U10" i="123" l="1"/>
  <c r="V10" i="123"/>
  <c r="W10" i="123" s="1"/>
  <c r="U35" i="123"/>
  <c r="V35" i="123"/>
  <c r="V34" i="123" l="1"/>
  <c r="X10" i="123"/>
  <c r="U34" i="123"/>
  <c r="W35" i="123" l="1"/>
  <c r="X35" i="123" s="1"/>
  <c r="X34" i="123" s="1"/>
  <c r="W34" i="123" l="1"/>
  <c r="I20" i="135"/>
  <c r="J20" i="135" s="1"/>
  <c r="H20" i="135"/>
  <c r="I13" i="135"/>
  <c r="J13" i="135" s="1"/>
  <c r="H13" i="135"/>
  <c r="I11" i="135"/>
  <c r="J11" i="135" s="1"/>
  <c r="H11" i="135"/>
  <c r="K30" i="120"/>
  <c r="L30" i="120" s="1"/>
  <c r="J30" i="120"/>
  <c r="O13" i="135" l="1"/>
  <c r="K13" i="135"/>
  <c r="L13" i="135" s="1"/>
  <c r="Q13" i="135"/>
  <c r="M13" i="135"/>
  <c r="M20" i="135"/>
  <c r="O20" i="135"/>
  <c r="Q20" i="135"/>
  <c r="K20" i="135"/>
  <c r="L20" i="135" s="1"/>
  <c r="S30" i="120"/>
  <c r="Q30" i="120"/>
  <c r="M30" i="120"/>
  <c r="N30" i="120" s="1"/>
  <c r="O30" i="120"/>
  <c r="Q11" i="135"/>
  <c r="K11" i="135"/>
  <c r="L11" i="135" s="1"/>
  <c r="M11" i="135"/>
  <c r="O11" i="135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2" i="120"/>
  <c r="L12" i="120" s="1"/>
  <c r="J12" i="120"/>
  <c r="K10" i="120"/>
  <c r="L10" i="120" s="1"/>
  <c r="J10" i="120"/>
  <c r="G10" i="120"/>
  <c r="K19" i="119"/>
  <c r="L19" i="119" s="1"/>
  <c r="J19" i="119"/>
  <c r="N13" i="135" l="1"/>
  <c r="P13" i="135" s="1"/>
  <c r="R13" i="135" s="1"/>
  <c r="T13" i="135" s="1"/>
  <c r="P30" i="120"/>
  <c r="R30" i="120" s="1"/>
  <c r="T30" i="120" s="1"/>
  <c r="U30" i="120" s="1"/>
  <c r="N20" i="135"/>
  <c r="P20" i="135" s="1"/>
  <c r="S13" i="135"/>
  <c r="N11" i="135"/>
  <c r="P11" i="135" s="1"/>
  <c r="R11" i="135" s="1"/>
  <c r="M19" i="135"/>
  <c r="O19" i="135"/>
  <c r="Q19" i="135"/>
  <c r="K19" i="135"/>
  <c r="L19" i="135" s="1"/>
  <c r="Q12" i="135"/>
  <c r="K12" i="135"/>
  <c r="L12" i="135" s="1"/>
  <c r="M12" i="135"/>
  <c r="O12" i="135"/>
  <c r="S19" i="119"/>
  <c r="M19" i="119"/>
  <c r="N19" i="119" s="1"/>
  <c r="O19" i="119"/>
  <c r="Q19" i="119"/>
  <c r="M12" i="120"/>
  <c r="N12" i="120" s="1"/>
  <c r="Q12" i="120"/>
  <c r="O12" i="120"/>
  <c r="S12" i="120"/>
  <c r="Q11" i="132"/>
  <c r="S11" i="132"/>
  <c r="M11" i="132"/>
  <c r="N11" i="132" s="1"/>
  <c r="O11" i="132"/>
  <c r="Q10" i="120"/>
  <c r="M10" i="120"/>
  <c r="N10" i="120" s="1"/>
  <c r="O10" i="120"/>
  <c r="S10" i="120"/>
  <c r="R20" i="135"/>
  <c r="I18" i="135"/>
  <c r="J18" i="135" s="1"/>
  <c r="H18" i="135"/>
  <c r="P19" i="119" l="1"/>
  <c r="R19" i="119" s="1"/>
  <c r="T19" i="119" s="1"/>
  <c r="V30" i="120"/>
  <c r="W30" i="120" s="1"/>
  <c r="P11" i="132"/>
  <c r="R11" i="132" s="1"/>
  <c r="T11" i="132" s="1"/>
  <c r="N19" i="135"/>
  <c r="P19" i="135" s="1"/>
  <c r="R19" i="135" s="1"/>
  <c r="P10" i="120"/>
  <c r="R10" i="120" s="1"/>
  <c r="T10" i="120" s="1"/>
  <c r="U10" i="120" s="1"/>
  <c r="T20" i="135"/>
  <c r="U20" i="135" s="1"/>
  <c r="S20" i="135"/>
  <c r="N12" i="135"/>
  <c r="P12" i="135" s="1"/>
  <c r="R12" i="135" s="1"/>
  <c r="V10" i="120"/>
  <c r="M18" i="135"/>
  <c r="O18" i="135"/>
  <c r="Q18" i="135"/>
  <c r="K18" i="135"/>
  <c r="L18" i="135" s="1"/>
  <c r="P12" i="120"/>
  <c r="R12" i="120" s="1"/>
  <c r="T12" i="120" s="1"/>
  <c r="S11" i="135"/>
  <c r="T11" i="135"/>
  <c r="U11" i="135" s="1"/>
  <c r="U13" i="135"/>
  <c r="V13" i="135" s="1"/>
  <c r="W19" i="119"/>
  <c r="V20" i="135" l="1"/>
  <c r="U11" i="132"/>
  <c r="V11" i="132"/>
  <c r="W11" i="132" s="1"/>
  <c r="N18" i="135"/>
  <c r="P18" i="135" s="1"/>
  <c r="R18" i="135" s="1"/>
  <c r="S19" i="135"/>
  <c r="T19" i="135"/>
  <c r="U19" i="135" s="1"/>
  <c r="V12" i="120"/>
  <c r="W12" i="120" s="1"/>
  <c r="U12" i="120"/>
  <c r="S12" i="135"/>
  <c r="T12" i="135"/>
  <c r="U12" i="135" s="1"/>
  <c r="V11" i="135"/>
  <c r="X30" i="120"/>
  <c r="W10" i="120"/>
  <c r="X10" i="120" s="1"/>
  <c r="U19" i="119"/>
  <c r="X11" i="132" l="1"/>
  <c r="V12" i="135"/>
  <c r="V19" i="135"/>
  <c r="S18" i="135"/>
  <c r="T18" i="135"/>
  <c r="U18" i="135" s="1"/>
  <c r="X12" i="120"/>
  <c r="V18" i="135" l="1"/>
  <c r="G10" i="134"/>
  <c r="I9" i="134"/>
  <c r="H9" i="134"/>
  <c r="I16" i="119"/>
  <c r="H16" i="119"/>
  <c r="J9" i="134" l="1"/>
  <c r="U9" i="134" l="1"/>
  <c r="W9" i="134"/>
  <c r="V9" i="134"/>
  <c r="X9" i="134" l="1"/>
  <c r="K20" i="121" l="1"/>
  <c r="L20" i="121" s="1"/>
  <c r="J20" i="121"/>
  <c r="K19" i="123"/>
  <c r="L19" i="123" s="1"/>
  <c r="J19" i="123"/>
  <c r="K9" i="123"/>
  <c r="L9" i="123" s="1"/>
  <c r="J9" i="123"/>
  <c r="K12" i="132"/>
  <c r="L12" i="132" s="1"/>
  <c r="J12" i="132"/>
  <c r="I11" i="134"/>
  <c r="I15" i="134" s="1"/>
  <c r="H11" i="134"/>
  <c r="H15" i="134" s="1"/>
  <c r="G12" i="134"/>
  <c r="S19" i="123" l="1"/>
  <c r="Q19" i="123"/>
  <c r="O19" i="123"/>
  <c r="M19" i="123"/>
  <c r="N19" i="123" s="1"/>
  <c r="Q12" i="132"/>
  <c r="O12" i="132"/>
  <c r="S12" i="132"/>
  <c r="M12" i="132"/>
  <c r="N12" i="132" s="1"/>
  <c r="Q9" i="123"/>
  <c r="O9" i="123"/>
  <c r="M9" i="123"/>
  <c r="N9" i="123" s="1"/>
  <c r="P9" i="123" s="1"/>
  <c r="R9" i="123" s="1"/>
  <c r="S9" i="123"/>
  <c r="Q20" i="121"/>
  <c r="S20" i="121"/>
  <c r="O20" i="121"/>
  <c r="M20" i="121"/>
  <c r="N20" i="121" s="1"/>
  <c r="J11" i="134"/>
  <c r="J15" i="134" s="1"/>
  <c r="P20" i="121" l="1"/>
  <c r="R20" i="121" s="1"/>
  <c r="T20" i="121" s="1"/>
  <c r="U20" i="121" s="1"/>
  <c r="P19" i="123"/>
  <c r="R19" i="123" s="1"/>
  <c r="T19" i="123" s="1"/>
  <c r="V19" i="123" s="1"/>
  <c r="W19" i="123" s="1"/>
  <c r="P12" i="132"/>
  <c r="R12" i="132" s="1"/>
  <c r="T12" i="132" s="1"/>
  <c r="U12" i="132" s="1"/>
  <c r="V20" i="121"/>
  <c r="W20" i="121" s="1"/>
  <c r="T9" i="123"/>
  <c r="U19" i="123" l="1"/>
  <c r="X19" i="123" s="1"/>
  <c r="V12" i="132"/>
  <c r="W12" i="132" s="1"/>
  <c r="X12" i="132" s="1"/>
  <c r="U9" i="123"/>
  <c r="V9" i="123"/>
  <c r="W9" i="123" s="1"/>
  <c r="X9" i="123" s="1"/>
  <c r="X20" i="121"/>
  <c r="V11" i="134"/>
  <c r="V15" i="134" s="1"/>
  <c r="U11" i="134" l="1"/>
  <c r="U15" i="134" s="1"/>
  <c r="W11" i="134"/>
  <c r="W15" i="134" s="1"/>
  <c r="X11" i="134" l="1"/>
  <c r="X15" i="134" s="1"/>
  <c r="K11" i="133" l="1"/>
  <c r="L11" i="133" s="1"/>
  <c r="J11" i="133"/>
  <c r="M11" i="133" l="1"/>
  <c r="N11" i="133" s="1"/>
  <c r="O11" i="133"/>
  <c r="Q11" i="133"/>
  <c r="S11" i="133"/>
  <c r="P11" i="133" l="1"/>
  <c r="R11" i="133" s="1"/>
  <c r="T11" i="133" s="1"/>
  <c r="V11" i="133" l="1"/>
  <c r="W11" i="133" s="1"/>
  <c r="U11" i="133"/>
  <c r="K14" i="121"/>
  <c r="L14" i="121" s="1"/>
  <c r="J14" i="121"/>
  <c r="X11" i="133" l="1"/>
  <c r="Q14" i="121"/>
  <c r="M14" i="121"/>
  <c r="N14" i="121" s="1"/>
  <c r="O14" i="121"/>
  <c r="S14" i="121"/>
  <c r="W14" i="121"/>
  <c r="P14" i="121" l="1"/>
  <c r="R14" i="121" s="1"/>
  <c r="T14" i="121" s="1"/>
  <c r="U14" i="121" s="1"/>
  <c r="X14" i="121" s="1"/>
  <c r="K19" i="121" l="1"/>
  <c r="L19" i="121" s="1"/>
  <c r="J19" i="121"/>
  <c r="O19" i="121" l="1"/>
  <c r="M19" i="121"/>
  <c r="N19" i="121" s="1"/>
  <c r="P19" i="121" s="1"/>
  <c r="Q19" i="121"/>
  <c r="S19" i="121"/>
  <c r="I8" i="123"/>
  <c r="H8" i="123"/>
  <c r="J8" i="123"/>
  <c r="R19" i="121" l="1"/>
  <c r="T19" i="121"/>
  <c r="U19" i="121" s="1"/>
  <c r="V19" i="121"/>
  <c r="W19" i="121" s="1"/>
  <c r="X19" i="121" l="1"/>
  <c r="U8" i="123" l="1"/>
  <c r="W8" i="123"/>
  <c r="V8" i="123"/>
  <c r="X8" i="123" l="1"/>
  <c r="I17" i="135" l="1"/>
  <c r="J17" i="135" s="1"/>
  <c r="H17" i="135"/>
  <c r="M17" i="135" l="1"/>
  <c r="O17" i="135"/>
  <c r="K17" i="135"/>
  <c r="L17" i="135" s="1"/>
  <c r="Q17" i="135"/>
  <c r="N17" i="135" l="1"/>
  <c r="P17" i="135" s="1"/>
  <c r="R17" i="135" s="1"/>
  <c r="T17" i="135"/>
  <c r="U17" i="135" s="1"/>
  <c r="S17" i="135"/>
  <c r="V17" i="135" l="1"/>
  <c r="H13" i="136"/>
  <c r="G13" i="136"/>
  <c r="J13" i="136"/>
  <c r="F11" i="136"/>
  <c r="I13" i="136" l="1"/>
  <c r="R13" i="136" l="1"/>
  <c r="P13" i="136"/>
  <c r="N13" i="136"/>
  <c r="K13" i="136"/>
  <c r="L13" i="136" l="1"/>
  <c r="M13" i="136"/>
  <c r="O13" i="136" l="1"/>
  <c r="Q13" i="136" l="1"/>
  <c r="S13" i="136" l="1"/>
  <c r="V13" i="136" l="1"/>
  <c r="U13" i="136"/>
  <c r="T13" i="136"/>
  <c r="W13" i="136" l="1"/>
  <c r="I13" i="131" l="1"/>
  <c r="K13" i="131" l="1"/>
  <c r="K9" i="119"/>
  <c r="L9" i="119" s="1"/>
  <c r="J9" i="119"/>
  <c r="L13" i="131" l="1"/>
  <c r="P13" i="131"/>
  <c r="N13" i="131"/>
  <c r="M13" i="131"/>
  <c r="O13" i="131" s="1"/>
  <c r="Q13" i="131" s="1"/>
  <c r="Q9" i="119"/>
  <c r="M9" i="119"/>
  <c r="N9" i="119" s="1"/>
  <c r="R13" i="131"/>
  <c r="S9" i="119"/>
  <c r="O9" i="119"/>
  <c r="S13" i="131" l="1"/>
  <c r="P9" i="119"/>
  <c r="R9" i="119" s="1"/>
  <c r="T9" i="119" s="1"/>
  <c r="V9" i="119" l="1"/>
  <c r="W9" i="119" s="1"/>
  <c r="T13" i="131"/>
  <c r="U13" i="131"/>
  <c r="V13" i="131" s="1"/>
  <c r="W13" i="131" s="1"/>
  <c r="U9" i="119"/>
  <c r="X9" i="119" l="1"/>
  <c r="K27" i="120"/>
  <c r="L27" i="120" s="1"/>
  <c r="J27" i="120"/>
  <c r="M27" i="120" l="1"/>
  <c r="N27" i="120" s="1"/>
  <c r="Q27" i="120"/>
  <c r="S27" i="120"/>
  <c r="O27" i="120"/>
  <c r="P27" i="120" l="1"/>
  <c r="R27" i="120" s="1"/>
  <c r="T27" i="120" s="1"/>
  <c r="K17" i="133"/>
  <c r="L17" i="133" s="1"/>
  <c r="K18" i="133"/>
  <c r="L18" i="133" s="1"/>
  <c r="I10" i="135"/>
  <c r="J10" i="135" s="1"/>
  <c r="I14" i="135"/>
  <c r="J14" i="135" s="1"/>
  <c r="I15" i="135"/>
  <c r="J15" i="135" s="1"/>
  <c r="I16" i="135"/>
  <c r="J16" i="135" s="1"/>
  <c r="I9" i="135"/>
  <c r="J9" i="135" s="1"/>
  <c r="K11" i="118"/>
  <c r="L11" i="118" s="1"/>
  <c r="K12" i="118"/>
  <c r="L12" i="118" s="1"/>
  <c r="K18" i="123"/>
  <c r="L18" i="123" s="1"/>
  <c r="K12" i="123"/>
  <c r="L12" i="123" s="1"/>
  <c r="K29" i="121"/>
  <c r="L29" i="121" s="1"/>
  <c r="K28" i="121"/>
  <c r="L28" i="121" s="1"/>
  <c r="K18" i="121"/>
  <c r="L18" i="121" s="1"/>
  <c r="K10" i="121"/>
  <c r="L10" i="121" s="1"/>
  <c r="K11" i="121"/>
  <c r="L11" i="121" s="1"/>
  <c r="K13" i="121"/>
  <c r="L13" i="121" s="1"/>
  <c r="K9" i="121"/>
  <c r="L9" i="121" s="1"/>
  <c r="K31" i="120"/>
  <c r="L31" i="120" s="1"/>
  <c r="K14" i="120"/>
  <c r="L14" i="120" s="1"/>
  <c r="K15" i="120"/>
  <c r="L15" i="120" s="1"/>
  <c r="K13" i="119"/>
  <c r="L13" i="119" s="1"/>
  <c r="K11" i="119"/>
  <c r="L11" i="119" s="1"/>
  <c r="O9" i="121" l="1"/>
  <c r="Q9" i="121"/>
  <c r="M9" i="121"/>
  <c r="N9" i="121" s="1"/>
  <c r="P9" i="121" s="1"/>
  <c r="S9" i="121"/>
  <c r="O16" i="135"/>
  <c r="Q16" i="135"/>
  <c r="K16" i="135"/>
  <c r="L16" i="135" s="1"/>
  <c r="M16" i="135"/>
  <c r="Q31" i="120"/>
  <c r="M31" i="120"/>
  <c r="N31" i="120" s="1"/>
  <c r="S31" i="120"/>
  <c r="O31" i="120"/>
  <c r="O10" i="121"/>
  <c r="Q10" i="121"/>
  <c r="S10" i="121"/>
  <c r="M10" i="121"/>
  <c r="N10" i="121" s="1"/>
  <c r="S12" i="123"/>
  <c r="M12" i="123"/>
  <c r="N12" i="123" s="1"/>
  <c r="O12" i="123"/>
  <c r="Q12" i="123"/>
  <c r="Q9" i="135"/>
  <c r="K9" i="135"/>
  <c r="L9" i="135" s="1"/>
  <c r="O9" i="135"/>
  <c r="M9" i="135"/>
  <c r="Q10" i="135"/>
  <c r="K10" i="135"/>
  <c r="L10" i="135" s="1"/>
  <c r="M10" i="135"/>
  <c r="O10" i="135"/>
  <c r="O11" i="119"/>
  <c r="M11" i="119"/>
  <c r="N11" i="119" s="1"/>
  <c r="S11" i="119"/>
  <c r="Q11" i="119"/>
  <c r="M15" i="120"/>
  <c r="N15" i="120" s="1"/>
  <c r="Q15" i="120"/>
  <c r="O15" i="120"/>
  <c r="S15" i="120"/>
  <c r="S13" i="121"/>
  <c r="O13" i="121"/>
  <c r="Q13" i="121"/>
  <c r="M13" i="121"/>
  <c r="N13" i="121" s="1"/>
  <c r="P13" i="121" s="1"/>
  <c r="R13" i="121" s="1"/>
  <c r="M28" i="121"/>
  <c r="N28" i="121" s="1"/>
  <c r="O28" i="121"/>
  <c r="S28" i="121"/>
  <c r="Q28" i="121"/>
  <c r="S12" i="118"/>
  <c r="O12" i="118"/>
  <c r="Q12" i="118"/>
  <c r="M12" i="118"/>
  <c r="N12" i="118" s="1"/>
  <c r="O15" i="135"/>
  <c r="Q15" i="135"/>
  <c r="K15" i="135"/>
  <c r="L15" i="135" s="1"/>
  <c r="M15" i="135"/>
  <c r="M17" i="133"/>
  <c r="N17" i="133" s="1"/>
  <c r="S17" i="133"/>
  <c r="O17" i="133"/>
  <c r="Q17" i="133"/>
  <c r="O18" i="121"/>
  <c r="M18" i="121"/>
  <c r="S18" i="121"/>
  <c r="N18" i="121"/>
  <c r="P18" i="121" s="1"/>
  <c r="R18" i="121" s="1"/>
  <c r="T18" i="121" s="1"/>
  <c r="Q18" i="121"/>
  <c r="S18" i="133"/>
  <c r="M18" i="133"/>
  <c r="N18" i="133" s="1"/>
  <c r="O18" i="133"/>
  <c r="Q18" i="133"/>
  <c r="S13" i="119"/>
  <c r="M13" i="119"/>
  <c r="N13" i="119" s="1"/>
  <c r="P13" i="119" s="1"/>
  <c r="Q13" i="119"/>
  <c r="O13" i="119"/>
  <c r="Q14" i="120"/>
  <c r="O14" i="120"/>
  <c r="M14" i="120"/>
  <c r="N14" i="120" s="1"/>
  <c r="S14" i="120"/>
  <c r="Q11" i="121"/>
  <c r="S11" i="121"/>
  <c r="M11" i="121"/>
  <c r="N11" i="121" s="1"/>
  <c r="P11" i="121" s="1"/>
  <c r="O11" i="121"/>
  <c r="M29" i="121"/>
  <c r="N29" i="121" s="1"/>
  <c r="O29" i="121"/>
  <c r="Q29" i="121"/>
  <c r="S29" i="121"/>
  <c r="Q18" i="123"/>
  <c r="M18" i="123"/>
  <c r="N18" i="123" s="1"/>
  <c r="O18" i="123"/>
  <c r="S18" i="123"/>
  <c r="O11" i="118"/>
  <c r="M11" i="118"/>
  <c r="N11" i="118" s="1"/>
  <c r="P11" i="118" s="1"/>
  <c r="Q11" i="118"/>
  <c r="S11" i="118"/>
  <c r="O14" i="135"/>
  <c r="Q14" i="135"/>
  <c r="K14" i="135"/>
  <c r="L14" i="135" s="1"/>
  <c r="M14" i="135"/>
  <c r="U27" i="120"/>
  <c r="V27" i="120"/>
  <c r="W27" i="120" s="1"/>
  <c r="P11" i="119" l="1"/>
  <c r="R11" i="119" s="1"/>
  <c r="T11" i="119" s="1"/>
  <c r="V11" i="119" s="1"/>
  <c r="W11" i="119" s="1"/>
  <c r="R11" i="118"/>
  <c r="T11" i="118" s="1"/>
  <c r="U11" i="118" s="1"/>
  <c r="R9" i="121"/>
  <c r="P12" i="118"/>
  <c r="R12" i="118" s="1"/>
  <c r="N10" i="135"/>
  <c r="P10" i="135" s="1"/>
  <c r="R10" i="135" s="1"/>
  <c r="P28" i="121"/>
  <c r="R28" i="121" s="1"/>
  <c r="T28" i="121" s="1"/>
  <c r="P17" i="133"/>
  <c r="R17" i="133" s="1"/>
  <c r="T17" i="133" s="1"/>
  <c r="U17" i="133" s="1"/>
  <c r="P29" i="121"/>
  <c r="R29" i="121" s="1"/>
  <c r="T29" i="121" s="1"/>
  <c r="U29" i="121" s="1"/>
  <c r="R11" i="121"/>
  <c r="T11" i="121" s="1"/>
  <c r="U11" i="121" s="1"/>
  <c r="P15" i="120"/>
  <c r="R15" i="120" s="1"/>
  <c r="T15" i="120" s="1"/>
  <c r="V15" i="120" s="1"/>
  <c r="N9" i="135"/>
  <c r="P9" i="135" s="1"/>
  <c r="R9" i="135" s="1"/>
  <c r="T9" i="135" s="1"/>
  <c r="X27" i="120"/>
  <c r="P31" i="120"/>
  <c r="R31" i="120" s="1"/>
  <c r="T31" i="120" s="1"/>
  <c r="U31" i="120" s="1"/>
  <c r="V11" i="118"/>
  <c r="U18" i="121"/>
  <c r="V18" i="121"/>
  <c r="R13" i="119"/>
  <c r="T13" i="119" s="1"/>
  <c r="V13" i="119" s="1"/>
  <c r="P18" i="133"/>
  <c r="R18" i="133" s="1"/>
  <c r="T18" i="133" s="1"/>
  <c r="T12" i="118"/>
  <c r="T13" i="121"/>
  <c r="P12" i="123"/>
  <c r="R12" i="123" s="1"/>
  <c r="T12" i="123" s="1"/>
  <c r="N16" i="135"/>
  <c r="P16" i="135" s="1"/>
  <c r="R16" i="135" s="1"/>
  <c r="T9" i="121"/>
  <c r="P14" i="120"/>
  <c r="R14" i="120" s="1"/>
  <c r="T14" i="120" s="1"/>
  <c r="N15" i="135"/>
  <c r="P15" i="135" s="1"/>
  <c r="R15" i="135" s="1"/>
  <c r="N14" i="135"/>
  <c r="P14" i="135" s="1"/>
  <c r="R14" i="135" s="1"/>
  <c r="P18" i="123"/>
  <c r="R18" i="123" s="1"/>
  <c r="T18" i="123" s="1"/>
  <c r="P10" i="121"/>
  <c r="R10" i="121" s="1"/>
  <c r="T10" i="121" s="1"/>
  <c r="I14" i="131"/>
  <c r="K14" i="131" s="1"/>
  <c r="V29" i="121" l="1"/>
  <c r="V31" i="120"/>
  <c r="T10" i="135"/>
  <c r="S10" i="135"/>
  <c r="V28" i="121"/>
  <c r="U28" i="121"/>
  <c r="V17" i="133"/>
  <c r="V11" i="121"/>
  <c r="U15" i="120"/>
  <c r="S9" i="135"/>
  <c r="U18" i="123"/>
  <c r="V18" i="123"/>
  <c r="V9" i="121"/>
  <c r="U9" i="121"/>
  <c r="S14" i="135"/>
  <c r="T14" i="135"/>
  <c r="U14" i="120"/>
  <c r="V14" i="120"/>
  <c r="S16" i="135"/>
  <c r="T16" i="135"/>
  <c r="U13" i="121"/>
  <c r="V13" i="121"/>
  <c r="U12" i="123"/>
  <c r="V12" i="123"/>
  <c r="U12" i="118"/>
  <c r="V12" i="118"/>
  <c r="S15" i="135"/>
  <c r="T15" i="135"/>
  <c r="P14" i="131"/>
  <c r="L14" i="131"/>
  <c r="M14" i="131" s="1"/>
  <c r="N14" i="131"/>
  <c r="V10" i="121"/>
  <c r="U10" i="121"/>
  <c r="V18" i="133"/>
  <c r="U18" i="133"/>
  <c r="R14" i="131"/>
  <c r="O14" i="131" l="1"/>
  <c r="Q14" i="131"/>
  <c r="S14" i="131" s="1"/>
  <c r="G14" i="131"/>
  <c r="U14" i="131" l="1"/>
  <c r="V14" i="131" s="1"/>
  <c r="T14" i="131"/>
  <c r="W14" i="131" l="1"/>
  <c r="J15" i="120"/>
  <c r="W15" i="120" l="1"/>
  <c r="X15" i="120" l="1"/>
  <c r="J18" i="133" l="1"/>
  <c r="G18" i="133"/>
  <c r="W18" i="133" l="1"/>
  <c r="X18" i="133" l="1"/>
  <c r="J13" i="121"/>
  <c r="W13" i="121" l="1"/>
  <c r="X13" i="121" l="1"/>
  <c r="J11" i="121"/>
  <c r="W11" i="121" l="1"/>
  <c r="X11" i="121" s="1"/>
  <c r="H16" i="135" l="1"/>
  <c r="U16" i="135" l="1"/>
  <c r="V16" i="135" l="1"/>
  <c r="H15" i="135" l="1"/>
  <c r="J17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L15" i="131" l="1"/>
  <c r="M15" i="131" s="1"/>
  <c r="P15" i="131"/>
  <c r="N15" i="131"/>
  <c r="P16" i="131"/>
  <c r="L16" i="131"/>
  <c r="M16" i="131" s="1"/>
  <c r="N16" i="131"/>
  <c r="L17" i="131"/>
  <c r="M17" i="131" s="1"/>
  <c r="P17" i="131"/>
  <c r="N17" i="131"/>
  <c r="N10" i="131"/>
  <c r="L10" i="131"/>
  <c r="M10" i="131" s="1"/>
  <c r="R10" i="131"/>
  <c r="P10" i="131"/>
  <c r="L11" i="131"/>
  <c r="M11" i="131" s="1"/>
  <c r="P11" i="131"/>
  <c r="P12" i="131"/>
  <c r="L12" i="131"/>
  <c r="M12" i="131" s="1"/>
  <c r="N12" i="131"/>
  <c r="P18" i="131"/>
  <c r="L18" i="131"/>
  <c r="M18" i="131" s="1"/>
  <c r="N18" i="131"/>
  <c r="R17" i="131"/>
  <c r="N11" i="131"/>
  <c r="R11" i="131"/>
  <c r="R12" i="131"/>
  <c r="R18" i="131"/>
  <c r="R16" i="131"/>
  <c r="R15" i="131"/>
  <c r="I32" i="120"/>
  <c r="O11" i="131" l="1"/>
  <c r="O15" i="131"/>
  <c r="O17" i="131"/>
  <c r="Q17" i="131" s="1"/>
  <c r="S17" i="131" s="1"/>
  <c r="U17" i="131" s="1"/>
  <c r="O16" i="131"/>
  <c r="Q16" i="131" s="1"/>
  <c r="S16" i="131" s="1"/>
  <c r="U16" i="131" s="1"/>
  <c r="O10" i="131"/>
  <c r="Q10" i="131" s="1"/>
  <c r="S10" i="131" s="1"/>
  <c r="T10" i="131" s="1"/>
  <c r="U10" i="131"/>
  <c r="O18" i="131"/>
  <c r="Q18" i="131" s="1"/>
  <c r="S18" i="131" s="1"/>
  <c r="U18" i="131" s="1"/>
  <c r="O12" i="131"/>
  <c r="Q12" i="131" s="1"/>
  <c r="S12" i="131" s="1"/>
  <c r="U12" i="131" s="1"/>
  <c r="Q15" i="131"/>
  <c r="S15" i="131" s="1"/>
  <c r="U15" i="131" s="1"/>
  <c r="Q11" i="131"/>
  <c r="S11" i="131" s="1"/>
  <c r="U11" i="131" s="1"/>
  <c r="I8" i="121" l="1"/>
  <c r="I18" i="119"/>
  <c r="H18" i="119"/>
  <c r="I16" i="123" l="1"/>
  <c r="J9" i="121" l="1"/>
  <c r="Q15" i="134" l="1"/>
  <c r="M15" i="134"/>
  <c r="K15" i="134"/>
  <c r="L15" i="134" l="1"/>
  <c r="O15" i="134" l="1"/>
  <c r="N15" i="134"/>
  <c r="I27" i="121" l="1"/>
  <c r="I31" i="121" s="1"/>
  <c r="P15" i="134" l="1"/>
  <c r="R15" i="134"/>
  <c r="G10" i="121" l="1"/>
  <c r="J29" i="121"/>
  <c r="J31" i="120"/>
  <c r="G31" i="120"/>
  <c r="J10" i="121" l="1"/>
  <c r="J16" i="119" l="1"/>
  <c r="J13" i="119" l="1"/>
  <c r="H27" i="121" l="1"/>
  <c r="H16" i="123"/>
  <c r="H13" i="123"/>
  <c r="H8" i="121" l="1"/>
  <c r="H31" i="121" s="1"/>
  <c r="J28" i="121" l="1"/>
  <c r="J27" i="121" s="1"/>
  <c r="G14" i="120" l="1"/>
  <c r="J14" i="120" l="1"/>
  <c r="J13" i="123" l="1"/>
  <c r="J18" i="123" l="1"/>
  <c r="J16" i="123" s="1"/>
  <c r="J18" i="121" l="1"/>
  <c r="G37" i="123" l="1"/>
  <c r="I36" i="123"/>
  <c r="H36" i="123"/>
  <c r="G17" i="133" l="1"/>
  <c r="Q19" i="133"/>
  <c r="M19" i="133"/>
  <c r="K19" i="133"/>
  <c r="U36" i="123" l="1"/>
  <c r="J36" i="123"/>
  <c r="N19" i="133" l="1"/>
  <c r="V36" i="123"/>
  <c r="J19" i="133"/>
  <c r="L19" i="133" l="1"/>
  <c r="W36" i="123"/>
  <c r="X36" i="123"/>
  <c r="J11" i="118" l="1"/>
  <c r="I14" i="118" l="1"/>
  <c r="I8" i="119" l="1"/>
  <c r="H8" i="119"/>
  <c r="J32" i="123" l="1"/>
  <c r="J39" i="123" s="1"/>
  <c r="I32" i="123"/>
  <c r="I39" i="123" s="1"/>
  <c r="H32" i="123"/>
  <c r="H39" i="123" s="1"/>
  <c r="G18" i="123"/>
  <c r="G18" i="121" l="1"/>
  <c r="J8" i="121"/>
  <c r="J31" i="121" s="1"/>
  <c r="G16" i="121"/>
  <c r="G12" i="121"/>
  <c r="G9" i="121"/>
  <c r="I14" i="119" l="1"/>
  <c r="I12" i="119"/>
  <c r="H12" i="119"/>
  <c r="J11" i="119"/>
  <c r="H21" i="119" l="1"/>
  <c r="I21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3" i="123"/>
  <c r="G17" i="123"/>
  <c r="G14" i="123"/>
  <c r="G28" i="121"/>
  <c r="J20" i="131" l="1"/>
  <c r="H20" i="131"/>
  <c r="K20" i="131" l="1"/>
  <c r="I20" i="131"/>
  <c r="L20" i="131" l="1"/>
  <c r="P20" i="131"/>
  <c r="M20" i="131" l="1"/>
  <c r="J12" i="118" l="1"/>
  <c r="J14" i="118" l="1"/>
  <c r="K14" i="118"/>
  <c r="K39" i="123"/>
  <c r="K31" i="121"/>
  <c r="K32" i="120"/>
  <c r="H14" i="118" l="1"/>
  <c r="L39" i="123"/>
  <c r="L31" i="121"/>
  <c r="L14" i="118" l="1"/>
  <c r="K21" i="119" l="1"/>
  <c r="J18" i="119"/>
  <c r="J14" i="119" l="1"/>
  <c r="J8" i="119"/>
  <c r="J21" i="119" l="1"/>
  <c r="L21" i="119"/>
  <c r="V18" i="131" l="1"/>
  <c r="Q23" i="135"/>
  <c r="W18" i="123"/>
  <c r="W31" i="120"/>
  <c r="S15" i="134"/>
  <c r="V12" i="131"/>
  <c r="W13" i="119"/>
  <c r="U13" i="119"/>
  <c r="W29" i="121"/>
  <c r="T15" i="131"/>
  <c r="U15" i="135"/>
  <c r="U16" i="119"/>
  <c r="V11" i="131"/>
  <c r="T11" i="131"/>
  <c r="M23" i="135"/>
  <c r="W14" i="120"/>
  <c r="V10" i="131"/>
  <c r="V16" i="131"/>
  <c r="T16" i="131"/>
  <c r="T17" i="131"/>
  <c r="V17" i="131"/>
  <c r="W9" i="121"/>
  <c r="O31" i="121"/>
  <c r="W18" i="121"/>
  <c r="W10" i="121"/>
  <c r="S19" i="133"/>
  <c r="O19" i="133"/>
  <c r="O15" i="132"/>
  <c r="U11" i="119"/>
  <c r="R20" i="131"/>
  <c r="N20" i="131"/>
  <c r="Q32" i="120"/>
  <c r="O39" i="123"/>
  <c r="S21" i="119"/>
  <c r="S39" i="123"/>
  <c r="Q31" i="121"/>
  <c r="M32" i="120"/>
  <c r="M39" i="123"/>
  <c r="S14" i="118"/>
  <c r="O21" i="119"/>
  <c r="Q14" i="118"/>
  <c r="Q39" i="123"/>
  <c r="S31" i="121"/>
  <c r="M21" i="119"/>
  <c r="Q21" i="119"/>
  <c r="O14" i="118"/>
  <c r="M14" i="118"/>
  <c r="M31" i="121"/>
  <c r="W17" i="133" l="1"/>
  <c r="W19" i="133" s="1"/>
  <c r="V19" i="133"/>
  <c r="W16" i="119"/>
  <c r="V16" i="119"/>
  <c r="W16" i="123"/>
  <c r="V15" i="131"/>
  <c r="W15" i="131" s="1"/>
  <c r="T18" i="131"/>
  <c r="W18" i="131" s="1"/>
  <c r="U14" i="135"/>
  <c r="V14" i="135" s="1"/>
  <c r="U10" i="135"/>
  <c r="V10" i="135" s="1"/>
  <c r="T12" i="131"/>
  <c r="W12" i="131" s="1"/>
  <c r="X31" i="120"/>
  <c r="X18" i="123"/>
  <c r="X10" i="121"/>
  <c r="X18" i="121"/>
  <c r="X9" i="121"/>
  <c r="W16" i="131"/>
  <c r="W10" i="131"/>
  <c r="X14" i="120"/>
  <c r="W11" i="131"/>
  <c r="X29" i="121"/>
  <c r="U27" i="121"/>
  <c r="T15" i="134"/>
  <c r="W28" i="121"/>
  <c r="W27" i="121" s="1"/>
  <c r="V27" i="121"/>
  <c r="X13" i="119"/>
  <c r="W17" i="131"/>
  <c r="U11" i="123"/>
  <c r="U16" i="123"/>
  <c r="V15" i="135"/>
  <c r="W12" i="123"/>
  <c r="W11" i="123" s="1"/>
  <c r="V11" i="123"/>
  <c r="N23" i="135"/>
  <c r="U13" i="123"/>
  <c r="W13" i="123"/>
  <c r="V13" i="123"/>
  <c r="V8" i="121"/>
  <c r="U8" i="121"/>
  <c r="W11" i="118"/>
  <c r="X11" i="118" s="1"/>
  <c r="P19" i="133"/>
  <c r="X11" i="119"/>
  <c r="W32" i="123"/>
  <c r="V32" i="123"/>
  <c r="O20" i="131"/>
  <c r="R15" i="132"/>
  <c r="P15" i="132"/>
  <c r="U32" i="123"/>
  <c r="W12" i="118"/>
  <c r="X12" i="118" s="1"/>
  <c r="N39" i="123"/>
  <c r="N21" i="119"/>
  <c r="U14" i="119"/>
  <c r="N31" i="121"/>
  <c r="U18" i="119"/>
  <c r="V18" i="119"/>
  <c r="N14" i="118"/>
  <c r="X17" i="133" l="1"/>
  <c r="X19" i="133" s="1"/>
  <c r="U39" i="123"/>
  <c r="W39" i="123"/>
  <c r="X16" i="119"/>
  <c r="V31" i="121"/>
  <c r="U31" i="121"/>
  <c r="V16" i="123"/>
  <c r="V39" i="123" s="1"/>
  <c r="X28" i="121"/>
  <c r="X27" i="121" s="1"/>
  <c r="X16" i="123"/>
  <c r="X12" i="123"/>
  <c r="X11" i="123" s="1"/>
  <c r="P23" i="135"/>
  <c r="X13" i="123"/>
  <c r="W8" i="121"/>
  <c r="W31" i="121" s="1"/>
  <c r="X8" i="121"/>
  <c r="R19" i="133"/>
  <c r="X32" i="123"/>
  <c r="U12" i="119"/>
  <c r="T15" i="132"/>
  <c r="Q20" i="131"/>
  <c r="W12" i="119"/>
  <c r="V12" i="119"/>
  <c r="W14" i="119"/>
  <c r="V14" i="119"/>
  <c r="W18" i="119"/>
  <c r="P14" i="118"/>
  <c r="P31" i="121"/>
  <c r="P39" i="123"/>
  <c r="P21" i="119"/>
  <c r="X39" i="123" l="1"/>
  <c r="X31" i="121"/>
  <c r="R23" i="135"/>
  <c r="T19" i="133"/>
  <c r="V15" i="132"/>
  <c r="W15" i="132"/>
  <c r="U15" i="132"/>
  <c r="S20" i="131"/>
  <c r="X12" i="119"/>
  <c r="X14" i="119"/>
  <c r="X19" i="119"/>
  <c r="X18" i="119" s="1"/>
  <c r="R31" i="121"/>
  <c r="R39" i="123"/>
  <c r="R14" i="118"/>
  <c r="R21" i="119"/>
  <c r="S23" i="135" l="1"/>
  <c r="T23" i="135"/>
  <c r="U9" i="135"/>
  <c r="U19" i="133"/>
  <c r="X15" i="132"/>
  <c r="V20" i="131"/>
  <c r="U20" i="131"/>
  <c r="T20" i="131"/>
  <c r="V8" i="119"/>
  <c r="V21" i="119" s="1"/>
  <c r="T21" i="119"/>
  <c r="U8" i="119"/>
  <c r="U21" i="119" s="1"/>
  <c r="U14" i="118"/>
  <c r="V14" i="118"/>
  <c r="T14" i="118"/>
  <c r="T39" i="123"/>
  <c r="T31" i="121"/>
  <c r="U23" i="135" l="1"/>
  <c r="V9" i="135"/>
  <c r="V23" i="135" s="1"/>
  <c r="W20" i="131"/>
  <c r="W8" i="119"/>
  <c r="W21" i="119" s="1"/>
  <c r="W14" i="118"/>
  <c r="X8" i="119" l="1"/>
  <c r="X21" i="119" s="1"/>
  <c r="X14" i="118"/>
  <c r="H32" i="120"/>
  <c r="G9" i="120"/>
  <c r="S32" i="120" l="1"/>
  <c r="O32" i="120"/>
  <c r="L32" i="120"/>
  <c r="N32" i="120"/>
  <c r="J32" i="120"/>
  <c r="P32" i="120" l="1"/>
  <c r="R32" i="120" l="1"/>
  <c r="T32" i="120" l="1"/>
  <c r="U32" i="120" l="1"/>
  <c r="W32" i="120"/>
  <c r="V32" i="120" l="1"/>
  <c r="X32" i="120"/>
</calcChain>
</file>

<file path=xl/sharedStrings.xml><?xml version="1.0" encoding="utf-8"?>
<sst xmlns="http://schemas.openxmlformats.org/spreadsheetml/2006/main" count="1075" uniqueCount="327">
  <si>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</si>
  <si>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</si>
  <si>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</si>
  <si>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</si>
  <si>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</si>
  <si>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</si>
  <si>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</si>
  <si>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</si>
  <si>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</si>
  <si>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</si>
  <si>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</si>
  <si>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</si>
  <si>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</si>
  <si>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</si>
  <si>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</si>
  <si>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</si>
  <si>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</si>
  <si>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</si>
  <si>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</si>
  <si>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</si>
  <si>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</si>
  <si>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</si>
  <si>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</si>
  <si>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</si>
  <si>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</si>
  <si>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</si>
  <si>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</si>
  <si>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</si>
  <si>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</si>
  <si>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</si>
  <si>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</si>
  <si>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</si>
  <si>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</si>
  <si>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</si>
  <si>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</si>
  <si>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</si>
  <si>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</si>
  <si>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</si>
  <si>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</si>
  <si>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</si>
  <si>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</si>
  <si>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</si>
  <si>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</si>
  <si>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</si>
  <si>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</si>
  <si>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</si>
  <si>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</si>
  <si>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</si>
  <si>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</si>
  <si>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</si>
  <si>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</si>
  <si>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</si>
  <si>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</si>
  <si>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</si>
  <si>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</si>
  <si>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</si>
  <si>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</si>
  <si>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</si>
  <si>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</si>
  <si>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</si>
  <si>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</si>
  <si>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</si>
  <si>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</si>
  <si>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</si>
  <si>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</si>
  <si>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</si>
  <si>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</si>
  <si>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</si>
  <si>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</si>
  <si>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</si>
  <si>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</si>
  <si>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</si>
  <si>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</si>
  <si>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</si>
  <si>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</si>
  <si>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</si>
  <si>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</si>
  <si>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</si>
  <si>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</si>
  <si>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</si>
  <si>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</si>
  <si>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</si>
  <si>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</si>
  <si>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</si>
  <si>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</si>
  <si>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</si>
  <si>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</si>
  <si>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</si>
  <si>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</si>
  <si>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</si>
  <si>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</si>
  <si>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</si>
  <si>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</si>
  <si>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</si>
  <si>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</si>
  <si>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</si>
  <si>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</si>
  <si>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</si>
  <si>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</si>
  <si>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</si>
  <si>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</si>
  <si>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</si>
  <si>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</si>
  <si>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</si>
  <si>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</si>
  <si>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</si>
  <si>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</si>
  <si>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</si>
  <si>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</si>
  <si>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</si>
  <si>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</si>
  <si>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</si>
  <si>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</si>
  <si>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</si>
  <si>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</si>
  <si>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</si>
  <si>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</si>
  <si>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</si>
  <si>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</si>
  <si>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</si>
  <si>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</si>
  <si>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</si>
  <si>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</si>
  <si>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</si>
  <si>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</si>
  <si>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</si>
  <si>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</si>
  <si>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</si>
  <si>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</si>
  <si>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</si>
  <si>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</si>
  <si>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</si>
  <si>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</si>
  <si>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</si>
  <si>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</si>
  <si>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</si>
  <si>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</si>
  <si>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</si>
  <si>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</si>
  <si>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</si>
  <si>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</si>
  <si>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</si>
  <si>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</si>
  <si>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</si>
  <si>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</si>
  <si>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</si>
  <si>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</si>
  <si>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</si>
  <si>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</si>
  <si>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</si>
  <si>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</si>
  <si>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</si>
  <si>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</si>
  <si>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</si>
  <si>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</si>
  <si>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</si>
  <si>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</si>
  <si>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</si>
  <si>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</si>
  <si>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</si>
  <si>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</si>
  <si>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</si>
  <si>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</si>
  <si>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</si>
  <si>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</si>
  <si>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</si>
  <si>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</si>
  <si>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</si>
  <si>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</si>
  <si>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</si>
  <si>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</si>
  <si>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</si>
  <si>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</si>
  <si>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</si>
  <si>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</si>
  <si>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</si>
  <si>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</si>
  <si>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</si>
  <si>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</si>
  <si>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</si>
  <si>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</si>
  <si>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</si>
  <si>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</si>
  <si>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</si>
  <si>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</si>
  <si>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</si>
  <si>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</si>
  <si>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</si>
  <si>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</si>
  <si>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</si>
  <si>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</si>
  <si>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</si>
  <si>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</si>
  <si>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</si>
  <si>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</si>
  <si>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</si>
  <si>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</si>
  <si>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</si>
  <si>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</si>
  <si>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</si>
  <si>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</si>
  <si>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</si>
  <si>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</si>
  <si>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</si>
  <si>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</si>
  <si>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</si>
  <si>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</si>
  <si>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</si>
  <si>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</si>
  <si>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</si>
  <si>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</si>
  <si>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</si>
  <si>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</si>
  <si>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</si>
  <si>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</si>
  <si>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</si>
  <si>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</si>
  <si>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</si>
  <si>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</si>
  <si>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</si>
  <si>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</si>
  <si>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</si>
  <si>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</si>
  <si>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</si>
  <si>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</si>
  <si>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</si>
  <si>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</si>
  <si>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</si>
  <si>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</si>
  <si>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</si>
  <si>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</si>
  <si>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</si>
  <si>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</si>
  <si>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</si>
  <si>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</si>
  <si>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</si>
  <si>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</si>
  <si>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</si>
  <si>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</si>
  <si>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</si>
  <si>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</si>
  <si>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</si>
  <si>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</si>
  <si>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</si>
  <si>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</si>
  <si>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</si>
  <si>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</si>
  <si>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</si>
  <si>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</si>
  <si>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</si>
  <si>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</si>
  <si>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</si>
  <si>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</si>
  <si>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</si>
  <si>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</si>
  <si>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</si>
  <si>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</si>
  <si>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</si>
  <si>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</si>
  <si>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</si>
  <si>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</si>
  <si>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</si>
  <si>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</si>
  <si>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</si>
  <si>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</si>
  <si>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</si>
  <si>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</si>
  <si>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</si>
  <si>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</si>
  <si>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</si>
  <si>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</si>
  <si>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</si>
  <si>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</si>
  <si>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</si>
  <si>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</si>
  <si>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</si>
  <si>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</si>
  <si>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</si>
  <si>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</si>
  <si>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</si>
  <si>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</si>
  <si>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</si>
  <si>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</si>
  <si>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</si>
  <si>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</si>
  <si>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</si>
  <si>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</si>
  <si>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</si>
  <si>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</si>
  <si>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</si>
  <si>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</si>
  <si>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</si>
  <si>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</si>
  <si>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</si>
  <si>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</si>
  <si>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</si>
  <si>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</si>
  <si>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</si>
  <si>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</si>
  <si>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</si>
  <si>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</si>
  <si>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</si>
  <si>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</si>
  <si>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</si>
  <si>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</si>
  <si>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</si>
  <si>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</si>
  <si>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</si>
  <si>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</si>
  <si>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</si>
  <si>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</si>
  <si>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</si>
  <si>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</si>
  <si>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</si>
  <si>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</si>
  <si>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</si>
  <si>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</si>
  <si>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</si>
  <si>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</si>
  <si>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</si>
  <si>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</si>
  <si>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</si>
  <si>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</si>
  <si>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</si>
  <si>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</si>
  <si>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</si>
  <si>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SUELDO  DEL 16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</si>
</sst>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/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21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28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22" t="s">
        <v>211</v>
      </c>
    </row>
    <row r="3" spans="1:9" x14ac:dyDescent="0.2">
      <c r="B3" s="8" t="s">
        <v>47</v>
      </c>
      <c r="C3" s="7"/>
      <c r="D3" s="7"/>
      <c r="E3" s="7"/>
      <c r="F3" s="7"/>
      <c r="G3" s="7"/>
      <c r="I3" s="121">
        <v>207.44</v>
      </c>
    </row>
    <row r="4" spans="1:9" x14ac:dyDescent="0.2">
      <c r="B4" s="19" t="s">
        <v>309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7" t="s">
        <v>10</v>
      </c>
      <c r="C7" s="257"/>
      <c r="D7" s="257"/>
      <c r="E7" s="7"/>
      <c r="F7" s="250" t="s">
        <v>48</v>
      </c>
      <c r="G7" s="251"/>
      <c r="I7" s="122" t="s">
        <v>212</v>
      </c>
    </row>
    <row r="8" spans="1:9" ht="14.25" customHeight="1" x14ac:dyDescent="0.2">
      <c r="B8" s="254" t="s">
        <v>9</v>
      </c>
      <c r="C8" s="254"/>
      <c r="D8" s="254"/>
      <c r="E8" s="7"/>
      <c r="F8" s="255" t="s">
        <v>49</v>
      </c>
      <c r="G8" s="256"/>
      <c r="I8" s="121">
        <v>96.22</v>
      </c>
    </row>
    <row r="9" spans="1:9" ht="8.25" customHeight="1" x14ac:dyDescent="0.2">
      <c r="B9" s="258"/>
      <c r="C9" s="258"/>
      <c r="D9" s="258"/>
      <c r="E9" s="7"/>
      <c r="F9" s="252"/>
      <c r="G9" s="253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307</v>
      </c>
      <c r="C28" s="7"/>
      <c r="D28" s="7"/>
    </row>
    <row r="29" spans="1:7" x14ac:dyDescent="0.2">
      <c r="B29" s="32" t="s">
        <v>308</v>
      </c>
      <c r="C29" s="7"/>
      <c r="D29" s="7"/>
    </row>
    <row r="32" spans="1:7" ht="17.25" customHeight="1" x14ac:dyDescent="0.2">
      <c r="B32" s="5" t="s">
        <v>45</v>
      </c>
      <c r="E32" s="7"/>
      <c r="F32" s="250" t="s">
        <v>53</v>
      </c>
      <c r="G32" s="251"/>
    </row>
    <row r="33" spans="2:7" x14ac:dyDescent="0.2">
      <c r="E33" s="7"/>
      <c r="F33" s="255" t="s">
        <v>54</v>
      </c>
      <c r="G33" s="256"/>
    </row>
    <row r="34" spans="2:7" ht="5.25" customHeight="1" x14ac:dyDescent="0.2">
      <c r="E34" s="7"/>
      <c r="F34" s="252"/>
      <c r="G34" s="253"/>
    </row>
    <row r="35" spans="2:7" x14ac:dyDescent="0.2">
      <c r="B35" s="257" t="s">
        <v>10</v>
      </c>
      <c r="C35" s="257"/>
      <c r="D35" s="257"/>
      <c r="E35" s="7"/>
      <c r="F35" s="9" t="s">
        <v>16</v>
      </c>
      <c r="G35" s="9" t="s">
        <v>17</v>
      </c>
    </row>
    <row r="36" spans="2:7" x14ac:dyDescent="0.2">
      <c r="B36" s="254" t="s">
        <v>9</v>
      </c>
      <c r="C36" s="254"/>
      <c r="D36" s="254"/>
      <c r="E36" s="7"/>
      <c r="F36" s="9"/>
      <c r="G36" s="9" t="s">
        <v>18</v>
      </c>
    </row>
    <row r="37" spans="2:7" x14ac:dyDescent="0.2">
      <c r="B37" s="258"/>
      <c r="C37" s="258"/>
      <c r="D37" s="258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6"/>
  <sheetViews>
    <sheetView topLeftCell="B1" zoomScale="77" zoomScaleNormal="77" workbookViewId="0">
      <selection activeCell="W10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8.28515625" hidden="1" customWidth="1"/>
    <col min="7" max="7" width="0.28515625" hidden="1" customWidth="1"/>
    <col min="8" max="8" width="14.5703125" customWidth="1"/>
    <col min="9" max="9" width="10.140625" customWidth="1"/>
    <col min="10" max="10" width="13.85546875" customWidth="1"/>
    <col min="11" max="11" width="11.42578125" hidden="1" customWidth="1"/>
    <col min="12" max="14" width="16" hidden="1" customWidth="1"/>
    <col min="15" max="20" width="11.42578125" hidden="1" customWidth="1"/>
    <col min="21" max="21" width="9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3" t="s">
        <v>1</v>
      </c>
      <c r="I6" s="274"/>
      <c r="J6" s="275"/>
      <c r="K6" s="24" t="s">
        <v>25</v>
      </c>
      <c r="L6" s="25"/>
      <c r="M6" s="276" t="s">
        <v>8</v>
      </c>
      <c r="N6" s="277"/>
      <c r="O6" s="277"/>
      <c r="P6" s="277"/>
      <c r="Q6" s="277"/>
      <c r="R6" s="278"/>
      <c r="S6" s="24" t="s">
        <v>29</v>
      </c>
      <c r="T6" s="24" t="s">
        <v>9</v>
      </c>
      <c r="U6" s="23" t="s">
        <v>52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306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46</v>
      </c>
      <c r="I8" s="29" t="s">
        <v>58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5" ht="31.5" customHeight="1" x14ac:dyDescent="0.25">
      <c r="A9" s="142"/>
      <c r="B9" s="213"/>
      <c r="C9" s="124"/>
      <c r="D9" s="157" t="s">
        <v>117</v>
      </c>
      <c r="E9" s="142" t="s">
        <v>60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102.75" customHeight="1" x14ac:dyDescent="0.25">
      <c r="A10" s="116" t="s">
        <v>85</v>
      </c>
      <c r="B10" s="173" t="s">
        <v>163</v>
      </c>
      <c r="C10" s="214" t="s">
        <v>115</v>
      </c>
      <c r="D10" s="239" t="s">
        <v>155</v>
      </c>
      <c r="E10" s="175" t="s">
        <v>118</v>
      </c>
      <c r="F10" s="177">
        <v>9</v>
      </c>
      <c r="G10" s="178"/>
      <c r="H10" s="179">
        <v>3985</v>
      </c>
      <c r="I10" s="180">
        <v>0</v>
      </c>
      <c r="J10" s="181">
        <f>SUM(H10:I10)</f>
        <v>3985</v>
      </c>
      <c r="K10" s="182">
        <f>IF(H10/15&lt;=SMG,0,I10/2)</f>
        <v>0</v>
      </c>
      <c r="L10" s="182">
        <f t="shared" ref="L10" si="0">H10+K10</f>
        <v>3985</v>
      </c>
      <c r="M10" s="182">
        <f>VLOOKUP(L10,Tarifa1,1)</f>
        <v>3124.36</v>
      </c>
      <c r="N10" s="182">
        <f t="shared" ref="N10" si="1">L10-M10</f>
        <v>860.63999999999987</v>
      </c>
      <c r="O10" s="183">
        <f>VLOOKUP(L10,Tarifa1,3)</f>
        <v>0.10879999999999999</v>
      </c>
      <c r="P10" s="182">
        <f t="shared" ref="P10" si="2">N10*O10</f>
        <v>93.637631999999982</v>
      </c>
      <c r="Q10" s="184">
        <f>VLOOKUP(L10,Tarifa1,2)</f>
        <v>183.45</v>
      </c>
      <c r="R10" s="182">
        <f t="shared" ref="R10" si="3">P10+Q10</f>
        <v>277.08763199999999</v>
      </c>
      <c r="S10" s="182">
        <f>VLOOKUP(L10,Credito1,2)</f>
        <v>0</v>
      </c>
      <c r="T10" s="182">
        <f t="shared" ref="T10" si="4">ROUND(R10-S10,2)</f>
        <v>277.08999999999997</v>
      </c>
      <c r="U10" s="181">
        <f t="shared" ref="U10" si="5">-IF(T10&gt;0,0,T10)</f>
        <v>0</v>
      </c>
      <c r="V10" s="181">
        <f>IF(H10/15&lt;=SMG,0,IF(T10&lt;0,0,T10))</f>
        <v>277.08999999999997</v>
      </c>
      <c r="W10" s="181">
        <f>SUM(V10:V10)</f>
        <v>277.08999999999997</v>
      </c>
      <c r="X10" s="181">
        <f>J10+U10-W10</f>
        <v>3707.91</v>
      </c>
      <c r="Y10" s="93"/>
    </row>
    <row r="11" spans="1:25" s="94" customFormat="1" ht="102.75" customHeight="1" x14ac:dyDescent="0.3">
      <c r="A11" s="187"/>
      <c r="B11" s="208">
        <v>188</v>
      </c>
      <c r="C11" s="214" t="s">
        <v>115</v>
      </c>
      <c r="D11" s="240" t="s">
        <v>164</v>
      </c>
      <c r="E11" s="176" t="s">
        <v>272</v>
      </c>
      <c r="F11" s="177">
        <v>15</v>
      </c>
      <c r="G11" s="178"/>
      <c r="H11" s="179">
        <v>6253</v>
      </c>
      <c r="I11" s="180">
        <v>0</v>
      </c>
      <c r="J11" s="179">
        <f>H11</f>
        <v>6253</v>
      </c>
      <c r="K11" s="182">
        <f t="shared" ref="K11" si="6">IF(H11/15&lt;=SMG,0,I11/2)</f>
        <v>0</v>
      </c>
      <c r="L11" s="182">
        <f t="shared" ref="L11:L13" si="7">H11+K11</f>
        <v>6253</v>
      </c>
      <c r="M11" s="182">
        <f>VLOOKUP(L11,Tarifa1,1)</f>
        <v>5490.76</v>
      </c>
      <c r="N11" s="182">
        <f t="shared" ref="N11:N13" si="8">L11-M11</f>
        <v>762.23999999999978</v>
      </c>
      <c r="O11" s="183">
        <f>VLOOKUP(L11,Tarifa1,3)</f>
        <v>0.16</v>
      </c>
      <c r="P11" s="182">
        <f t="shared" ref="P11:P13" si="9">N11*O11</f>
        <v>121.95839999999997</v>
      </c>
      <c r="Q11" s="184">
        <f>VLOOKUP(L11,Tarifa1,2)</f>
        <v>441</v>
      </c>
      <c r="R11" s="182">
        <f t="shared" ref="R11:R13" si="10">P11+Q11</f>
        <v>562.95839999999998</v>
      </c>
      <c r="S11" s="182">
        <f>VLOOKUP(L11,Credito1,2)</f>
        <v>0</v>
      </c>
      <c r="T11" s="182">
        <f t="shared" ref="T11:T13" si="11">ROUND(R11-S11,2)</f>
        <v>562.96</v>
      </c>
      <c r="U11" s="181">
        <f t="shared" ref="U11:U13" si="12">-IF(T11&gt;0,0,T11)</f>
        <v>0</v>
      </c>
      <c r="V11" s="181">
        <f>IF(H11/15&lt;=SMG,0,IF(T11&lt;0,0,T11))</f>
        <v>562.96</v>
      </c>
      <c r="W11" s="181">
        <f>SUM(V11:V11)</f>
        <v>562.96</v>
      </c>
      <c r="X11" s="181">
        <f>J11+U11-W11+I11</f>
        <v>5690.04</v>
      </c>
      <c r="Y11" s="93"/>
    </row>
    <row r="12" spans="1:25" s="94" customFormat="1" ht="102.75" customHeight="1" x14ac:dyDescent="0.3">
      <c r="A12" s="215"/>
      <c r="B12" s="174" t="s">
        <v>248</v>
      </c>
      <c r="C12" s="174" t="s">
        <v>115</v>
      </c>
      <c r="D12" s="241" t="s">
        <v>249</v>
      </c>
      <c r="E12" s="175" t="s">
        <v>118</v>
      </c>
      <c r="F12" s="177">
        <v>15</v>
      </c>
      <c r="G12" s="178"/>
      <c r="H12" s="179">
        <v>3985</v>
      </c>
      <c r="I12" s="180">
        <v>0</v>
      </c>
      <c r="J12" s="181">
        <f>SUM(H12:I12)</f>
        <v>3985</v>
      </c>
      <c r="K12" s="182">
        <f>IF(H12/15&lt;=SMG,0,I12/2)</f>
        <v>0</v>
      </c>
      <c r="L12" s="182">
        <f t="shared" si="7"/>
        <v>3985</v>
      </c>
      <c r="M12" s="182">
        <f>VLOOKUP(L12,Tarifa1,1)</f>
        <v>3124.36</v>
      </c>
      <c r="N12" s="182">
        <f t="shared" si="8"/>
        <v>860.63999999999987</v>
      </c>
      <c r="O12" s="183">
        <f>VLOOKUP(L12,Tarifa1,3)</f>
        <v>0.10879999999999999</v>
      </c>
      <c r="P12" s="182">
        <f t="shared" si="9"/>
        <v>93.637631999999982</v>
      </c>
      <c r="Q12" s="184">
        <f>VLOOKUP(L12,Tarifa1,2)</f>
        <v>183.45</v>
      </c>
      <c r="R12" s="182">
        <f t="shared" si="10"/>
        <v>277.08763199999999</v>
      </c>
      <c r="S12" s="182">
        <f>VLOOKUP(L12,Credito1,2)</f>
        <v>0</v>
      </c>
      <c r="T12" s="182">
        <f t="shared" si="11"/>
        <v>277.08999999999997</v>
      </c>
      <c r="U12" s="181">
        <f t="shared" si="12"/>
        <v>0</v>
      </c>
      <c r="V12" s="181">
        <f>IF(H12/15&lt;=SMG,0,IF(T12&lt;0,0,T12))</f>
        <v>277.08999999999997</v>
      </c>
      <c r="W12" s="181">
        <f>SUM(V12:V12)</f>
        <v>277.08999999999997</v>
      </c>
      <c r="X12" s="181">
        <f>J12+U12-W12</f>
        <v>3707.91</v>
      </c>
      <c r="Y12" s="93"/>
    </row>
    <row r="13" spans="1:25" s="94" customFormat="1" ht="102.75" customHeight="1" x14ac:dyDescent="0.25">
      <c r="A13" s="215"/>
      <c r="B13" s="208">
        <v>284</v>
      </c>
      <c r="C13" s="174" t="s">
        <v>115</v>
      </c>
      <c r="D13" s="242" t="s">
        <v>245</v>
      </c>
      <c r="E13" s="175" t="s">
        <v>118</v>
      </c>
      <c r="F13" s="177">
        <v>15</v>
      </c>
      <c r="G13" s="178"/>
      <c r="H13" s="179">
        <v>3985</v>
      </c>
      <c r="I13" s="180">
        <v>0</v>
      </c>
      <c r="J13" s="181">
        <f>SUM(H13:I13)</f>
        <v>3985</v>
      </c>
      <c r="K13" s="182">
        <f>IF(H13/15&lt;=SMG,0,I13/2)</f>
        <v>0</v>
      </c>
      <c r="L13" s="182">
        <f t="shared" si="7"/>
        <v>3985</v>
      </c>
      <c r="M13" s="182">
        <f>VLOOKUP(L13,Tarifa1,1)</f>
        <v>3124.36</v>
      </c>
      <c r="N13" s="182">
        <f t="shared" si="8"/>
        <v>860.63999999999987</v>
      </c>
      <c r="O13" s="183">
        <f>VLOOKUP(L13,Tarifa1,3)</f>
        <v>0.10879999999999999</v>
      </c>
      <c r="P13" s="182">
        <f t="shared" si="9"/>
        <v>93.637631999999982</v>
      </c>
      <c r="Q13" s="184">
        <f>VLOOKUP(L13,Tarifa1,2)</f>
        <v>183.45</v>
      </c>
      <c r="R13" s="182">
        <f t="shared" si="10"/>
        <v>277.08763199999999</v>
      </c>
      <c r="S13" s="182">
        <f>VLOOKUP(L13,Credito1,2)</f>
        <v>0</v>
      </c>
      <c r="T13" s="182">
        <f t="shared" si="11"/>
        <v>277.08999999999997</v>
      </c>
      <c r="U13" s="181">
        <f t="shared" si="12"/>
        <v>0</v>
      </c>
      <c r="V13" s="181">
        <f>IF(H13/15&lt;=SMG,0,IF(T13&lt;0,0,T13))</f>
        <v>277.08999999999997</v>
      </c>
      <c r="W13" s="181">
        <f>SUM(V13:V13)</f>
        <v>277.08999999999997</v>
      </c>
      <c r="X13" s="181">
        <f>J13+U13-W13</f>
        <v>3707.91</v>
      </c>
      <c r="Y13" s="93"/>
    </row>
    <row r="14" spans="1:25" ht="18" x14ac:dyDescent="0.25">
      <c r="A14" s="198"/>
      <c r="B14" s="198"/>
      <c r="C14" s="198"/>
      <c r="D14" s="198"/>
      <c r="E14" s="198"/>
      <c r="F14" s="199"/>
      <c r="G14" s="198"/>
      <c r="H14" s="200"/>
      <c r="I14" s="200"/>
      <c r="J14" s="200"/>
      <c r="K14" s="201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</row>
    <row r="15" spans="1:25" ht="45" customHeight="1" thickBot="1" x14ac:dyDescent="0.3">
      <c r="A15" s="259" t="s">
        <v>44</v>
      </c>
      <c r="B15" s="260"/>
      <c r="C15" s="260"/>
      <c r="D15" s="260"/>
      <c r="E15" s="260"/>
      <c r="F15" s="260"/>
      <c r="G15" s="261"/>
      <c r="H15" s="185">
        <f t="shared" ref="H15:X15" si="13">SUM(H10:H14)</f>
        <v>18208</v>
      </c>
      <c r="I15" s="185">
        <f t="shared" si="13"/>
        <v>0</v>
      </c>
      <c r="J15" s="185">
        <f t="shared" si="13"/>
        <v>18208</v>
      </c>
      <c r="K15" s="186">
        <f t="shared" si="13"/>
        <v>0</v>
      </c>
      <c r="L15" s="186">
        <f t="shared" si="13"/>
        <v>18208</v>
      </c>
      <c r="M15" s="186">
        <f t="shared" si="13"/>
        <v>14863.840000000002</v>
      </c>
      <c r="N15" s="186">
        <f t="shared" si="13"/>
        <v>3344.1599999999994</v>
      </c>
      <c r="O15" s="186">
        <f t="shared" si="13"/>
        <v>0.4864</v>
      </c>
      <c r="P15" s="186">
        <f t="shared" si="13"/>
        <v>402.87129599999992</v>
      </c>
      <c r="Q15" s="186">
        <f t="shared" si="13"/>
        <v>991.35000000000014</v>
      </c>
      <c r="R15" s="186">
        <f t="shared" si="13"/>
        <v>1394.2212959999999</v>
      </c>
      <c r="S15" s="186">
        <f t="shared" si="13"/>
        <v>0</v>
      </c>
      <c r="T15" s="186">
        <f t="shared" si="13"/>
        <v>1394.2299999999998</v>
      </c>
      <c r="U15" s="185">
        <f t="shared" si="13"/>
        <v>0</v>
      </c>
      <c r="V15" s="185">
        <f t="shared" si="13"/>
        <v>1394.2299999999998</v>
      </c>
      <c r="W15" s="185">
        <f t="shared" si="13"/>
        <v>1394.2299999999998</v>
      </c>
      <c r="X15" s="185">
        <f t="shared" si="13"/>
        <v>16813.77</v>
      </c>
    </row>
    <row r="16" spans="1:25" ht="13.5" thickTop="1" x14ac:dyDescent="0.2"/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3" xr:uid="{00000000-0002-0000-0900-000000000000}"/>
  </dataValidations>
  <pageMargins left="0.27559055118110237" right="0.27559055118110237" top="0.74803149606299213" bottom="0.74803149606299213" header="0.31496062992125984" footer="0.31496062992125984"/>
  <pageSetup scale="4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4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5.42578125" style="67" customWidth="1"/>
    <col min="9" max="9" width="12.7109375" style="67" hidden="1" customWidth="1"/>
    <col min="10" max="10" width="13.140625" style="67" hidden="1" customWidth="1"/>
    <col min="11" max="11" width="14.42578125" style="67" hidden="1" customWidth="1"/>
    <col min="12" max="12" width="15" style="67" hidden="1" customWidth="1"/>
    <col min="13" max="13" width="11" style="67" hidden="1" customWidth="1"/>
    <col min="14" max="15" width="13.140625" style="67" hidden="1" customWidth="1"/>
    <col min="16" max="16" width="15.42578125" style="67" hidden="1" customWidth="1"/>
    <col min="17" max="17" width="10.42578125" style="67" hidden="1" customWidth="1"/>
    <col min="18" max="18" width="13.140625" style="67" hidden="1" customWidth="1"/>
    <col min="19" max="19" width="11.5703125" style="67" customWidth="1"/>
    <col min="20" max="21" width="13.28515625" style="67" customWidth="1"/>
    <col min="22" max="22" width="15.42578125" style="67" customWidth="1"/>
    <col min="23" max="23" width="73.140625" style="67" customWidth="1"/>
    <col min="24" max="24" width="73.42578125" style="67" customWidth="1"/>
    <col min="25" max="16384" width="11.42578125" style="67"/>
  </cols>
  <sheetData>
    <row r="1" spans="1:25" ht="18" x14ac:dyDescent="0.25">
      <c r="A1" s="272" t="s">
        <v>77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4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4"/>
    </row>
    <row r="3" spans="1:25" ht="19.5" x14ac:dyDescent="0.25">
      <c r="A3" s="42" t="s">
        <v>193</v>
      </c>
      <c r="B3" s="263" t="s">
        <v>326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19"/>
      <c r="Y3" s="219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22</v>
      </c>
      <c r="F5" s="273" t="s">
        <v>1</v>
      </c>
      <c r="G5" s="274"/>
      <c r="H5" s="275"/>
      <c r="I5" s="24" t="s">
        <v>25</v>
      </c>
      <c r="J5" s="25"/>
      <c r="K5" s="276" t="s">
        <v>8</v>
      </c>
      <c r="L5" s="277"/>
      <c r="M5" s="277"/>
      <c r="N5" s="277"/>
      <c r="O5" s="277"/>
      <c r="P5" s="278"/>
      <c r="Q5" s="24" t="s">
        <v>29</v>
      </c>
      <c r="R5" s="24" t="s">
        <v>9</v>
      </c>
      <c r="S5" s="23" t="s">
        <v>52</v>
      </c>
      <c r="T5" s="279" t="s">
        <v>2</v>
      </c>
      <c r="U5" s="280"/>
      <c r="V5" s="23" t="s">
        <v>0</v>
      </c>
      <c r="W5" s="109"/>
      <c r="X5" s="4"/>
    </row>
    <row r="6" spans="1:25" ht="32.25" customHeight="1" x14ac:dyDescent="0.2">
      <c r="A6" s="26" t="s">
        <v>20</v>
      </c>
      <c r="B6" s="44" t="s">
        <v>101</v>
      </c>
      <c r="C6" s="44" t="s">
        <v>116</v>
      </c>
      <c r="D6" s="26"/>
      <c r="E6" s="27" t="s">
        <v>23</v>
      </c>
      <c r="F6" s="23" t="s">
        <v>5</v>
      </c>
      <c r="G6" s="23" t="s">
        <v>57</v>
      </c>
      <c r="H6" s="23" t="s">
        <v>27</v>
      </c>
      <c r="I6" s="28" t="s">
        <v>26</v>
      </c>
      <c r="J6" s="25" t="s">
        <v>31</v>
      </c>
      <c r="K6" s="25" t="s">
        <v>11</v>
      </c>
      <c r="L6" s="25" t="s">
        <v>33</v>
      </c>
      <c r="M6" s="25" t="s">
        <v>35</v>
      </c>
      <c r="N6" s="25" t="s">
        <v>36</v>
      </c>
      <c r="O6" s="25" t="s">
        <v>13</v>
      </c>
      <c r="P6" s="25" t="s">
        <v>9</v>
      </c>
      <c r="Q6" s="28" t="s">
        <v>39</v>
      </c>
      <c r="R6" s="28" t="s">
        <v>40</v>
      </c>
      <c r="S6" s="26" t="s">
        <v>30</v>
      </c>
      <c r="T6" s="23" t="s">
        <v>306</v>
      </c>
      <c r="U6" s="23" t="s">
        <v>6</v>
      </c>
      <c r="V6" s="26" t="s">
        <v>3</v>
      </c>
      <c r="W6" s="36" t="s">
        <v>56</v>
      </c>
      <c r="X6" s="4"/>
    </row>
    <row r="7" spans="1:25" x14ac:dyDescent="0.2">
      <c r="A7" s="29"/>
      <c r="B7" s="26"/>
      <c r="C7" s="26"/>
      <c r="D7" s="26"/>
      <c r="E7" s="26"/>
      <c r="F7" s="26" t="s">
        <v>46</v>
      </c>
      <c r="G7" s="26" t="s">
        <v>58</v>
      </c>
      <c r="H7" s="26" t="s">
        <v>28</v>
      </c>
      <c r="I7" s="28" t="s">
        <v>42</v>
      </c>
      <c r="J7" s="24" t="s">
        <v>32</v>
      </c>
      <c r="K7" s="24" t="s">
        <v>12</v>
      </c>
      <c r="L7" s="24" t="s">
        <v>34</v>
      </c>
      <c r="M7" s="24" t="s">
        <v>34</v>
      </c>
      <c r="N7" s="24" t="s">
        <v>37</v>
      </c>
      <c r="O7" s="24" t="s">
        <v>14</v>
      </c>
      <c r="P7" s="24" t="s">
        <v>38</v>
      </c>
      <c r="Q7" s="28" t="s">
        <v>18</v>
      </c>
      <c r="R7" s="31" t="s">
        <v>130</v>
      </c>
      <c r="S7" s="26" t="s">
        <v>51</v>
      </c>
      <c r="T7" s="26"/>
      <c r="U7" s="26" t="s">
        <v>43</v>
      </c>
      <c r="V7" s="26" t="s">
        <v>4</v>
      </c>
      <c r="W7" s="110"/>
      <c r="X7" s="4"/>
    </row>
    <row r="8" spans="1:25" ht="28.5" customHeight="1" x14ac:dyDescent="0.25">
      <c r="A8" s="39"/>
      <c r="B8" s="108"/>
      <c r="C8" s="108"/>
      <c r="D8" s="37" t="s">
        <v>60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83</v>
      </c>
      <c r="B9" s="174" t="s">
        <v>138</v>
      </c>
      <c r="C9" s="174" t="s">
        <v>115</v>
      </c>
      <c r="D9" s="175" t="s">
        <v>65</v>
      </c>
      <c r="E9" s="177">
        <v>15</v>
      </c>
      <c r="F9" s="179">
        <v>10293</v>
      </c>
      <c r="G9" s="180">
        <v>0</v>
      </c>
      <c r="H9" s="181">
        <f t="shared" ref="H9:H14" si="0">SUM(F9:G9)</f>
        <v>10293</v>
      </c>
      <c r="I9" s="182">
        <f t="shared" ref="I9:I16" si="1">IF(F9/15&lt;=SMG,0,G9/2)</f>
        <v>0</v>
      </c>
      <c r="J9" s="182">
        <f t="shared" ref="J9" si="2">F9+I9</f>
        <v>10293</v>
      </c>
      <c r="K9" s="182">
        <f t="shared" ref="K9:K22" si="3">VLOOKUP(J9,Tarifa1,1)</f>
        <v>7641.91</v>
      </c>
      <c r="L9" s="182">
        <f>J9-K9</f>
        <v>2651.09</v>
      </c>
      <c r="M9" s="183">
        <f t="shared" ref="M9:M22" si="4">VLOOKUP(J9,Tarifa1,3)</f>
        <v>0.21360000000000001</v>
      </c>
      <c r="N9" s="182">
        <f>L9*M9</f>
        <v>566.27282400000001</v>
      </c>
      <c r="O9" s="184">
        <f t="shared" ref="O9:O22" si="5">VLOOKUP(J9,Tarifa1,2)</f>
        <v>809.25</v>
      </c>
      <c r="P9" s="182">
        <f>N9+O9</f>
        <v>1375.5228240000001</v>
      </c>
      <c r="Q9" s="182">
        <f t="shared" ref="Q9:Q22" si="6">VLOOKUP(J9,Credito1,2)</f>
        <v>0</v>
      </c>
      <c r="R9" s="182">
        <f>ROUND(P9-Q9,2)</f>
        <v>1375.52</v>
      </c>
      <c r="S9" s="181">
        <f>-IF(R9&gt;0,0,R9)</f>
        <v>0</v>
      </c>
      <c r="T9" s="181">
        <f t="shared" ref="T9:T22" si="7">IF(F9/15&lt;=SMG,0,IF(R9&lt;0,0,R9))</f>
        <v>1375.52</v>
      </c>
      <c r="U9" s="181">
        <f>SUM(T9:T9)</f>
        <v>1375.52</v>
      </c>
      <c r="V9" s="181">
        <f>H9+S9-U9</f>
        <v>8917.48</v>
      </c>
      <c r="W9" s="89"/>
      <c r="X9" s="4"/>
    </row>
    <row r="10" spans="1:25" s="94" customFormat="1" ht="77.099999999999994" customHeight="1" x14ac:dyDescent="0.25">
      <c r="A10" s="116"/>
      <c r="B10" s="174" t="s">
        <v>192</v>
      </c>
      <c r="C10" s="174" t="s">
        <v>115</v>
      </c>
      <c r="D10" s="175" t="s">
        <v>79</v>
      </c>
      <c r="E10" s="177">
        <v>15</v>
      </c>
      <c r="F10" s="179">
        <v>8409</v>
      </c>
      <c r="G10" s="180">
        <v>0</v>
      </c>
      <c r="H10" s="181">
        <f t="shared" si="0"/>
        <v>8409</v>
      </c>
      <c r="I10" s="182">
        <f t="shared" si="1"/>
        <v>0</v>
      </c>
      <c r="J10" s="182">
        <f t="shared" ref="J10:J16" si="8">F10+I10</f>
        <v>8409</v>
      </c>
      <c r="K10" s="182">
        <f t="shared" si="3"/>
        <v>7641.91</v>
      </c>
      <c r="L10" s="182">
        <f t="shared" ref="L10:L22" si="9">J10-K10</f>
        <v>767.09000000000015</v>
      </c>
      <c r="M10" s="183">
        <f t="shared" si="4"/>
        <v>0.21360000000000001</v>
      </c>
      <c r="N10" s="182">
        <f t="shared" ref="N10:N22" si="10">L10*M10</f>
        <v>163.85042400000003</v>
      </c>
      <c r="O10" s="184">
        <f t="shared" si="5"/>
        <v>809.25</v>
      </c>
      <c r="P10" s="182">
        <f t="shared" ref="P10:P22" si="11">N10+O10</f>
        <v>973.10042399999998</v>
      </c>
      <c r="Q10" s="182">
        <f t="shared" si="6"/>
        <v>0</v>
      </c>
      <c r="R10" s="182">
        <f t="shared" ref="R10:R22" si="12">ROUND(P10-Q10,2)</f>
        <v>973.1</v>
      </c>
      <c r="S10" s="181">
        <f t="shared" ref="S10:S22" si="13">-IF(R10&gt;0,0,R10)</f>
        <v>0</v>
      </c>
      <c r="T10" s="181">
        <f t="shared" si="7"/>
        <v>973.1</v>
      </c>
      <c r="U10" s="181">
        <f>SUM(T10:T10)</f>
        <v>973.1</v>
      </c>
      <c r="V10" s="181">
        <f>H10+S10-U10</f>
        <v>7435.9</v>
      </c>
      <c r="W10" s="89"/>
      <c r="X10" s="4"/>
    </row>
    <row r="11" spans="1:25" s="94" customFormat="1" ht="77.099999999999994" customHeight="1" x14ac:dyDescent="0.25">
      <c r="A11" s="215"/>
      <c r="B11" s="174" t="s">
        <v>182</v>
      </c>
      <c r="C11" s="174" t="s">
        <v>115</v>
      </c>
      <c r="D11" s="176" t="s">
        <v>79</v>
      </c>
      <c r="E11" s="177">
        <v>15</v>
      </c>
      <c r="F11" s="179">
        <v>8409</v>
      </c>
      <c r="G11" s="180">
        <v>0</v>
      </c>
      <c r="H11" s="181">
        <f t="shared" ref="H11" si="14">SUM(F11:G11)</f>
        <v>8409</v>
      </c>
      <c r="I11" s="182">
        <f t="shared" ref="I11" si="15">IF(F11/15&lt;=SMG,0,G11/2)</f>
        <v>0</v>
      </c>
      <c r="J11" s="182">
        <f t="shared" ref="J11" si="16">F11+I11</f>
        <v>8409</v>
      </c>
      <c r="K11" s="182">
        <f t="shared" si="3"/>
        <v>7641.91</v>
      </c>
      <c r="L11" s="182">
        <f t="shared" si="9"/>
        <v>767.09000000000015</v>
      </c>
      <c r="M11" s="183">
        <f t="shared" si="4"/>
        <v>0.21360000000000001</v>
      </c>
      <c r="N11" s="182">
        <f t="shared" si="10"/>
        <v>163.85042400000003</v>
      </c>
      <c r="O11" s="184">
        <f t="shared" si="5"/>
        <v>809.25</v>
      </c>
      <c r="P11" s="182">
        <f t="shared" si="11"/>
        <v>973.10042399999998</v>
      </c>
      <c r="Q11" s="182">
        <f t="shared" si="6"/>
        <v>0</v>
      </c>
      <c r="R11" s="182">
        <f t="shared" si="12"/>
        <v>973.1</v>
      </c>
      <c r="S11" s="181">
        <f t="shared" si="13"/>
        <v>0</v>
      </c>
      <c r="T11" s="181">
        <f t="shared" si="7"/>
        <v>973.1</v>
      </c>
      <c r="U11" s="181">
        <f>SUM(T11:T11)</f>
        <v>973.1</v>
      </c>
      <c r="V11" s="181">
        <f>H11+S11-U11</f>
        <v>7435.9</v>
      </c>
      <c r="W11" s="89"/>
      <c r="X11" s="4"/>
    </row>
    <row r="12" spans="1:25" s="94" customFormat="1" ht="77.099999999999994" customHeight="1" x14ac:dyDescent="0.25">
      <c r="A12" s="215"/>
      <c r="B12" s="174" t="s">
        <v>188</v>
      </c>
      <c r="C12" s="174" t="s">
        <v>115</v>
      </c>
      <c r="D12" s="176" t="s">
        <v>278</v>
      </c>
      <c r="E12" s="177">
        <v>15</v>
      </c>
      <c r="F12" s="179">
        <v>8016</v>
      </c>
      <c r="G12" s="180">
        <v>0</v>
      </c>
      <c r="H12" s="181">
        <f t="shared" ref="H12" si="17">SUM(F12:G12)</f>
        <v>8016</v>
      </c>
      <c r="I12" s="182">
        <f t="shared" ref="I12" si="18">IF(F12/15&lt;=SMG,0,G12/2)</f>
        <v>0</v>
      </c>
      <c r="J12" s="182">
        <f t="shared" ref="J12" si="19">F12+I12</f>
        <v>8016</v>
      </c>
      <c r="K12" s="182">
        <f t="shared" si="3"/>
        <v>7641.91</v>
      </c>
      <c r="L12" s="182">
        <f t="shared" si="9"/>
        <v>374.09000000000015</v>
      </c>
      <c r="M12" s="183">
        <f t="shared" si="4"/>
        <v>0.21360000000000001</v>
      </c>
      <c r="N12" s="182">
        <f t="shared" si="10"/>
        <v>79.905624000000032</v>
      </c>
      <c r="O12" s="184">
        <f t="shared" si="5"/>
        <v>809.25</v>
      </c>
      <c r="P12" s="182">
        <f t="shared" si="11"/>
        <v>889.15562399999999</v>
      </c>
      <c r="Q12" s="182">
        <f t="shared" si="6"/>
        <v>0</v>
      </c>
      <c r="R12" s="182">
        <f t="shared" si="12"/>
        <v>889.16</v>
      </c>
      <c r="S12" s="181">
        <f t="shared" si="13"/>
        <v>0</v>
      </c>
      <c r="T12" s="181">
        <f t="shared" si="7"/>
        <v>889.16</v>
      </c>
      <c r="U12" s="181">
        <f>SUM(T12:T12)</f>
        <v>889.16</v>
      </c>
      <c r="V12" s="181">
        <f>H12+S12-U12</f>
        <v>7126.84</v>
      </c>
      <c r="W12" s="89"/>
      <c r="X12" s="4"/>
    </row>
    <row r="13" spans="1:25" s="94" customFormat="1" ht="77.099999999999994" customHeight="1" x14ac:dyDescent="0.25">
      <c r="A13" s="215"/>
      <c r="B13" s="174" t="s">
        <v>226</v>
      </c>
      <c r="C13" s="174" t="s">
        <v>115</v>
      </c>
      <c r="D13" s="176" t="s">
        <v>278</v>
      </c>
      <c r="E13" s="177">
        <v>15</v>
      </c>
      <c r="F13" s="179">
        <v>8016</v>
      </c>
      <c r="G13" s="180">
        <v>0</v>
      </c>
      <c r="H13" s="181">
        <f t="shared" ref="H13" si="20">SUM(F13:G13)</f>
        <v>8016</v>
      </c>
      <c r="I13" s="182">
        <f t="shared" ref="I13" si="21">IF(F13/15&lt;=SMG,0,G13/2)</f>
        <v>0</v>
      </c>
      <c r="J13" s="182">
        <f t="shared" ref="J13" si="22">F13+I13</f>
        <v>8016</v>
      </c>
      <c r="K13" s="182">
        <f t="shared" si="3"/>
        <v>7641.91</v>
      </c>
      <c r="L13" s="182">
        <f t="shared" si="9"/>
        <v>374.09000000000015</v>
      </c>
      <c r="M13" s="183">
        <f t="shared" si="4"/>
        <v>0.21360000000000001</v>
      </c>
      <c r="N13" s="182">
        <f t="shared" si="10"/>
        <v>79.905624000000032</v>
      </c>
      <c r="O13" s="184">
        <f t="shared" si="5"/>
        <v>809.25</v>
      </c>
      <c r="P13" s="182">
        <f t="shared" si="11"/>
        <v>889.15562399999999</v>
      </c>
      <c r="Q13" s="182">
        <f t="shared" si="6"/>
        <v>0</v>
      </c>
      <c r="R13" s="182">
        <f t="shared" si="12"/>
        <v>889.16</v>
      </c>
      <c r="S13" s="181">
        <f t="shared" si="13"/>
        <v>0</v>
      </c>
      <c r="T13" s="181">
        <f t="shared" si="7"/>
        <v>889.16</v>
      </c>
      <c r="U13" s="181">
        <f>SUM(T13:T13)</f>
        <v>889.16</v>
      </c>
      <c r="V13" s="181">
        <f>H13+S13-U13</f>
        <v>7126.84</v>
      </c>
      <c r="W13" s="89"/>
      <c r="X13" s="4"/>
    </row>
    <row r="14" spans="1:25" s="94" customFormat="1" ht="77.099999999999994" customHeight="1" x14ac:dyDescent="0.25">
      <c r="A14" s="215"/>
      <c r="B14" s="174" t="s">
        <v>105</v>
      </c>
      <c r="C14" s="174" t="s">
        <v>115</v>
      </c>
      <c r="D14" s="175" t="s">
        <v>80</v>
      </c>
      <c r="E14" s="177">
        <v>15</v>
      </c>
      <c r="F14" s="179">
        <v>7623</v>
      </c>
      <c r="G14" s="180">
        <v>0</v>
      </c>
      <c r="H14" s="181">
        <f t="shared" si="0"/>
        <v>7623</v>
      </c>
      <c r="I14" s="182">
        <f t="shared" si="1"/>
        <v>0</v>
      </c>
      <c r="J14" s="182">
        <f t="shared" si="8"/>
        <v>7623</v>
      </c>
      <c r="K14" s="182">
        <f t="shared" si="3"/>
        <v>6382.81</v>
      </c>
      <c r="L14" s="182">
        <f t="shared" si="9"/>
        <v>1240.1899999999996</v>
      </c>
      <c r="M14" s="183">
        <f t="shared" si="4"/>
        <v>0.1792</v>
      </c>
      <c r="N14" s="182">
        <f t="shared" si="10"/>
        <v>222.24204799999993</v>
      </c>
      <c r="O14" s="184">
        <f t="shared" si="5"/>
        <v>583.65</v>
      </c>
      <c r="P14" s="182">
        <f t="shared" si="11"/>
        <v>805.89204799999993</v>
      </c>
      <c r="Q14" s="182">
        <f t="shared" si="6"/>
        <v>0</v>
      </c>
      <c r="R14" s="182">
        <f t="shared" si="12"/>
        <v>805.89</v>
      </c>
      <c r="S14" s="181">
        <f t="shared" si="13"/>
        <v>0</v>
      </c>
      <c r="T14" s="181">
        <f t="shared" si="7"/>
        <v>805.89</v>
      </c>
      <c r="U14" s="181">
        <f>SUM(T14:T14)</f>
        <v>805.89</v>
      </c>
      <c r="V14" s="181">
        <f>H14+S14-U14</f>
        <v>6817.11</v>
      </c>
      <c r="W14" s="90"/>
      <c r="X14" s="4"/>
    </row>
    <row r="15" spans="1:25" ht="77.099999999999994" customHeight="1" x14ac:dyDescent="0.25">
      <c r="A15" s="215"/>
      <c r="B15" s="174" t="s">
        <v>197</v>
      </c>
      <c r="C15" s="174" t="s">
        <v>115</v>
      </c>
      <c r="D15" s="175" t="s">
        <v>80</v>
      </c>
      <c r="E15" s="217">
        <v>15</v>
      </c>
      <c r="F15" s="179">
        <v>7623</v>
      </c>
      <c r="G15" s="180">
        <v>0</v>
      </c>
      <c r="H15" s="181">
        <f t="shared" ref="H15" si="23">SUM(F15:G15)</f>
        <v>7623</v>
      </c>
      <c r="I15" s="182">
        <f t="shared" si="1"/>
        <v>0</v>
      </c>
      <c r="J15" s="182">
        <f t="shared" si="8"/>
        <v>7623</v>
      </c>
      <c r="K15" s="182">
        <f t="shared" si="3"/>
        <v>6382.81</v>
      </c>
      <c r="L15" s="182">
        <f t="shared" si="9"/>
        <v>1240.1899999999996</v>
      </c>
      <c r="M15" s="183">
        <f t="shared" si="4"/>
        <v>0.1792</v>
      </c>
      <c r="N15" s="182">
        <f t="shared" si="10"/>
        <v>222.24204799999993</v>
      </c>
      <c r="O15" s="184">
        <f t="shared" si="5"/>
        <v>583.65</v>
      </c>
      <c r="P15" s="182">
        <f t="shared" si="11"/>
        <v>805.89204799999993</v>
      </c>
      <c r="Q15" s="182">
        <f t="shared" si="6"/>
        <v>0</v>
      </c>
      <c r="R15" s="182">
        <f t="shared" si="12"/>
        <v>805.89</v>
      </c>
      <c r="S15" s="181">
        <f t="shared" si="13"/>
        <v>0</v>
      </c>
      <c r="T15" s="181">
        <f t="shared" si="7"/>
        <v>805.89</v>
      </c>
      <c r="U15" s="181">
        <f>SUM(T15:T15)</f>
        <v>805.89</v>
      </c>
      <c r="V15" s="181">
        <f>H15+S15-U15</f>
        <v>6817.11</v>
      </c>
      <c r="W15" s="90"/>
      <c r="X15" s="4"/>
    </row>
    <row r="16" spans="1:25" ht="77.099999999999994" customHeight="1" x14ac:dyDescent="0.25">
      <c r="A16" s="215"/>
      <c r="B16" s="174" t="s">
        <v>201</v>
      </c>
      <c r="C16" s="174" t="s">
        <v>115</v>
      </c>
      <c r="D16" s="175" t="s">
        <v>80</v>
      </c>
      <c r="E16" s="177">
        <v>15</v>
      </c>
      <c r="F16" s="179">
        <v>7623</v>
      </c>
      <c r="G16" s="180">
        <v>0</v>
      </c>
      <c r="H16" s="181">
        <f t="shared" ref="H16" si="24">SUM(F16:G16)</f>
        <v>7623</v>
      </c>
      <c r="I16" s="182">
        <f t="shared" si="1"/>
        <v>0</v>
      </c>
      <c r="J16" s="182">
        <f t="shared" si="8"/>
        <v>7623</v>
      </c>
      <c r="K16" s="182">
        <f t="shared" si="3"/>
        <v>6382.81</v>
      </c>
      <c r="L16" s="182">
        <f t="shared" si="9"/>
        <v>1240.1899999999996</v>
      </c>
      <c r="M16" s="183">
        <f t="shared" si="4"/>
        <v>0.1792</v>
      </c>
      <c r="N16" s="182">
        <f t="shared" si="10"/>
        <v>222.24204799999993</v>
      </c>
      <c r="O16" s="184">
        <f t="shared" si="5"/>
        <v>583.65</v>
      </c>
      <c r="P16" s="182">
        <f t="shared" si="11"/>
        <v>805.89204799999993</v>
      </c>
      <c r="Q16" s="182">
        <f t="shared" si="6"/>
        <v>0</v>
      </c>
      <c r="R16" s="182">
        <f t="shared" si="12"/>
        <v>805.89</v>
      </c>
      <c r="S16" s="181">
        <f t="shared" si="13"/>
        <v>0</v>
      </c>
      <c r="T16" s="181">
        <f t="shared" si="7"/>
        <v>805.89</v>
      </c>
      <c r="U16" s="181">
        <f>SUM(T16:T16)</f>
        <v>805.89</v>
      </c>
      <c r="V16" s="181">
        <f>H16+S16-U16</f>
        <v>6817.11</v>
      </c>
      <c r="W16" s="90"/>
      <c r="X16" s="4"/>
    </row>
    <row r="17" spans="1:24" ht="77.099999999999994" customHeight="1" x14ac:dyDescent="0.25">
      <c r="A17" s="215"/>
      <c r="B17" s="174" t="s">
        <v>214</v>
      </c>
      <c r="C17" s="174" t="s">
        <v>115</v>
      </c>
      <c r="D17" s="175" t="s">
        <v>80</v>
      </c>
      <c r="E17" s="177"/>
      <c r="F17" s="179">
        <v>7623</v>
      </c>
      <c r="G17" s="180">
        <v>0</v>
      </c>
      <c r="H17" s="181">
        <f t="shared" ref="H17" si="25">SUM(F17:G17)</f>
        <v>7623</v>
      </c>
      <c r="I17" s="182">
        <f t="shared" ref="I17:I21" si="26">IF(F17/15&lt;=SMG,0,G17/2)</f>
        <v>0</v>
      </c>
      <c r="J17" s="182">
        <f t="shared" ref="J17" si="27">F17+I17</f>
        <v>7623</v>
      </c>
      <c r="K17" s="182">
        <f t="shared" si="3"/>
        <v>6382.81</v>
      </c>
      <c r="L17" s="182">
        <f t="shared" si="9"/>
        <v>1240.1899999999996</v>
      </c>
      <c r="M17" s="183">
        <f t="shared" si="4"/>
        <v>0.1792</v>
      </c>
      <c r="N17" s="182">
        <f t="shared" si="10"/>
        <v>222.24204799999993</v>
      </c>
      <c r="O17" s="184">
        <f t="shared" si="5"/>
        <v>583.65</v>
      </c>
      <c r="P17" s="182">
        <f t="shared" si="11"/>
        <v>805.89204799999993</v>
      </c>
      <c r="Q17" s="182">
        <f t="shared" si="6"/>
        <v>0</v>
      </c>
      <c r="R17" s="182">
        <f t="shared" si="12"/>
        <v>805.89</v>
      </c>
      <c r="S17" s="181">
        <f t="shared" si="13"/>
        <v>0</v>
      </c>
      <c r="T17" s="181">
        <f t="shared" si="7"/>
        <v>805.89</v>
      </c>
      <c r="U17" s="181">
        <f>SUM(T17:T17)</f>
        <v>805.89</v>
      </c>
      <c r="V17" s="181">
        <f>H17+S17-U17</f>
        <v>6817.11</v>
      </c>
      <c r="W17" s="90"/>
      <c r="X17" s="4"/>
    </row>
    <row r="18" spans="1:24" ht="77.099999999999994" customHeight="1" x14ac:dyDescent="0.25">
      <c r="A18" s="215"/>
      <c r="B18" s="174" t="s">
        <v>274</v>
      </c>
      <c r="C18" s="174" t="s">
        <v>115</v>
      </c>
      <c r="D18" s="175" t="s">
        <v>80</v>
      </c>
      <c r="E18" s="177"/>
      <c r="F18" s="179">
        <v>7623</v>
      </c>
      <c r="G18" s="180">
        <v>0</v>
      </c>
      <c r="H18" s="181">
        <f t="shared" ref="H18:H21" si="28">SUM(F18:G18)</f>
        <v>7623</v>
      </c>
      <c r="I18" s="182">
        <f t="shared" si="26"/>
        <v>0</v>
      </c>
      <c r="J18" s="182">
        <f t="shared" ref="J18:J21" si="29">F18+I18</f>
        <v>7623</v>
      </c>
      <c r="K18" s="182">
        <f t="shared" si="3"/>
        <v>6382.81</v>
      </c>
      <c r="L18" s="182">
        <f t="shared" si="9"/>
        <v>1240.1899999999996</v>
      </c>
      <c r="M18" s="183">
        <f t="shared" si="4"/>
        <v>0.1792</v>
      </c>
      <c r="N18" s="182">
        <f t="shared" si="10"/>
        <v>222.24204799999993</v>
      </c>
      <c r="O18" s="184">
        <f t="shared" si="5"/>
        <v>583.65</v>
      </c>
      <c r="P18" s="182">
        <f t="shared" si="11"/>
        <v>805.89204799999993</v>
      </c>
      <c r="Q18" s="182">
        <f t="shared" si="6"/>
        <v>0</v>
      </c>
      <c r="R18" s="182">
        <f t="shared" si="12"/>
        <v>805.89</v>
      </c>
      <c r="S18" s="181">
        <f t="shared" si="13"/>
        <v>0</v>
      </c>
      <c r="T18" s="181">
        <f t="shared" si="7"/>
        <v>805.89</v>
      </c>
      <c r="U18" s="181">
        <f>SUM(T18:T18)</f>
        <v>805.89</v>
      </c>
      <c r="V18" s="181">
        <f>H18+S18-U18</f>
        <v>6817.11</v>
      </c>
      <c r="W18" s="90"/>
      <c r="X18" s="4"/>
    </row>
    <row r="19" spans="1:24" ht="77.099999999999994" customHeight="1" x14ac:dyDescent="0.25">
      <c r="A19" s="215"/>
      <c r="B19" s="174" t="s">
        <v>275</v>
      </c>
      <c r="C19" s="174" t="s">
        <v>115</v>
      </c>
      <c r="D19" s="175" t="s">
        <v>80</v>
      </c>
      <c r="E19" s="177"/>
      <c r="F19" s="179">
        <v>7623</v>
      </c>
      <c r="G19" s="180">
        <v>0</v>
      </c>
      <c r="H19" s="181">
        <f t="shared" si="28"/>
        <v>7623</v>
      </c>
      <c r="I19" s="182">
        <f t="shared" si="26"/>
        <v>0</v>
      </c>
      <c r="J19" s="182">
        <f t="shared" si="29"/>
        <v>7623</v>
      </c>
      <c r="K19" s="182">
        <f t="shared" si="3"/>
        <v>6382.81</v>
      </c>
      <c r="L19" s="182">
        <f t="shared" si="9"/>
        <v>1240.1899999999996</v>
      </c>
      <c r="M19" s="183">
        <f t="shared" si="4"/>
        <v>0.1792</v>
      </c>
      <c r="N19" s="182">
        <f t="shared" si="10"/>
        <v>222.24204799999993</v>
      </c>
      <c r="O19" s="184">
        <f t="shared" si="5"/>
        <v>583.65</v>
      </c>
      <c r="P19" s="182">
        <f t="shared" si="11"/>
        <v>805.89204799999993</v>
      </c>
      <c r="Q19" s="182">
        <f t="shared" si="6"/>
        <v>0</v>
      </c>
      <c r="R19" s="182">
        <f t="shared" si="12"/>
        <v>805.89</v>
      </c>
      <c r="S19" s="181">
        <f t="shared" si="13"/>
        <v>0</v>
      </c>
      <c r="T19" s="181">
        <f t="shared" si="7"/>
        <v>805.89</v>
      </c>
      <c r="U19" s="181">
        <f>SUM(T19:T19)</f>
        <v>805.89</v>
      </c>
      <c r="V19" s="181">
        <f>H19+S19-U19</f>
        <v>6817.11</v>
      </c>
      <c r="W19" s="90"/>
      <c r="X19" s="4"/>
    </row>
    <row r="20" spans="1:24" ht="77.099999999999994" customHeight="1" x14ac:dyDescent="0.25">
      <c r="A20" s="215"/>
      <c r="B20" s="174" t="s">
        <v>279</v>
      </c>
      <c r="C20" s="174" t="s">
        <v>115</v>
      </c>
      <c r="D20" s="175" t="s">
        <v>80</v>
      </c>
      <c r="E20" s="177"/>
      <c r="F20" s="179">
        <v>7623</v>
      </c>
      <c r="G20" s="180">
        <v>0</v>
      </c>
      <c r="H20" s="181">
        <f t="shared" si="28"/>
        <v>7623</v>
      </c>
      <c r="I20" s="182">
        <f t="shared" si="26"/>
        <v>0</v>
      </c>
      <c r="J20" s="182">
        <f t="shared" si="29"/>
        <v>7623</v>
      </c>
      <c r="K20" s="182">
        <f t="shared" si="3"/>
        <v>6382.81</v>
      </c>
      <c r="L20" s="182">
        <f t="shared" si="9"/>
        <v>1240.1899999999996</v>
      </c>
      <c r="M20" s="183">
        <f t="shared" si="4"/>
        <v>0.1792</v>
      </c>
      <c r="N20" s="182">
        <f t="shared" si="10"/>
        <v>222.24204799999993</v>
      </c>
      <c r="O20" s="184">
        <f t="shared" si="5"/>
        <v>583.65</v>
      </c>
      <c r="P20" s="182">
        <f t="shared" si="11"/>
        <v>805.89204799999993</v>
      </c>
      <c r="Q20" s="182">
        <f t="shared" si="6"/>
        <v>0</v>
      </c>
      <c r="R20" s="182">
        <f t="shared" si="12"/>
        <v>805.89</v>
      </c>
      <c r="S20" s="181">
        <f t="shared" si="13"/>
        <v>0</v>
      </c>
      <c r="T20" s="181">
        <f t="shared" si="7"/>
        <v>805.89</v>
      </c>
      <c r="U20" s="181">
        <f>SUM(T20:T20)</f>
        <v>805.89</v>
      </c>
      <c r="V20" s="181">
        <f>H20+S20-U20</f>
        <v>6817.11</v>
      </c>
      <c r="W20" s="90"/>
      <c r="X20" s="4"/>
    </row>
    <row r="21" spans="1:24" ht="77.099999999999994" customHeight="1" x14ac:dyDescent="0.25">
      <c r="A21" s="215"/>
      <c r="B21" s="174" t="s">
        <v>293</v>
      </c>
      <c r="C21" s="174" t="s">
        <v>115</v>
      </c>
      <c r="D21" s="175" t="s">
        <v>80</v>
      </c>
      <c r="E21" s="177"/>
      <c r="F21" s="179">
        <v>7623</v>
      </c>
      <c r="G21" s="180">
        <v>0</v>
      </c>
      <c r="H21" s="181">
        <f t="shared" si="28"/>
        <v>7623</v>
      </c>
      <c r="I21" s="182">
        <f t="shared" si="26"/>
        <v>0</v>
      </c>
      <c r="J21" s="182">
        <f t="shared" si="29"/>
        <v>7623</v>
      </c>
      <c r="K21" s="182">
        <f t="shared" ref="K21" si="30">VLOOKUP(J21,Tarifa1,1)</f>
        <v>6382.81</v>
      </c>
      <c r="L21" s="182">
        <f t="shared" ref="L21" si="31">J21-K21</f>
        <v>1240.1899999999996</v>
      </c>
      <c r="M21" s="183">
        <f t="shared" ref="M21" si="32">VLOOKUP(J21,Tarifa1,3)</f>
        <v>0.1792</v>
      </c>
      <c r="N21" s="182">
        <f t="shared" ref="N21" si="33">L21*M21</f>
        <v>222.24204799999993</v>
      </c>
      <c r="O21" s="184">
        <f t="shared" ref="O21" si="34">VLOOKUP(J21,Tarifa1,2)</f>
        <v>583.65</v>
      </c>
      <c r="P21" s="182">
        <f t="shared" ref="P21" si="35">N21+O21</f>
        <v>805.89204799999993</v>
      </c>
      <c r="Q21" s="182">
        <f t="shared" ref="Q21" si="36">VLOOKUP(J21,Credito1,2)</f>
        <v>0</v>
      </c>
      <c r="R21" s="182">
        <f t="shared" ref="R21" si="37">ROUND(P21-Q21,2)</f>
        <v>805.89</v>
      </c>
      <c r="S21" s="181">
        <f t="shared" ref="S21" si="38">-IF(R21&gt;0,0,R21)</f>
        <v>0</v>
      </c>
      <c r="T21" s="181">
        <f t="shared" ref="T21" si="39">IF(F21/15&lt;=SMG,0,IF(R21&lt;0,0,R21))</f>
        <v>805.89</v>
      </c>
      <c r="U21" s="181">
        <f>SUM(T21:T21)</f>
        <v>805.89</v>
      </c>
      <c r="V21" s="181">
        <f>H21+S21-U21</f>
        <v>6817.11</v>
      </c>
      <c r="W21" s="90"/>
      <c r="X21" s="4"/>
    </row>
    <row r="22" spans="1:24" ht="77.099999999999994" customHeight="1" x14ac:dyDescent="0.25">
      <c r="A22" s="215"/>
      <c r="B22" s="174" t="s">
        <v>310</v>
      </c>
      <c r="C22" s="174" t="s">
        <v>115</v>
      </c>
      <c r="D22" s="175" t="s">
        <v>80</v>
      </c>
      <c r="E22" s="177"/>
      <c r="F22" s="179">
        <v>7623</v>
      </c>
      <c r="G22" s="180">
        <v>0</v>
      </c>
      <c r="H22" s="181">
        <f t="shared" ref="H22" si="40">SUM(F22:G22)</f>
        <v>7623</v>
      </c>
      <c r="I22" s="182">
        <f t="shared" ref="I22" si="41">IF(F22/15&lt;=SMG,0,G22/2)</f>
        <v>0</v>
      </c>
      <c r="J22" s="182">
        <f t="shared" ref="J22" si="42">F22+I22</f>
        <v>7623</v>
      </c>
      <c r="K22" s="182">
        <f t="shared" si="3"/>
        <v>6382.81</v>
      </c>
      <c r="L22" s="182">
        <f t="shared" si="9"/>
        <v>1240.1899999999996</v>
      </c>
      <c r="M22" s="183">
        <f t="shared" si="4"/>
        <v>0.1792</v>
      </c>
      <c r="N22" s="182">
        <f t="shared" si="10"/>
        <v>222.24204799999993</v>
      </c>
      <c r="O22" s="184">
        <f t="shared" si="5"/>
        <v>583.65</v>
      </c>
      <c r="P22" s="182">
        <f t="shared" si="11"/>
        <v>805.89204799999993</v>
      </c>
      <c r="Q22" s="182">
        <f t="shared" si="6"/>
        <v>0</v>
      </c>
      <c r="R22" s="182">
        <f t="shared" si="12"/>
        <v>805.89</v>
      </c>
      <c r="S22" s="181">
        <f t="shared" si="13"/>
        <v>0</v>
      </c>
      <c r="T22" s="181">
        <f t="shared" si="7"/>
        <v>805.89</v>
      </c>
      <c r="U22" s="181">
        <f>SUM(T22:T22)</f>
        <v>805.89</v>
      </c>
      <c r="V22" s="181">
        <f>H22+S22-U22</f>
        <v>6817.11</v>
      </c>
      <c r="W22" s="90"/>
      <c r="X22" s="4"/>
    </row>
    <row r="23" spans="1:24" ht="29.25" customHeight="1" thickBot="1" x14ac:dyDescent="0.3">
      <c r="A23" s="259" t="s">
        <v>44</v>
      </c>
      <c r="B23" s="260"/>
      <c r="C23" s="260"/>
      <c r="D23" s="260"/>
      <c r="E23" s="260"/>
      <c r="F23" s="185">
        <f>SUM(F9:F22)</f>
        <v>111750</v>
      </c>
      <c r="G23" s="185">
        <f>SUM(G9:G22)</f>
        <v>0</v>
      </c>
      <c r="H23" s="185">
        <f>SUM(H9:H22)</f>
        <v>111750</v>
      </c>
      <c r="I23" s="186">
        <f t="shared" ref="I23:R23" si="43">SUM(I9:I14)</f>
        <v>0</v>
      </c>
      <c r="J23" s="186">
        <f t="shared" si="43"/>
        <v>50766</v>
      </c>
      <c r="K23" s="186">
        <f t="shared" si="43"/>
        <v>44592.36</v>
      </c>
      <c r="L23" s="186">
        <f t="shared" si="43"/>
        <v>6173.64</v>
      </c>
      <c r="M23" s="186">
        <f t="shared" si="43"/>
        <v>1.2472000000000001</v>
      </c>
      <c r="N23" s="186">
        <f t="shared" si="43"/>
        <v>1276.0269679999999</v>
      </c>
      <c r="O23" s="186">
        <f t="shared" si="43"/>
        <v>4629.8999999999996</v>
      </c>
      <c r="P23" s="186">
        <f t="shared" si="43"/>
        <v>5905.9269679999998</v>
      </c>
      <c r="Q23" s="186">
        <f t="shared" si="43"/>
        <v>0</v>
      </c>
      <c r="R23" s="186">
        <f t="shared" si="43"/>
        <v>5905.93</v>
      </c>
      <c r="S23" s="185">
        <f>SUM(S9:S22)</f>
        <v>0</v>
      </c>
      <c r="T23" s="185">
        <f>SUM(T9:T22)</f>
        <v>12353.049999999997</v>
      </c>
      <c r="U23" s="185">
        <f>SUM(U9:U22)</f>
        <v>12353.049999999997</v>
      </c>
      <c r="V23" s="185">
        <f>SUM(V9:V22)</f>
        <v>99396.95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0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4.8554687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5.7109375" style="67" customWidth="1"/>
    <col min="11" max="11" width="13.140625" style="67" hidden="1" customWidth="1"/>
    <col min="12" max="14" width="14.28515625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customWidth="1"/>
    <col min="22" max="22" width="14.42578125" style="67" customWidth="1"/>
    <col min="23" max="23" width="13" style="67" customWidth="1"/>
    <col min="24" max="24" width="15.85546875" style="67" customWidth="1"/>
    <col min="25" max="25" width="55.42578125" style="67" customWidth="1"/>
    <col min="26" max="16384" width="11.42578125" style="67"/>
  </cols>
  <sheetData>
    <row r="1" spans="1:25" ht="18" x14ac:dyDescent="0.25">
      <c r="A1" s="272" t="s">
        <v>77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22</v>
      </c>
      <c r="G6" s="69" t="s">
        <v>5</v>
      </c>
      <c r="H6" s="293" t="s">
        <v>1</v>
      </c>
      <c r="I6" s="294"/>
      <c r="J6" s="295"/>
      <c r="K6" s="70" t="s">
        <v>25</v>
      </c>
      <c r="L6" s="71"/>
      <c r="M6" s="296" t="s">
        <v>8</v>
      </c>
      <c r="N6" s="297"/>
      <c r="O6" s="297"/>
      <c r="P6" s="297"/>
      <c r="Q6" s="297"/>
      <c r="R6" s="298"/>
      <c r="S6" s="70" t="s">
        <v>29</v>
      </c>
      <c r="T6" s="70" t="s">
        <v>9</v>
      </c>
      <c r="U6" s="69" t="s">
        <v>52</v>
      </c>
      <c r="V6" s="299" t="s">
        <v>2</v>
      </c>
      <c r="W6" s="300"/>
      <c r="X6" s="69" t="s">
        <v>0</v>
      </c>
      <c r="Y6" s="72"/>
    </row>
    <row r="7" spans="1:25" ht="22.5" x14ac:dyDescent="0.2">
      <c r="A7" s="73" t="s">
        <v>20</v>
      </c>
      <c r="B7" s="74" t="s">
        <v>101</v>
      </c>
      <c r="C7" s="74" t="s">
        <v>116</v>
      </c>
      <c r="D7" s="73" t="s">
        <v>21</v>
      </c>
      <c r="E7" s="73"/>
      <c r="F7" s="75" t="s">
        <v>23</v>
      </c>
      <c r="G7" s="73" t="s">
        <v>24</v>
      </c>
      <c r="H7" s="69" t="s">
        <v>5</v>
      </c>
      <c r="I7" s="69" t="s">
        <v>57</v>
      </c>
      <c r="J7" s="69" t="s">
        <v>27</v>
      </c>
      <c r="K7" s="76" t="s">
        <v>26</v>
      </c>
      <c r="L7" s="71" t="s">
        <v>31</v>
      </c>
      <c r="M7" s="71" t="s">
        <v>11</v>
      </c>
      <c r="N7" s="71" t="s">
        <v>33</v>
      </c>
      <c r="O7" s="71" t="s">
        <v>35</v>
      </c>
      <c r="P7" s="71" t="s">
        <v>36</v>
      </c>
      <c r="Q7" s="71" t="s">
        <v>13</v>
      </c>
      <c r="R7" s="71" t="s">
        <v>9</v>
      </c>
      <c r="S7" s="76" t="s">
        <v>39</v>
      </c>
      <c r="T7" s="76" t="s">
        <v>40</v>
      </c>
      <c r="U7" s="73" t="s">
        <v>30</v>
      </c>
      <c r="V7" s="23" t="s">
        <v>306</v>
      </c>
      <c r="W7" s="69" t="s">
        <v>6</v>
      </c>
      <c r="X7" s="73" t="s">
        <v>3</v>
      </c>
      <c r="Y7" s="77" t="s">
        <v>56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46</v>
      </c>
      <c r="I8" s="73" t="s">
        <v>58</v>
      </c>
      <c r="J8" s="73" t="s">
        <v>28</v>
      </c>
      <c r="K8" s="76" t="s">
        <v>42</v>
      </c>
      <c r="L8" s="70" t="s">
        <v>32</v>
      </c>
      <c r="M8" s="70" t="s">
        <v>12</v>
      </c>
      <c r="N8" s="70" t="s">
        <v>34</v>
      </c>
      <c r="O8" s="70" t="s">
        <v>34</v>
      </c>
      <c r="P8" s="70" t="s">
        <v>37</v>
      </c>
      <c r="Q8" s="70" t="s">
        <v>14</v>
      </c>
      <c r="R8" s="70" t="s">
        <v>38</v>
      </c>
      <c r="S8" s="76" t="s">
        <v>18</v>
      </c>
      <c r="T8" s="79" t="s">
        <v>130</v>
      </c>
      <c r="U8" s="73" t="s">
        <v>51</v>
      </c>
      <c r="V8" s="73"/>
      <c r="W8" s="73" t="s">
        <v>43</v>
      </c>
      <c r="X8" s="73" t="s">
        <v>4</v>
      </c>
      <c r="Y8" s="80"/>
    </row>
    <row r="9" spans="1:25" ht="36" x14ac:dyDescent="0.25">
      <c r="A9" s="81"/>
      <c r="B9" s="82"/>
      <c r="C9" s="82"/>
      <c r="D9" s="218" t="s">
        <v>137</v>
      </c>
      <c r="E9" s="83" t="s">
        <v>60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83.25" customHeight="1" x14ac:dyDescent="0.25">
      <c r="A10" s="238"/>
      <c r="B10" s="174" t="s">
        <v>296</v>
      </c>
      <c r="C10" s="174" t="s">
        <v>115</v>
      </c>
      <c r="D10" s="216" t="s">
        <v>294</v>
      </c>
      <c r="E10" s="176" t="s">
        <v>295</v>
      </c>
      <c r="F10" s="177"/>
      <c r="G10" s="178"/>
      <c r="H10" s="179">
        <v>9547</v>
      </c>
      <c r="I10" s="180">
        <v>0</v>
      </c>
      <c r="J10" s="181">
        <f t="shared" ref="J10" si="0">SUM(H10:I10)</f>
        <v>9547</v>
      </c>
      <c r="K10" s="182">
        <f t="shared" ref="K10" si="1">IF(H10/15&lt;=SMG,0,I10/2)</f>
        <v>0</v>
      </c>
      <c r="L10" s="182">
        <f t="shared" ref="L10" si="2">H10+K10</f>
        <v>9547</v>
      </c>
      <c r="M10" s="182">
        <f t="shared" ref="M10:M18" si="3">VLOOKUP(L10,Tarifa1,1)</f>
        <v>7641.91</v>
      </c>
      <c r="N10" s="182">
        <f>L10-M10</f>
        <v>1905.0900000000001</v>
      </c>
      <c r="O10" s="183">
        <f t="shared" ref="O10:O18" si="4">VLOOKUP(L10,Tarifa1,3)</f>
        <v>0.21360000000000001</v>
      </c>
      <c r="P10" s="182">
        <f>N10*O10</f>
        <v>406.92722400000008</v>
      </c>
      <c r="Q10" s="184">
        <f t="shared" ref="Q10:Q18" si="5">VLOOKUP(L10,Tarifa1,2)</f>
        <v>809.25</v>
      </c>
      <c r="R10" s="182">
        <f>P10+Q10</f>
        <v>1216.177224</v>
      </c>
      <c r="S10" s="182">
        <f t="shared" ref="S10:S18" si="6">VLOOKUP(L10,Credito1,2)</f>
        <v>0</v>
      </c>
      <c r="T10" s="182">
        <f>ROUND(R10-S10,2)</f>
        <v>1216.18</v>
      </c>
      <c r="U10" s="181">
        <f>-IF(T10&gt;0,0,T10)</f>
        <v>0</v>
      </c>
      <c r="V10" s="181">
        <f t="shared" ref="V10:V18" si="7">IF(H10/15&lt;=SMG,0,IF(T10&lt;0,0,T10))</f>
        <v>1216.18</v>
      </c>
      <c r="W10" s="181">
        <f>SUM(V10:V10)</f>
        <v>1216.18</v>
      </c>
      <c r="X10" s="181">
        <f>J10+U10-W10</f>
        <v>8330.82</v>
      </c>
      <c r="Y10" s="235"/>
    </row>
    <row r="11" spans="1:25" s="94" customFormat="1" ht="83.25" customHeight="1" x14ac:dyDescent="0.25">
      <c r="A11" s="116"/>
      <c r="B11" s="174" t="s">
        <v>208</v>
      </c>
      <c r="C11" s="174" t="s">
        <v>115</v>
      </c>
      <c r="D11" s="117" t="s">
        <v>207</v>
      </c>
      <c r="E11" s="175" t="s">
        <v>135</v>
      </c>
      <c r="F11" s="177"/>
      <c r="G11" s="178"/>
      <c r="H11" s="179">
        <v>5767.5</v>
      </c>
      <c r="I11" s="180">
        <v>769</v>
      </c>
      <c r="J11" s="181">
        <f t="shared" ref="J11" si="8">SUM(H11:I11)</f>
        <v>6536.5</v>
      </c>
      <c r="K11" s="182">
        <f t="shared" ref="K11" si="9">IF(H11/15&lt;=SMG,0,I11/2)</f>
        <v>384.5</v>
      </c>
      <c r="L11" s="182">
        <f t="shared" ref="L11:L12" si="10">H11+K11</f>
        <v>6152</v>
      </c>
      <c r="M11" s="182">
        <f t="shared" si="3"/>
        <v>5490.76</v>
      </c>
      <c r="N11" s="182">
        <f t="shared" ref="N11:N18" si="11">L11-M11</f>
        <v>661.23999999999978</v>
      </c>
      <c r="O11" s="183">
        <f t="shared" si="4"/>
        <v>0.16</v>
      </c>
      <c r="P11" s="182">
        <f t="shared" ref="P11:P18" si="12">N11*O11</f>
        <v>105.79839999999997</v>
      </c>
      <c r="Q11" s="184">
        <f t="shared" si="5"/>
        <v>441</v>
      </c>
      <c r="R11" s="182">
        <f t="shared" ref="R11:R18" si="13">P11+Q11</f>
        <v>546.79840000000002</v>
      </c>
      <c r="S11" s="182">
        <f t="shared" si="6"/>
        <v>0</v>
      </c>
      <c r="T11" s="182">
        <f t="shared" ref="T11:T18" si="14">ROUND(R11-S11,2)</f>
        <v>546.79999999999995</v>
      </c>
      <c r="U11" s="181">
        <f t="shared" ref="U11:U18" si="15">-IF(T11&gt;0,0,T11)</f>
        <v>0</v>
      </c>
      <c r="V11" s="181">
        <f t="shared" si="7"/>
        <v>546.79999999999995</v>
      </c>
      <c r="W11" s="181">
        <f>SUM(V11:V11)</f>
        <v>546.79999999999995</v>
      </c>
      <c r="X11" s="181">
        <f>J11+U11-W11</f>
        <v>5989.7</v>
      </c>
      <c r="Y11" s="93"/>
    </row>
    <row r="12" spans="1:25" s="94" customFormat="1" ht="83.25" customHeight="1" x14ac:dyDescent="0.25">
      <c r="A12" s="116"/>
      <c r="B12" s="174" t="s">
        <v>316</v>
      </c>
      <c r="C12" s="174" t="s">
        <v>115</v>
      </c>
      <c r="D12" s="216" t="s">
        <v>317</v>
      </c>
      <c r="E12" s="175" t="s">
        <v>135</v>
      </c>
      <c r="F12" s="177"/>
      <c r="G12" s="178"/>
      <c r="H12" s="179">
        <v>5210.41</v>
      </c>
      <c r="I12" s="180">
        <v>0</v>
      </c>
      <c r="J12" s="181">
        <f t="shared" ref="J12:J18" si="16">SUM(H12:I12)</f>
        <v>5210.41</v>
      </c>
      <c r="K12" s="182">
        <f>IF(H12/15&lt;=SMG,0,I12/2)</f>
        <v>0</v>
      </c>
      <c r="L12" s="182">
        <f t="shared" si="10"/>
        <v>5210.41</v>
      </c>
      <c r="M12" s="182">
        <f t="shared" si="3"/>
        <v>3124.36</v>
      </c>
      <c r="N12" s="182">
        <f t="shared" si="11"/>
        <v>2086.0499999999997</v>
      </c>
      <c r="O12" s="183">
        <f t="shared" si="4"/>
        <v>0.10879999999999999</v>
      </c>
      <c r="P12" s="182">
        <f t="shared" si="12"/>
        <v>226.96223999999995</v>
      </c>
      <c r="Q12" s="184">
        <f t="shared" si="5"/>
        <v>183.45</v>
      </c>
      <c r="R12" s="182">
        <f t="shared" si="13"/>
        <v>410.41223999999994</v>
      </c>
      <c r="S12" s="182">
        <f t="shared" si="6"/>
        <v>0</v>
      </c>
      <c r="T12" s="182">
        <f t="shared" si="14"/>
        <v>410.41</v>
      </c>
      <c r="U12" s="181">
        <f t="shared" si="15"/>
        <v>0</v>
      </c>
      <c r="V12" s="181">
        <f t="shared" si="7"/>
        <v>410.41</v>
      </c>
      <c r="W12" s="181">
        <f>SUM(V12:V12)</f>
        <v>410.41</v>
      </c>
      <c r="X12" s="181">
        <f>J12+U12-W12</f>
        <v>4800</v>
      </c>
      <c r="Y12" s="93"/>
    </row>
    <row r="13" spans="1:25" s="94" customFormat="1" ht="83.25" customHeight="1" x14ac:dyDescent="0.25">
      <c r="A13" s="116"/>
      <c r="B13" s="174" t="s">
        <v>318</v>
      </c>
      <c r="C13" s="174" t="s">
        <v>115</v>
      </c>
      <c r="D13" s="216" t="s">
        <v>319</v>
      </c>
      <c r="E13" s="175" t="s">
        <v>135</v>
      </c>
      <c r="F13" s="177"/>
      <c r="G13" s="178"/>
      <c r="H13" s="179">
        <v>5210.41</v>
      </c>
      <c r="I13" s="180">
        <v>0</v>
      </c>
      <c r="J13" s="181">
        <f t="shared" si="16"/>
        <v>5210.41</v>
      </c>
      <c r="K13" s="182">
        <f>IF(H13/15&lt;=SMG,0,I13/2)</f>
        <v>0</v>
      </c>
      <c r="L13" s="182">
        <f t="shared" ref="L13" si="17">H13+K13</f>
        <v>5210.41</v>
      </c>
      <c r="M13" s="182">
        <f t="shared" si="3"/>
        <v>3124.36</v>
      </c>
      <c r="N13" s="182">
        <f t="shared" ref="N13" si="18">L13-M13</f>
        <v>2086.0499999999997</v>
      </c>
      <c r="O13" s="183">
        <f t="shared" si="4"/>
        <v>0.10879999999999999</v>
      </c>
      <c r="P13" s="182">
        <f t="shared" ref="P13" si="19">N13*O13</f>
        <v>226.96223999999995</v>
      </c>
      <c r="Q13" s="184">
        <f t="shared" si="5"/>
        <v>183.45</v>
      </c>
      <c r="R13" s="182">
        <f t="shared" ref="R13" si="20">P13+Q13</f>
        <v>410.41223999999994</v>
      </c>
      <c r="S13" s="182">
        <f t="shared" si="6"/>
        <v>0</v>
      </c>
      <c r="T13" s="182">
        <f t="shared" ref="T13" si="21">ROUND(R13-S13,2)</f>
        <v>410.41</v>
      </c>
      <c r="U13" s="181">
        <f t="shared" ref="U13" si="22">-IF(T13&gt;0,0,T13)</f>
        <v>0</v>
      </c>
      <c r="V13" s="181">
        <f t="shared" si="7"/>
        <v>410.41</v>
      </c>
      <c r="W13" s="181">
        <f>SUM(V13:V13)</f>
        <v>410.41</v>
      </c>
      <c r="X13" s="181">
        <f>J13+U13-W13</f>
        <v>4800</v>
      </c>
      <c r="Y13" s="93"/>
    </row>
    <row r="14" spans="1:25" s="94" customFormat="1" ht="83.25" customHeight="1" x14ac:dyDescent="0.25">
      <c r="A14" s="116"/>
      <c r="B14" s="174" t="s">
        <v>320</v>
      </c>
      <c r="C14" s="174" t="s">
        <v>115</v>
      </c>
      <c r="D14" s="216" t="s">
        <v>321</v>
      </c>
      <c r="E14" s="175" t="s">
        <v>135</v>
      </c>
      <c r="F14" s="177"/>
      <c r="G14" s="178"/>
      <c r="H14" s="179">
        <v>5210.41</v>
      </c>
      <c r="I14" s="180">
        <v>0</v>
      </c>
      <c r="J14" s="181">
        <f t="shared" si="16"/>
        <v>5210.41</v>
      </c>
      <c r="K14" s="182">
        <f>IF(H14/15&lt;=SMG,0,I14/2)</f>
        <v>0</v>
      </c>
      <c r="L14" s="182">
        <f t="shared" ref="L14" si="23">H14+K14</f>
        <v>5210.41</v>
      </c>
      <c r="M14" s="182">
        <f t="shared" si="3"/>
        <v>3124.36</v>
      </c>
      <c r="N14" s="182">
        <f t="shared" ref="N14" si="24">L14-M14</f>
        <v>2086.0499999999997</v>
      </c>
      <c r="O14" s="183">
        <f t="shared" si="4"/>
        <v>0.10879999999999999</v>
      </c>
      <c r="P14" s="182">
        <f t="shared" ref="P14" si="25">N14*O14</f>
        <v>226.96223999999995</v>
      </c>
      <c r="Q14" s="184">
        <f t="shared" si="5"/>
        <v>183.45</v>
      </c>
      <c r="R14" s="182">
        <f t="shared" ref="R14" si="26">P14+Q14</f>
        <v>410.41223999999994</v>
      </c>
      <c r="S14" s="182">
        <f t="shared" si="6"/>
        <v>0</v>
      </c>
      <c r="T14" s="182">
        <f t="shared" ref="T14" si="27">ROUND(R14-S14,2)</f>
        <v>410.41</v>
      </c>
      <c r="U14" s="181">
        <f t="shared" ref="U14" si="28">-IF(T14&gt;0,0,T14)</f>
        <v>0</v>
      </c>
      <c r="V14" s="181">
        <f t="shared" si="7"/>
        <v>410.41</v>
      </c>
      <c r="W14" s="181">
        <f>SUM(V14:V14)</f>
        <v>410.41</v>
      </c>
      <c r="X14" s="181">
        <f>J14+U14-W14</f>
        <v>4800</v>
      </c>
      <c r="Y14" s="93"/>
    </row>
    <row r="15" spans="1:25" s="94" customFormat="1" ht="83.25" customHeight="1" x14ac:dyDescent="0.25">
      <c r="A15" s="116"/>
      <c r="B15" s="174" t="s">
        <v>322</v>
      </c>
      <c r="C15" s="174" t="s">
        <v>115</v>
      </c>
      <c r="D15" s="216" t="s">
        <v>323</v>
      </c>
      <c r="E15" s="175" t="s">
        <v>135</v>
      </c>
      <c r="F15" s="177"/>
      <c r="G15" s="178"/>
      <c r="H15" s="179">
        <v>5210.41</v>
      </c>
      <c r="I15" s="180">
        <v>0</v>
      </c>
      <c r="J15" s="181">
        <f t="shared" si="16"/>
        <v>5210.41</v>
      </c>
      <c r="K15" s="182">
        <f>IF(H15/15&lt;=SMG,0,I15/2)</f>
        <v>0</v>
      </c>
      <c r="L15" s="182">
        <f t="shared" ref="L15:L16" si="29">H15+K15</f>
        <v>5210.41</v>
      </c>
      <c r="M15" s="182">
        <f t="shared" si="3"/>
        <v>3124.36</v>
      </c>
      <c r="N15" s="182">
        <f t="shared" ref="N15:N16" si="30">L15-M15</f>
        <v>2086.0499999999997</v>
      </c>
      <c r="O15" s="183">
        <f t="shared" si="4"/>
        <v>0.10879999999999999</v>
      </c>
      <c r="P15" s="182">
        <f t="shared" ref="P15:P16" si="31">N15*O15</f>
        <v>226.96223999999995</v>
      </c>
      <c r="Q15" s="184">
        <f t="shared" si="5"/>
        <v>183.45</v>
      </c>
      <c r="R15" s="182">
        <f t="shared" ref="R15:R16" si="32">P15+Q15</f>
        <v>410.41223999999994</v>
      </c>
      <c r="S15" s="182">
        <f t="shared" si="6"/>
        <v>0</v>
      </c>
      <c r="T15" s="182">
        <f t="shared" ref="T15:T16" si="33">ROUND(R15-S15,2)</f>
        <v>410.41</v>
      </c>
      <c r="U15" s="181">
        <f t="shared" ref="U15:U16" si="34">-IF(T15&gt;0,0,T15)</f>
        <v>0</v>
      </c>
      <c r="V15" s="181">
        <f t="shared" si="7"/>
        <v>410.41</v>
      </c>
      <c r="W15" s="181">
        <f>SUM(V15:V15)</f>
        <v>410.41</v>
      </c>
      <c r="X15" s="181">
        <f>J15+U15-W15</f>
        <v>4800</v>
      </c>
      <c r="Y15" s="93"/>
    </row>
    <row r="16" spans="1:25" s="94" customFormat="1" ht="83.25" customHeight="1" x14ac:dyDescent="0.25">
      <c r="A16" s="116"/>
      <c r="B16" s="174" t="s">
        <v>324</v>
      </c>
      <c r="C16" s="174" t="s">
        <v>115</v>
      </c>
      <c r="D16" s="216" t="s">
        <v>325</v>
      </c>
      <c r="E16" s="175" t="s">
        <v>135</v>
      </c>
      <c r="F16" s="177"/>
      <c r="G16" s="178"/>
      <c r="H16" s="179">
        <v>5210.41</v>
      </c>
      <c r="I16" s="180">
        <v>0</v>
      </c>
      <c r="J16" s="181">
        <f t="shared" si="16"/>
        <v>5210.41</v>
      </c>
      <c r="K16" s="182">
        <f>IF(H16/15&lt;=SMG,0,I16/2)</f>
        <v>0</v>
      </c>
      <c r="L16" s="182">
        <f t="shared" si="29"/>
        <v>5210.41</v>
      </c>
      <c r="M16" s="182">
        <f t="shared" si="3"/>
        <v>3124.36</v>
      </c>
      <c r="N16" s="182">
        <f t="shared" si="30"/>
        <v>2086.0499999999997</v>
      </c>
      <c r="O16" s="183">
        <f t="shared" si="4"/>
        <v>0.10879999999999999</v>
      </c>
      <c r="P16" s="182">
        <f t="shared" si="31"/>
        <v>226.96223999999995</v>
      </c>
      <c r="Q16" s="184">
        <f t="shared" si="5"/>
        <v>183.45</v>
      </c>
      <c r="R16" s="182">
        <f t="shared" si="32"/>
        <v>410.41223999999994</v>
      </c>
      <c r="S16" s="182">
        <f t="shared" si="6"/>
        <v>0</v>
      </c>
      <c r="T16" s="182">
        <f t="shared" si="33"/>
        <v>410.41</v>
      </c>
      <c r="U16" s="181">
        <f t="shared" si="34"/>
        <v>0</v>
      </c>
      <c r="V16" s="181">
        <f t="shared" si="7"/>
        <v>410.41</v>
      </c>
      <c r="W16" s="181">
        <f>SUM(V16:V16)</f>
        <v>410.41</v>
      </c>
      <c r="X16" s="181">
        <f>J16+U16-W16</f>
        <v>4800</v>
      </c>
      <c r="Y16" s="93"/>
    </row>
    <row r="17" spans="1:25" s="94" customFormat="1" ht="83.25" customHeight="1" x14ac:dyDescent="0.25">
      <c r="A17" s="116" t="s">
        <v>91</v>
      </c>
      <c r="B17" s="174" t="s">
        <v>139</v>
      </c>
      <c r="C17" s="174" t="s">
        <v>156</v>
      </c>
      <c r="D17" s="216" t="s">
        <v>134</v>
      </c>
      <c r="E17" s="176" t="s">
        <v>136</v>
      </c>
      <c r="F17" s="177">
        <v>15</v>
      </c>
      <c r="G17" s="178">
        <f>H17/F17</f>
        <v>308.26666666666665</v>
      </c>
      <c r="H17" s="179">
        <v>4624</v>
      </c>
      <c r="I17" s="180">
        <v>0</v>
      </c>
      <c r="J17" s="181">
        <f t="shared" si="16"/>
        <v>4624</v>
      </c>
      <c r="K17" s="182">
        <f t="shared" ref="K17:K18" si="35">IF(H17/15&lt;=SMG,0,I17/2)</f>
        <v>0</v>
      </c>
      <c r="L17" s="182">
        <f t="shared" ref="L17:L18" si="36">H17+K17</f>
        <v>4624</v>
      </c>
      <c r="M17" s="182">
        <f t="shared" si="3"/>
        <v>3124.36</v>
      </c>
      <c r="N17" s="182">
        <f t="shared" si="11"/>
        <v>1499.6399999999999</v>
      </c>
      <c r="O17" s="183">
        <f t="shared" si="4"/>
        <v>0.10879999999999999</v>
      </c>
      <c r="P17" s="182">
        <f t="shared" si="12"/>
        <v>163.16083199999997</v>
      </c>
      <c r="Q17" s="184">
        <f t="shared" si="5"/>
        <v>183.45</v>
      </c>
      <c r="R17" s="182">
        <f t="shared" si="13"/>
        <v>346.61083199999996</v>
      </c>
      <c r="S17" s="182">
        <f t="shared" si="6"/>
        <v>0</v>
      </c>
      <c r="T17" s="182">
        <f t="shared" si="14"/>
        <v>346.61</v>
      </c>
      <c r="U17" s="181">
        <f t="shared" si="15"/>
        <v>0</v>
      </c>
      <c r="V17" s="181">
        <f t="shared" si="7"/>
        <v>346.61</v>
      </c>
      <c r="W17" s="181">
        <f>SUM(V17:V17)</f>
        <v>346.61</v>
      </c>
      <c r="X17" s="181">
        <f>J17+U17-W17</f>
        <v>4277.3900000000003</v>
      </c>
      <c r="Y17" s="93"/>
    </row>
    <row r="18" spans="1:25" s="94" customFormat="1" ht="83.25" customHeight="1" x14ac:dyDescent="0.25">
      <c r="A18" s="215"/>
      <c r="B18" s="174" t="s">
        <v>140</v>
      </c>
      <c r="C18" s="174" t="s">
        <v>115</v>
      </c>
      <c r="D18" s="216" t="s">
        <v>133</v>
      </c>
      <c r="E18" s="176" t="s">
        <v>136</v>
      </c>
      <c r="F18" s="177">
        <v>15</v>
      </c>
      <c r="G18" s="178">
        <f>H18/F18</f>
        <v>308.26666666666665</v>
      </c>
      <c r="H18" s="179">
        <v>4624</v>
      </c>
      <c r="I18" s="180">
        <v>0</v>
      </c>
      <c r="J18" s="181">
        <f t="shared" si="16"/>
        <v>4624</v>
      </c>
      <c r="K18" s="182">
        <f t="shared" si="35"/>
        <v>0</v>
      </c>
      <c r="L18" s="182">
        <f t="shared" si="36"/>
        <v>4624</v>
      </c>
      <c r="M18" s="182">
        <f t="shared" si="3"/>
        <v>3124.36</v>
      </c>
      <c r="N18" s="182">
        <f t="shared" si="11"/>
        <v>1499.6399999999999</v>
      </c>
      <c r="O18" s="183">
        <f t="shared" si="4"/>
        <v>0.10879999999999999</v>
      </c>
      <c r="P18" s="182">
        <f t="shared" si="12"/>
        <v>163.16083199999997</v>
      </c>
      <c r="Q18" s="184">
        <f t="shared" si="5"/>
        <v>183.45</v>
      </c>
      <c r="R18" s="182">
        <f t="shared" si="13"/>
        <v>346.61083199999996</v>
      </c>
      <c r="S18" s="182">
        <f t="shared" si="6"/>
        <v>0</v>
      </c>
      <c r="T18" s="182">
        <f t="shared" si="14"/>
        <v>346.61</v>
      </c>
      <c r="U18" s="181">
        <f t="shared" si="15"/>
        <v>0</v>
      </c>
      <c r="V18" s="181">
        <f t="shared" si="7"/>
        <v>346.61</v>
      </c>
      <c r="W18" s="181">
        <f>SUM(V18:V18)</f>
        <v>346.61</v>
      </c>
      <c r="X18" s="181">
        <f>J18+U18-W18</f>
        <v>4277.3900000000003</v>
      </c>
      <c r="Y18" s="93"/>
    </row>
    <row r="19" spans="1:25" ht="40.5" customHeight="1" thickBot="1" x14ac:dyDescent="0.3">
      <c r="A19" s="259" t="s">
        <v>44</v>
      </c>
      <c r="B19" s="260"/>
      <c r="C19" s="260"/>
      <c r="D19" s="260"/>
      <c r="E19" s="260"/>
      <c r="F19" s="260"/>
      <c r="G19" s="261"/>
      <c r="H19" s="185">
        <f>SUM(H10:H18)</f>
        <v>50614.55</v>
      </c>
      <c r="I19" s="185">
        <f>SUM(I10:I18)</f>
        <v>769</v>
      </c>
      <c r="J19" s="185">
        <f t="shared" ref="J19:U19" si="37">SUM(J11:J18)</f>
        <v>41836.550000000003</v>
      </c>
      <c r="K19" s="186">
        <f t="shared" si="37"/>
        <v>384.5</v>
      </c>
      <c r="L19" s="186">
        <f t="shared" si="37"/>
        <v>41452.050000000003</v>
      </c>
      <c r="M19" s="186">
        <f t="shared" si="37"/>
        <v>27361.280000000002</v>
      </c>
      <c r="N19" s="186">
        <f t="shared" si="37"/>
        <v>14090.769999999997</v>
      </c>
      <c r="O19" s="186">
        <f t="shared" si="37"/>
        <v>0.92159999999999997</v>
      </c>
      <c r="P19" s="186">
        <f t="shared" si="37"/>
        <v>1566.9312639999998</v>
      </c>
      <c r="Q19" s="186">
        <f t="shared" si="37"/>
        <v>1725.1500000000003</v>
      </c>
      <c r="R19" s="186">
        <f t="shared" si="37"/>
        <v>3292.0812639999995</v>
      </c>
      <c r="S19" s="186">
        <f t="shared" si="37"/>
        <v>0</v>
      </c>
      <c r="T19" s="186">
        <f t="shared" si="37"/>
        <v>3292.07</v>
      </c>
      <c r="U19" s="185">
        <f t="shared" si="37"/>
        <v>0</v>
      </c>
      <c r="V19" s="185">
        <f>SUM(V10:V18)</f>
        <v>4508.2499999999991</v>
      </c>
      <c r="W19" s="185">
        <f>SUM(W10:W18)</f>
        <v>4508.2499999999991</v>
      </c>
      <c r="X19" s="185">
        <f>SUM(X10:X18)</f>
        <v>46875.3</v>
      </c>
    </row>
    <row r="20" spans="1:25" ht="18.75" thickTop="1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</row>
  </sheetData>
  <mergeCells count="7">
    <mergeCell ref="A19:G19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8"/>
  <sheetViews>
    <sheetView tabSelected="1" topLeftCell="B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6.42578125" hidden="1" customWidth="1"/>
    <col min="7" max="7" width="10" hidden="1" customWidth="1"/>
    <col min="8" max="8" width="13.42578125" customWidth="1"/>
    <col min="9" max="9" width="10.28515625" customWidth="1"/>
    <col min="10" max="10" width="14.42578125" bestFit="1" customWidth="1"/>
    <col min="11" max="11" width="11.7109375" hidden="1" customWidth="1"/>
    <col min="12" max="14" width="14.42578125" hidden="1" customWidth="1"/>
    <col min="15" max="15" width="13.42578125" hidden="1" customWidth="1"/>
    <col min="16" max="17" width="12.85546875" hidden="1" customWidth="1"/>
    <col min="18" max="18" width="14.42578125" hidden="1" customWidth="1"/>
    <col min="19" max="19" width="11" hidden="1" customWidth="1"/>
    <col min="20" max="20" width="14.42578125" hidden="1" customWidth="1"/>
    <col min="21" max="21" width="11" bestFit="1" customWidth="1"/>
    <col min="22" max="22" width="14.28515625" customWidth="1"/>
    <col min="23" max="23" width="13.85546875" customWidth="1"/>
    <col min="24" max="24" width="13.7109375" customWidth="1"/>
    <col min="25" max="25" width="75.140625" customWidth="1"/>
    <col min="26" max="26" width="1" customWidth="1"/>
  </cols>
  <sheetData>
    <row r="1" spans="1:31" ht="19.5" x14ac:dyDescent="0.25">
      <c r="A1" s="262" t="s">
        <v>77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9.5" x14ac:dyDescent="0.25">
      <c r="A2" s="262" t="s">
        <v>63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22</v>
      </c>
      <c r="G5" s="129" t="s">
        <v>5</v>
      </c>
      <c r="H5" s="264" t="s">
        <v>1</v>
      </c>
      <c r="I5" s="265"/>
      <c r="J5" s="266"/>
      <c r="K5" s="130" t="s">
        <v>25</v>
      </c>
      <c r="L5" s="131"/>
      <c r="M5" s="267" t="s">
        <v>8</v>
      </c>
      <c r="N5" s="268"/>
      <c r="O5" s="268"/>
      <c r="P5" s="268"/>
      <c r="Q5" s="268"/>
      <c r="R5" s="269"/>
      <c r="S5" s="130" t="s">
        <v>52</v>
      </c>
      <c r="T5" s="130" t="s">
        <v>9</v>
      </c>
      <c r="U5" s="129" t="s">
        <v>52</v>
      </c>
      <c r="V5" s="270" t="s">
        <v>2</v>
      </c>
      <c r="W5" s="271"/>
      <c r="X5" s="129" t="s">
        <v>0</v>
      </c>
      <c r="Y5" s="47"/>
    </row>
    <row r="6" spans="1:31" s="51" customFormat="1" ht="29.25" customHeight="1" x14ac:dyDescent="0.25">
      <c r="A6" s="52" t="s">
        <v>20</v>
      </c>
      <c r="B6" s="132" t="s">
        <v>101</v>
      </c>
      <c r="C6" s="132" t="s">
        <v>124</v>
      </c>
      <c r="D6" s="133" t="s">
        <v>21</v>
      </c>
      <c r="E6" s="133"/>
      <c r="F6" s="134" t="s">
        <v>23</v>
      </c>
      <c r="G6" s="133" t="s">
        <v>24</v>
      </c>
      <c r="H6" s="129" t="s">
        <v>5</v>
      </c>
      <c r="I6" s="129" t="s">
        <v>57</v>
      </c>
      <c r="J6" s="129" t="s">
        <v>27</v>
      </c>
      <c r="K6" s="135" t="s">
        <v>26</v>
      </c>
      <c r="L6" s="131" t="s">
        <v>31</v>
      </c>
      <c r="M6" s="131" t="s">
        <v>11</v>
      </c>
      <c r="N6" s="131" t="s">
        <v>33</v>
      </c>
      <c r="O6" s="131" t="s">
        <v>35</v>
      </c>
      <c r="P6" s="131" t="s">
        <v>36</v>
      </c>
      <c r="Q6" s="131" t="s">
        <v>13</v>
      </c>
      <c r="R6" s="131" t="s">
        <v>9</v>
      </c>
      <c r="S6" s="135" t="s">
        <v>39</v>
      </c>
      <c r="T6" s="135" t="s">
        <v>40</v>
      </c>
      <c r="U6" s="133" t="s">
        <v>30</v>
      </c>
      <c r="V6" s="129" t="s">
        <v>306</v>
      </c>
      <c r="W6" s="129" t="s">
        <v>6</v>
      </c>
      <c r="X6" s="133" t="s">
        <v>3</v>
      </c>
      <c r="Y6" s="52" t="s">
        <v>56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46</v>
      </c>
      <c r="I7" s="137" t="s">
        <v>58</v>
      </c>
      <c r="J7" s="137" t="s">
        <v>28</v>
      </c>
      <c r="K7" s="138" t="s">
        <v>42</v>
      </c>
      <c r="L7" s="130" t="s">
        <v>32</v>
      </c>
      <c r="M7" s="130" t="s">
        <v>12</v>
      </c>
      <c r="N7" s="130" t="s">
        <v>34</v>
      </c>
      <c r="O7" s="130" t="s">
        <v>34</v>
      </c>
      <c r="P7" s="130" t="s">
        <v>37</v>
      </c>
      <c r="Q7" s="130" t="s">
        <v>14</v>
      </c>
      <c r="R7" s="130" t="s">
        <v>38</v>
      </c>
      <c r="S7" s="135" t="s">
        <v>51</v>
      </c>
      <c r="T7" s="139" t="s">
        <v>222</v>
      </c>
      <c r="U7" s="137" t="s">
        <v>51</v>
      </c>
      <c r="V7" s="137"/>
      <c r="W7" s="137" t="s">
        <v>43</v>
      </c>
      <c r="X7" s="137" t="s">
        <v>4</v>
      </c>
      <c r="Y7" s="57"/>
    </row>
    <row r="8" spans="1:31" s="51" customFormat="1" ht="43.5" customHeight="1" x14ac:dyDescent="0.25">
      <c r="A8" s="62"/>
      <c r="B8" s="140" t="s">
        <v>101</v>
      </c>
      <c r="C8" s="140" t="s">
        <v>124</v>
      </c>
      <c r="D8" s="141" t="s">
        <v>61</v>
      </c>
      <c r="E8" s="142" t="s">
        <v>60</v>
      </c>
      <c r="F8" s="142"/>
      <c r="G8" s="142"/>
      <c r="H8" s="143">
        <f>SUM(H9:H11)</f>
        <v>47383</v>
      </c>
      <c r="I8" s="143">
        <f>SUM(I9:I11)</f>
        <v>0</v>
      </c>
      <c r="J8" s="143">
        <f>SUM(J9:J11)</f>
        <v>47383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8222.0499999999993</v>
      </c>
      <c r="W8" s="143">
        <f>SUM(W9:W11)</f>
        <v>8222.0499999999993</v>
      </c>
      <c r="X8" s="143">
        <f>SUM(X9:X11)</f>
        <v>39160.949999999997</v>
      </c>
      <c r="Y8" s="63"/>
    </row>
    <row r="9" spans="1:31" s="51" customFormat="1" ht="93.75" customHeight="1" x14ac:dyDescent="0.3">
      <c r="A9" s="85" t="s">
        <v>83</v>
      </c>
      <c r="B9" s="173" t="s">
        <v>215</v>
      </c>
      <c r="C9" s="174" t="s">
        <v>115</v>
      </c>
      <c r="D9" s="243" t="s">
        <v>216</v>
      </c>
      <c r="E9" s="175" t="s">
        <v>217</v>
      </c>
      <c r="F9" s="177">
        <v>15</v>
      </c>
      <c r="G9" s="178">
        <v>1677.25</v>
      </c>
      <c r="H9" s="179">
        <v>27705</v>
      </c>
      <c r="I9" s="180">
        <v>0</v>
      </c>
      <c r="J9" s="181">
        <f>SUM(H9:I9)</f>
        <v>27705</v>
      </c>
      <c r="K9" s="182">
        <f>IF(H9/15&lt;=SMG,0,I9/2)</f>
        <v>0</v>
      </c>
      <c r="L9" s="182">
        <f>H9+K9</f>
        <v>27705</v>
      </c>
      <c r="M9" s="182">
        <f>VLOOKUP(L9,Tarifa1,1)</f>
        <v>24292.66</v>
      </c>
      <c r="N9" s="182">
        <f>L9-M9</f>
        <v>3412.34</v>
      </c>
      <c r="O9" s="183">
        <f>VLOOKUP(L9,Tarifa1,3)</f>
        <v>0.3</v>
      </c>
      <c r="P9" s="182">
        <f>N9*O9</f>
        <v>1023.702</v>
      </c>
      <c r="Q9" s="184">
        <f>VLOOKUP(L9,Tarifa1,2)</f>
        <v>4557.75</v>
      </c>
      <c r="R9" s="182">
        <f>P9+Q9</f>
        <v>5581.4520000000002</v>
      </c>
      <c r="S9" s="182">
        <f>VLOOKUP(L9,Credito1,2)</f>
        <v>0</v>
      </c>
      <c r="T9" s="182">
        <f>ROUND(R9-S9,2)</f>
        <v>5581.45</v>
      </c>
      <c r="U9" s="181">
        <f>-IF(T9&gt;0,0,T9)</f>
        <v>0</v>
      </c>
      <c r="V9" s="181">
        <f>IF(H9/15&lt;=SMG,0,IF(T9&lt;0,0,T9))</f>
        <v>5581.45</v>
      </c>
      <c r="W9" s="181">
        <f>SUM(V9:V9)</f>
        <v>5581.45</v>
      </c>
      <c r="X9" s="181">
        <f>J9+U9-W9</f>
        <v>22123.55</v>
      </c>
      <c r="Y9" s="58"/>
    </row>
    <row r="10" spans="1:31" s="51" customFormat="1" ht="93.75" customHeight="1" x14ac:dyDescent="0.3">
      <c r="A10" s="85" t="s">
        <v>84</v>
      </c>
      <c r="B10" s="173" t="s">
        <v>162</v>
      </c>
      <c r="C10" s="174" t="s">
        <v>115</v>
      </c>
      <c r="D10" s="244" t="s">
        <v>153</v>
      </c>
      <c r="E10" s="176" t="s">
        <v>218</v>
      </c>
      <c r="F10" s="177">
        <v>15</v>
      </c>
      <c r="G10" s="178">
        <v>850.15</v>
      </c>
      <c r="H10" s="179">
        <v>14043</v>
      </c>
      <c r="I10" s="180">
        <v>0</v>
      </c>
      <c r="J10" s="181">
        <f>SUM(H10:I10)</f>
        <v>14043</v>
      </c>
      <c r="K10" s="182">
        <f>IF(H10/15&lt;=SMG,0,I10/2)</f>
        <v>0</v>
      </c>
      <c r="L10" s="182">
        <f t="shared" ref="L10" si="0">H10+K10</f>
        <v>14043</v>
      </c>
      <c r="M10" s="182">
        <f>VLOOKUP(L10,Tarifa1,1)</f>
        <v>7641.91</v>
      </c>
      <c r="N10" s="182">
        <f t="shared" ref="N10" si="1">L10-M10</f>
        <v>6401.09</v>
      </c>
      <c r="O10" s="183">
        <f>VLOOKUP(L10,Tarifa1,3)</f>
        <v>0.21360000000000001</v>
      </c>
      <c r="P10" s="182">
        <f t="shared" ref="P10" si="2">N10*O10</f>
        <v>1367.2728240000001</v>
      </c>
      <c r="Q10" s="184">
        <f>VLOOKUP(L10,Tarifa1,2)</f>
        <v>809.25</v>
      </c>
      <c r="R10" s="182">
        <f t="shared" ref="R10" si="3">P10+Q10</f>
        <v>2176.5228240000001</v>
      </c>
      <c r="S10" s="182">
        <f>VLOOKUP(L10,Credito1,2)</f>
        <v>0</v>
      </c>
      <c r="T10" s="182">
        <f t="shared" ref="T10" si="4">ROUND(R10-S10,2)</f>
        <v>2176.52</v>
      </c>
      <c r="U10" s="181">
        <f>-IF(T10&gt;0,0,T10)</f>
        <v>0</v>
      </c>
      <c r="V10" s="181">
        <f>IF(H10/15&lt;=SMG,0,IF(T10&lt;0,0,T10))</f>
        <v>2176.52</v>
      </c>
      <c r="W10" s="181">
        <f>SUM(V10:V10)</f>
        <v>2176.52</v>
      </c>
      <c r="X10" s="181">
        <f>J10+U10-W10</f>
        <v>11866.48</v>
      </c>
      <c r="Y10" s="58"/>
      <c r="AE10" s="59"/>
    </row>
    <row r="11" spans="1:31" s="51" customFormat="1" ht="93.75" customHeight="1" x14ac:dyDescent="0.3">
      <c r="A11" s="85"/>
      <c r="B11" s="174" t="s">
        <v>107</v>
      </c>
      <c r="C11" s="173" t="s">
        <v>115</v>
      </c>
      <c r="D11" s="244" t="s">
        <v>64</v>
      </c>
      <c r="E11" s="175" t="s">
        <v>62</v>
      </c>
      <c r="F11" s="177">
        <v>15</v>
      </c>
      <c r="G11" s="178">
        <v>341.11</v>
      </c>
      <c r="H11" s="179">
        <v>5635</v>
      </c>
      <c r="I11" s="180">
        <v>0</v>
      </c>
      <c r="J11" s="181">
        <f>SUM(H11:I11)</f>
        <v>5635</v>
      </c>
      <c r="K11" s="182">
        <f>IF(H11/15&lt;=SMG,0,I11/2)</f>
        <v>0</v>
      </c>
      <c r="L11" s="182">
        <f t="shared" ref="L11" si="5">H11+K11</f>
        <v>5635</v>
      </c>
      <c r="M11" s="182">
        <f>VLOOKUP(L11,Tarifa1,1)</f>
        <v>5490.76</v>
      </c>
      <c r="N11" s="182">
        <f t="shared" ref="N11" si="6">L11-M11</f>
        <v>144.23999999999978</v>
      </c>
      <c r="O11" s="183">
        <f>VLOOKUP(L11,Tarifa1,3)</f>
        <v>0.16</v>
      </c>
      <c r="P11" s="182">
        <f t="shared" ref="P11" si="7">N11*O11</f>
        <v>23.078399999999966</v>
      </c>
      <c r="Q11" s="184">
        <f>VLOOKUP(L11,Tarifa1,2)</f>
        <v>441</v>
      </c>
      <c r="R11" s="182">
        <f t="shared" ref="R11" si="8">P11+Q11</f>
        <v>464.07839999999999</v>
      </c>
      <c r="S11" s="182">
        <f>VLOOKUP(L11,Credito1,2)</f>
        <v>0</v>
      </c>
      <c r="T11" s="182">
        <f t="shared" ref="T11" si="9">ROUND(R11-S11,2)</f>
        <v>464.08</v>
      </c>
      <c r="U11" s="181">
        <f>-IF(T11&gt;0,0,T11)</f>
        <v>0</v>
      </c>
      <c r="V11" s="181">
        <f>IF(H11/15&lt;=SMG,0,IF(T11&lt;0,0,T11))</f>
        <v>464.08</v>
      </c>
      <c r="W11" s="181">
        <f>SUM(V11:V11)</f>
        <v>464.08</v>
      </c>
      <c r="X11" s="181">
        <f>J11+U11-W11</f>
        <v>5170.92</v>
      </c>
      <c r="Y11" s="58"/>
      <c r="AE11" s="59"/>
    </row>
    <row r="12" spans="1:31" s="51" customFormat="1" ht="44.25" customHeight="1" x14ac:dyDescent="0.25">
      <c r="A12" s="85"/>
      <c r="B12" s="140" t="s">
        <v>101</v>
      </c>
      <c r="C12" s="140" t="s">
        <v>124</v>
      </c>
      <c r="D12" s="141" t="s">
        <v>119</v>
      </c>
      <c r="E12" s="142" t="s">
        <v>60</v>
      </c>
      <c r="F12" s="142"/>
      <c r="G12" s="142"/>
      <c r="H12" s="143">
        <f>SUM(H13)</f>
        <v>6309</v>
      </c>
      <c r="I12" s="143">
        <f>SUM(I13)</f>
        <v>0</v>
      </c>
      <c r="J12" s="143">
        <f>SUM(J13)</f>
        <v>6309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571.91999999999996</v>
      </c>
      <c r="W12" s="143">
        <f>SUM(W13)</f>
        <v>571.91999999999996</v>
      </c>
      <c r="X12" s="143">
        <f>SUM(X13)</f>
        <v>5737.08</v>
      </c>
      <c r="Y12" s="63"/>
      <c r="AE12" s="59"/>
    </row>
    <row r="13" spans="1:31" s="51" customFormat="1" ht="93.75" customHeight="1" x14ac:dyDescent="0.3">
      <c r="A13" s="85" t="s">
        <v>85</v>
      </c>
      <c r="B13" s="174" t="s">
        <v>291</v>
      </c>
      <c r="C13" s="173" t="s">
        <v>115</v>
      </c>
      <c r="D13" s="244" t="s">
        <v>285</v>
      </c>
      <c r="E13" s="176" t="s">
        <v>97</v>
      </c>
      <c r="F13" s="177">
        <v>15</v>
      </c>
      <c r="G13" s="178">
        <v>381.95</v>
      </c>
      <c r="H13" s="179">
        <v>6309</v>
      </c>
      <c r="I13" s="180">
        <v>0</v>
      </c>
      <c r="J13" s="181">
        <f>H13</f>
        <v>6309</v>
      </c>
      <c r="K13" s="182">
        <f>IF(H13/15&lt;=SMG,0,I13/2)</f>
        <v>0</v>
      </c>
      <c r="L13" s="182">
        <f t="shared" ref="L13" si="10">H13+K13</f>
        <v>6309</v>
      </c>
      <c r="M13" s="182">
        <f>VLOOKUP(L13,Tarifa1,1)</f>
        <v>5490.76</v>
      </c>
      <c r="N13" s="182">
        <f t="shared" ref="N13" si="11">L13-M13</f>
        <v>818.23999999999978</v>
      </c>
      <c r="O13" s="183">
        <f>VLOOKUP(L13,Tarifa1,3)</f>
        <v>0.16</v>
      </c>
      <c r="P13" s="182">
        <f t="shared" ref="P13" si="12">N13*O13</f>
        <v>130.91839999999996</v>
      </c>
      <c r="Q13" s="184">
        <f>VLOOKUP(L13,Tarifa1,2)</f>
        <v>441</v>
      </c>
      <c r="R13" s="182">
        <f t="shared" ref="R13" si="13">P13+Q13</f>
        <v>571.91840000000002</v>
      </c>
      <c r="S13" s="182">
        <f>VLOOKUP(L13,Credito1,2)</f>
        <v>0</v>
      </c>
      <c r="T13" s="182">
        <f t="shared" ref="T13" si="14">ROUND(R13-S13,2)</f>
        <v>571.91999999999996</v>
      </c>
      <c r="U13" s="181">
        <f>-IF(T13&gt;0,0,T13)</f>
        <v>0</v>
      </c>
      <c r="V13" s="181">
        <f>IF(H13/15&lt;=SMG,0,IF(T13&lt;0,0,T13))</f>
        <v>571.91999999999996</v>
      </c>
      <c r="W13" s="181">
        <f>SUM(V13:V13)</f>
        <v>571.91999999999996</v>
      </c>
      <c r="X13" s="181">
        <f>J13+U13-W13</f>
        <v>5737.08</v>
      </c>
      <c r="Y13" s="58"/>
      <c r="AE13" s="59"/>
    </row>
    <row r="14" spans="1:31" s="51" customFormat="1" ht="44.25" customHeight="1" x14ac:dyDescent="0.25">
      <c r="A14" s="85"/>
      <c r="B14" s="140" t="s">
        <v>101</v>
      </c>
      <c r="C14" s="140" t="s">
        <v>124</v>
      </c>
      <c r="D14" s="141" t="s">
        <v>120</v>
      </c>
      <c r="E14" s="142" t="s">
        <v>60</v>
      </c>
      <c r="F14" s="142"/>
      <c r="G14" s="142"/>
      <c r="H14" s="143">
        <v>4896.5</v>
      </c>
      <c r="I14" s="143">
        <f>SUM(I15)</f>
        <v>0</v>
      </c>
      <c r="J14" s="143">
        <f>SUM(J15)</f>
        <v>5043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392.2</v>
      </c>
      <c r="W14" s="143">
        <f>SUM(W15)</f>
        <v>392.2</v>
      </c>
      <c r="X14" s="143">
        <f>SUM(X15)</f>
        <v>4650.8</v>
      </c>
      <c r="Y14" s="63"/>
      <c r="AE14" s="59"/>
    </row>
    <row r="15" spans="1:31" s="51" customFormat="1" ht="93.75" customHeight="1" x14ac:dyDescent="0.3">
      <c r="A15" s="85" t="s">
        <v>87</v>
      </c>
      <c r="B15" s="174" t="s">
        <v>227</v>
      </c>
      <c r="C15" s="174" t="s">
        <v>115</v>
      </c>
      <c r="D15" s="243" t="s">
        <v>243</v>
      </c>
      <c r="E15" s="176" t="s">
        <v>289</v>
      </c>
      <c r="F15" s="177">
        <v>15</v>
      </c>
      <c r="G15" s="178">
        <v>305.35000000000002</v>
      </c>
      <c r="H15" s="179">
        <v>5043</v>
      </c>
      <c r="I15" s="180">
        <v>0</v>
      </c>
      <c r="J15" s="181">
        <f>SUM(H15:I15)</f>
        <v>5043</v>
      </c>
      <c r="K15" s="182">
        <f>IF(H15/15&lt;=SMG,0,I15/2)</f>
        <v>0</v>
      </c>
      <c r="L15" s="182">
        <f t="shared" ref="L15" si="15">H15+K15</f>
        <v>5043</v>
      </c>
      <c r="M15" s="182">
        <f>VLOOKUP(L15,Tarifa1,1)</f>
        <v>3124.36</v>
      </c>
      <c r="N15" s="182">
        <f t="shared" ref="N15" si="16">L15-M15</f>
        <v>1918.6399999999999</v>
      </c>
      <c r="O15" s="183">
        <f>VLOOKUP(L15,Tarifa1,3)</f>
        <v>0.10879999999999999</v>
      </c>
      <c r="P15" s="182">
        <f t="shared" ref="P15" si="17">N15*O15</f>
        <v>208.74803199999997</v>
      </c>
      <c r="Q15" s="184">
        <f>VLOOKUP(L15,Tarifa1,2)</f>
        <v>183.45</v>
      </c>
      <c r="R15" s="182">
        <f t="shared" ref="R15" si="18">P15+Q15</f>
        <v>392.19803199999996</v>
      </c>
      <c r="S15" s="182">
        <f>VLOOKUP(L15,Credito1,2)</f>
        <v>0</v>
      </c>
      <c r="T15" s="182">
        <f t="shared" ref="T15" si="19">ROUND(R15-S15,2)</f>
        <v>392.2</v>
      </c>
      <c r="U15" s="181">
        <f t="shared" ref="U15" si="20">-IF(T15&gt;0,0,T15)</f>
        <v>0</v>
      </c>
      <c r="V15" s="181">
        <f>IF(H15/15&lt;=SMG,0,IF(T15&lt;0,0,T15))</f>
        <v>392.2</v>
      </c>
      <c r="W15" s="181">
        <f>SUM(V15:V15)</f>
        <v>392.2</v>
      </c>
      <c r="X15" s="181">
        <f>J15+U15-W15</f>
        <v>4650.8</v>
      </c>
      <c r="Y15" s="58"/>
      <c r="AE15" s="64"/>
    </row>
    <row r="16" spans="1:31" s="51" customFormat="1" ht="43.5" customHeight="1" x14ac:dyDescent="0.25">
      <c r="A16" s="85"/>
      <c r="B16" s="140" t="s">
        <v>101</v>
      </c>
      <c r="C16" s="140" t="s">
        <v>124</v>
      </c>
      <c r="D16" s="141" t="s">
        <v>121</v>
      </c>
      <c r="E16" s="142" t="s">
        <v>60</v>
      </c>
      <c r="F16" s="142"/>
      <c r="G16" s="142"/>
      <c r="H16" s="143">
        <f>SUM(H17:H17)</f>
        <v>10653</v>
      </c>
      <c r="I16" s="143">
        <f>SUM(I17:I17)</f>
        <v>0</v>
      </c>
      <c r="J16" s="143">
        <f>SUM(J17:J17)</f>
        <v>10653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SUM(U17:U17)</f>
        <v>0</v>
      </c>
      <c r="V16" s="143">
        <f>SUM(V17:V17)</f>
        <v>1452.42</v>
      </c>
      <c r="W16" s="143">
        <f>SUM(W17:W17)</f>
        <v>1452.42</v>
      </c>
      <c r="X16" s="143">
        <f>SUM(X17:X17)</f>
        <v>9200.58</v>
      </c>
      <c r="Y16" s="63"/>
      <c r="AE16" s="64"/>
    </row>
    <row r="17" spans="1:3222" s="51" customFormat="1" ht="93.75" customHeight="1" x14ac:dyDescent="0.3">
      <c r="A17" s="85" t="s">
        <v>88</v>
      </c>
      <c r="B17" s="173" t="s">
        <v>158</v>
      </c>
      <c r="C17" s="174" t="s">
        <v>115</v>
      </c>
      <c r="D17" s="243" t="s">
        <v>142</v>
      </c>
      <c r="E17" s="176" t="s">
        <v>82</v>
      </c>
      <c r="F17" s="177">
        <v>15</v>
      </c>
      <c r="G17" s="178">
        <v>625.85200000000009</v>
      </c>
      <c r="H17" s="179">
        <v>10653</v>
      </c>
      <c r="I17" s="180">
        <v>0</v>
      </c>
      <c r="J17" s="181">
        <f>H17</f>
        <v>10653</v>
      </c>
      <c r="K17" s="182">
        <f>IF(H17/15&lt;=SMG,0,I17/2)</f>
        <v>0</v>
      </c>
      <c r="L17" s="182">
        <f t="shared" ref="L17" si="21">H17+K17</f>
        <v>10653</v>
      </c>
      <c r="M17" s="182">
        <f>VLOOKUP(L17,Tarifa1,1)</f>
        <v>7641.91</v>
      </c>
      <c r="N17" s="182">
        <f t="shared" ref="N17" si="22">L17-M17</f>
        <v>3011.09</v>
      </c>
      <c r="O17" s="183">
        <f>VLOOKUP(L17,Tarifa1,3)</f>
        <v>0.21360000000000001</v>
      </c>
      <c r="P17" s="182">
        <f t="shared" ref="P17" si="23">N17*O17</f>
        <v>643.16882400000009</v>
      </c>
      <c r="Q17" s="184">
        <f>VLOOKUP(L17,Tarifa1,2)</f>
        <v>809.25</v>
      </c>
      <c r="R17" s="182">
        <f t="shared" ref="R17" si="24">P17+Q17</f>
        <v>1452.4188240000001</v>
      </c>
      <c r="S17" s="182">
        <f>VLOOKUP(L17,Credito1,2)</f>
        <v>0</v>
      </c>
      <c r="T17" s="182">
        <f t="shared" ref="T17" si="25">ROUND(R17-S17,2)</f>
        <v>1452.42</v>
      </c>
      <c r="U17" s="181">
        <f t="shared" ref="U17" si="26">-IF(T17&gt;0,0,T17)</f>
        <v>0</v>
      </c>
      <c r="V17" s="181">
        <f>IF(H17/15&lt;=SMG,0,IF(T17&lt;0,0,T17))</f>
        <v>1452.42</v>
      </c>
      <c r="W17" s="181">
        <f>SUM(V17:V17)</f>
        <v>1452.42</v>
      </c>
      <c r="X17" s="181">
        <f>J17+U17-W17</f>
        <v>9200.58</v>
      </c>
      <c r="Y17" s="58"/>
      <c r="AE17" s="64"/>
    </row>
    <row r="18" spans="1:3222" s="66" customFormat="1" ht="42" customHeight="1" x14ac:dyDescent="0.25">
      <c r="A18" s="146"/>
      <c r="B18" s="140" t="s">
        <v>101</v>
      </c>
      <c r="C18" s="140" t="s">
        <v>124</v>
      </c>
      <c r="D18" s="141" t="s">
        <v>122</v>
      </c>
      <c r="E18" s="142" t="s">
        <v>60</v>
      </c>
      <c r="F18" s="142"/>
      <c r="G18" s="142"/>
      <c r="H18" s="143">
        <f>SUM(H19:H19)</f>
        <v>2954</v>
      </c>
      <c r="I18" s="143">
        <f>SUM(I19:I19)</f>
        <v>0</v>
      </c>
      <c r="J18" s="143">
        <f>SUM(J19:J19)</f>
        <v>2954</v>
      </c>
      <c r="K18" s="142"/>
      <c r="L18" s="142"/>
      <c r="M18" s="142"/>
      <c r="N18" s="142"/>
      <c r="O18" s="142"/>
      <c r="P18" s="142"/>
      <c r="Q18" s="145"/>
      <c r="R18" s="142"/>
      <c r="S18" s="142"/>
      <c r="T18" s="144"/>
      <c r="U18" s="143">
        <f>SUM(U19:U19)</f>
        <v>0</v>
      </c>
      <c r="V18" s="143">
        <f>SUM(V19:V19)</f>
        <v>0</v>
      </c>
      <c r="W18" s="143">
        <f>SUM(W19:W19)</f>
        <v>0</v>
      </c>
      <c r="X18" s="143">
        <f>SUM(X19:X19)</f>
        <v>2954</v>
      </c>
      <c r="Y18" s="63"/>
      <c r="Z18" s="88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  <c r="AMO18" s="51"/>
      <c r="AMP18" s="51"/>
      <c r="AMQ18" s="51"/>
      <c r="AMR18" s="51"/>
      <c r="AMS18" s="51"/>
      <c r="AMT18" s="51"/>
      <c r="AMU18" s="51"/>
      <c r="AMV18" s="51"/>
      <c r="AMW18" s="51"/>
      <c r="AMX18" s="51"/>
      <c r="AMY18" s="51"/>
      <c r="AMZ18" s="51"/>
      <c r="ANA18" s="51"/>
      <c r="ANB18" s="51"/>
      <c r="ANC18" s="51"/>
      <c r="AND18" s="51"/>
      <c r="ANE18" s="51"/>
      <c r="ANF18" s="51"/>
      <c r="ANG18" s="51"/>
      <c r="ANH18" s="51"/>
      <c r="ANI18" s="51"/>
      <c r="ANJ18" s="51"/>
      <c r="ANK18" s="51"/>
      <c r="ANL18" s="51"/>
      <c r="ANM18" s="51"/>
      <c r="ANN18" s="51"/>
      <c r="ANO18" s="51"/>
      <c r="ANP18" s="51"/>
      <c r="ANQ18" s="51"/>
      <c r="ANR18" s="51"/>
      <c r="ANS18" s="51"/>
      <c r="ANT18" s="51"/>
      <c r="ANU18" s="51"/>
      <c r="ANV18" s="51"/>
      <c r="ANW18" s="51"/>
      <c r="ANX18" s="51"/>
      <c r="ANY18" s="51"/>
      <c r="ANZ18" s="51"/>
      <c r="AOA18" s="51"/>
      <c r="AOB18" s="51"/>
      <c r="AOC18" s="51"/>
      <c r="AOD18" s="51"/>
      <c r="AOE18" s="51"/>
      <c r="AOF18" s="51"/>
      <c r="AOG18" s="51"/>
      <c r="AOH18" s="51"/>
      <c r="AOI18" s="51"/>
      <c r="AOJ18" s="51"/>
      <c r="AOK18" s="51"/>
      <c r="AOL18" s="51"/>
      <c r="AOM18" s="51"/>
      <c r="AON18" s="51"/>
      <c r="AOO18" s="51"/>
      <c r="AOP18" s="51"/>
      <c r="AOQ18" s="51"/>
      <c r="AOR18" s="51"/>
      <c r="AOS18" s="51"/>
      <c r="AOT18" s="51"/>
      <c r="AOU18" s="51"/>
      <c r="AOV18" s="51"/>
      <c r="AOW18" s="51"/>
      <c r="AOX18" s="51"/>
      <c r="AOY18" s="51"/>
      <c r="AOZ18" s="51"/>
      <c r="APA18" s="51"/>
      <c r="APB18" s="51"/>
      <c r="APC18" s="51"/>
      <c r="APD18" s="51"/>
      <c r="APE18" s="51"/>
      <c r="APF18" s="51"/>
      <c r="APG18" s="51"/>
      <c r="APH18" s="51"/>
      <c r="API18" s="51"/>
      <c r="APJ18" s="51"/>
      <c r="APK18" s="51"/>
      <c r="APL18" s="51"/>
      <c r="APM18" s="51"/>
      <c r="APN18" s="51"/>
      <c r="APO18" s="51"/>
      <c r="APP18" s="51"/>
      <c r="APQ18" s="51"/>
      <c r="APR18" s="51"/>
      <c r="APS18" s="51"/>
      <c r="APT18" s="51"/>
      <c r="APU18" s="51"/>
      <c r="APV18" s="51"/>
      <c r="APW18" s="51"/>
      <c r="APX18" s="51"/>
      <c r="APY18" s="51"/>
      <c r="APZ18" s="51"/>
      <c r="AQA18" s="51"/>
      <c r="AQB18" s="51"/>
      <c r="AQC18" s="51"/>
      <c r="AQD18" s="51"/>
      <c r="AQE18" s="51"/>
      <c r="AQF18" s="51"/>
      <c r="AQG18" s="51"/>
      <c r="AQH18" s="51"/>
      <c r="AQI18" s="51"/>
      <c r="AQJ18" s="51"/>
      <c r="AQK18" s="51"/>
      <c r="AQL18" s="51"/>
      <c r="AQM18" s="51"/>
      <c r="AQN18" s="51"/>
      <c r="AQO18" s="51"/>
      <c r="AQP18" s="51"/>
      <c r="AQQ18" s="51"/>
      <c r="AQR18" s="51"/>
      <c r="AQS18" s="51"/>
      <c r="AQT18" s="51"/>
      <c r="AQU18" s="51"/>
      <c r="AQV18" s="51"/>
      <c r="AQW18" s="51"/>
      <c r="AQX18" s="51"/>
      <c r="AQY18" s="51"/>
      <c r="AQZ18" s="51"/>
      <c r="ARA18" s="51"/>
      <c r="ARB18" s="51"/>
      <c r="ARC18" s="51"/>
      <c r="ARD18" s="51"/>
      <c r="ARE18" s="51"/>
      <c r="ARF18" s="51"/>
      <c r="ARG18" s="51"/>
      <c r="ARH18" s="51"/>
      <c r="ARI18" s="51"/>
      <c r="ARJ18" s="51"/>
      <c r="ARK18" s="51"/>
      <c r="ARL18" s="51"/>
      <c r="ARM18" s="51"/>
      <c r="ARN18" s="51"/>
      <c r="ARO18" s="51"/>
      <c r="ARP18" s="51"/>
      <c r="ARQ18" s="51"/>
      <c r="ARR18" s="51"/>
      <c r="ARS18" s="51"/>
      <c r="ART18" s="51"/>
      <c r="ARU18" s="51"/>
      <c r="ARV18" s="51"/>
      <c r="ARW18" s="51"/>
      <c r="ARX18" s="51"/>
      <c r="ARY18" s="51"/>
      <c r="ARZ18" s="51"/>
      <c r="ASA18" s="51"/>
      <c r="ASB18" s="51"/>
      <c r="ASC18" s="51"/>
      <c r="ASD18" s="51"/>
      <c r="ASE18" s="51"/>
      <c r="ASF18" s="51"/>
      <c r="ASG18" s="51"/>
      <c r="ASH18" s="51"/>
      <c r="ASI18" s="51"/>
      <c r="ASJ18" s="51"/>
      <c r="ASK18" s="51"/>
      <c r="ASL18" s="51"/>
      <c r="ASM18" s="51"/>
      <c r="ASN18" s="51"/>
      <c r="ASO18" s="51"/>
      <c r="ASP18" s="51"/>
      <c r="ASQ18" s="51"/>
      <c r="ASR18" s="51"/>
      <c r="ASS18" s="51"/>
      <c r="AST18" s="51"/>
      <c r="ASU18" s="51"/>
      <c r="ASV18" s="51"/>
      <c r="ASW18" s="51"/>
      <c r="ASX18" s="51"/>
      <c r="ASY18" s="51"/>
      <c r="ASZ18" s="51"/>
      <c r="ATA18" s="51"/>
      <c r="ATB18" s="51"/>
      <c r="ATC18" s="51"/>
      <c r="ATD18" s="51"/>
      <c r="ATE18" s="51"/>
      <c r="ATF18" s="51"/>
      <c r="ATG18" s="51"/>
      <c r="ATH18" s="51"/>
      <c r="ATI18" s="51"/>
      <c r="ATJ18" s="51"/>
      <c r="ATK18" s="51"/>
      <c r="ATL18" s="51"/>
      <c r="ATM18" s="51"/>
      <c r="ATN18" s="51"/>
      <c r="ATO18" s="51"/>
      <c r="ATP18" s="51"/>
      <c r="ATQ18" s="51"/>
      <c r="ATR18" s="51"/>
      <c r="ATS18" s="51"/>
      <c r="ATT18" s="51"/>
      <c r="ATU18" s="51"/>
      <c r="ATV18" s="51"/>
      <c r="ATW18" s="51"/>
      <c r="ATX18" s="51"/>
      <c r="ATY18" s="51"/>
      <c r="ATZ18" s="51"/>
      <c r="AUA18" s="51"/>
      <c r="AUB18" s="51"/>
      <c r="AUC18" s="51"/>
      <c r="AUD18" s="51"/>
      <c r="AUE18" s="51"/>
      <c r="AUF18" s="51"/>
      <c r="AUG18" s="51"/>
      <c r="AUH18" s="51"/>
      <c r="AUI18" s="51"/>
      <c r="AUJ18" s="51"/>
      <c r="AUK18" s="51"/>
      <c r="AUL18" s="51"/>
      <c r="AUM18" s="51"/>
      <c r="AUN18" s="51"/>
      <c r="AUO18" s="51"/>
      <c r="AUP18" s="51"/>
      <c r="AUQ18" s="51"/>
      <c r="AUR18" s="51"/>
      <c r="AUS18" s="51"/>
      <c r="AUT18" s="51"/>
      <c r="AUU18" s="51"/>
      <c r="AUV18" s="51"/>
      <c r="AUW18" s="51"/>
      <c r="AUX18" s="51"/>
      <c r="AUY18" s="51"/>
      <c r="AUZ18" s="51"/>
      <c r="AVA18" s="51"/>
      <c r="AVB18" s="51"/>
      <c r="AVC18" s="51"/>
      <c r="AVD18" s="51"/>
      <c r="AVE18" s="51"/>
      <c r="AVF18" s="51"/>
      <c r="AVG18" s="51"/>
      <c r="AVH18" s="51"/>
      <c r="AVI18" s="51"/>
      <c r="AVJ18" s="51"/>
      <c r="AVK18" s="51"/>
      <c r="AVL18" s="51"/>
      <c r="AVM18" s="51"/>
      <c r="AVN18" s="51"/>
      <c r="AVO18" s="51"/>
      <c r="AVP18" s="51"/>
      <c r="AVQ18" s="51"/>
      <c r="AVR18" s="51"/>
      <c r="AVS18" s="51"/>
      <c r="AVT18" s="51"/>
      <c r="AVU18" s="51"/>
      <c r="AVV18" s="51"/>
      <c r="AVW18" s="51"/>
      <c r="AVX18" s="51"/>
      <c r="AVY18" s="51"/>
      <c r="AVZ18" s="51"/>
      <c r="AWA18" s="51"/>
      <c r="AWB18" s="51"/>
      <c r="AWC18" s="51"/>
      <c r="AWD18" s="51"/>
      <c r="AWE18" s="51"/>
      <c r="AWF18" s="51"/>
      <c r="AWG18" s="51"/>
      <c r="AWH18" s="51"/>
      <c r="AWI18" s="51"/>
      <c r="AWJ18" s="51"/>
      <c r="AWK18" s="51"/>
      <c r="AWL18" s="51"/>
      <c r="AWM18" s="51"/>
      <c r="AWN18" s="51"/>
      <c r="AWO18" s="51"/>
      <c r="AWP18" s="51"/>
      <c r="AWQ18" s="51"/>
      <c r="AWR18" s="51"/>
      <c r="AWS18" s="51"/>
      <c r="AWT18" s="51"/>
      <c r="AWU18" s="51"/>
      <c r="AWV18" s="51"/>
      <c r="AWW18" s="51"/>
      <c r="AWX18" s="51"/>
      <c r="AWY18" s="51"/>
      <c r="AWZ18" s="51"/>
      <c r="AXA18" s="51"/>
      <c r="AXB18" s="51"/>
      <c r="AXC18" s="51"/>
      <c r="AXD18" s="51"/>
      <c r="AXE18" s="51"/>
      <c r="AXF18" s="51"/>
      <c r="AXG18" s="51"/>
      <c r="AXH18" s="51"/>
      <c r="AXI18" s="51"/>
      <c r="AXJ18" s="51"/>
      <c r="AXK18" s="51"/>
      <c r="AXL18" s="51"/>
      <c r="AXM18" s="51"/>
      <c r="AXN18" s="51"/>
      <c r="AXO18" s="51"/>
      <c r="AXP18" s="51"/>
      <c r="AXQ18" s="51"/>
      <c r="AXR18" s="51"/>
      <c r="AXS18" s="51"/>
      <c r="AXT18" s="51"/>
      <c r="AXU18" s="51"/>
      <c r="AXV18" s="51"/>
      <c r="AXW18" s="51"/>
      <c r="AXX18" s="51"/>
      <c r="AXY18" s="51"/>
      <c r="AXZ18" s="51"/>
      <c r="AYA18" s="51"/>
      <c r="AYB18" s="51"/>
      <c r="AYC18" s="51"/>
      <c r="AYD18" s="51"/>
      <c r="AYE18" s="51"/>
      <c r="AYF18" s="51"/>
      <c r="AYG18" s="51"/>
      <c r="AYH18" s="51"/>
      <c r="AYI18" s="51"/>
      <c r="AYJ18" s="51"/>
      <c r="AYK18" s="51"/>
      <c r="AYL18" s="51"/>
      <c r="AYM18" s="51"/>
      <c r="AYN18" s="51"/>
      <c r="AYO18" s="51"/>
      <c r="AYP18" s="51"/>
      <c r="AYQ18" s="51"/>
      <c r="AYR18" s="51"/>
      <c r="AYS18" s="51"/>
      <c r="AYT18" s="51"/>
      <c r="AYU18" s="51"/>
      <c r="AYV18" s="51"/>
      <c r="AYW18" s="51"/>
      <c r="AYX18" s="51"/>
      <c r="AYY18" s="51"/>
      <c r="AYZ18" s="51"/>
      <c r="AZA18" s="51"/>
      <c r="AZB18" s="51"/>
      <c r="AZC18" s="51"/>
      <c r="AZD18" s="51"/>
      <c r="AZE18" s="51"/>
      <c r="AZF18" s="51"/>
      <c r="AZG18" s="51"/>
      <c r="AZH18" s="51"/>
      <c r="AZI18" s="51"/>
      <c r="AZJ18" s="51"/>
      <c r="AZK18" s="51"/>
      <c r="AZL18" s="51"/>
      <c r="AZM18" s="51"/>
      <c r="AZN18" s="51"/>
      <c r="AZO18" s="51"/>
      <c r="AZP18" s="51"/>
      <c r="AZQ18" s="51"/>
      <c r="AZR18" s="51"/>
      <c r="AZS18" s="51"/>
      <c r="AZT18" s="51"/>
      <c r="AZU18" s="51"/>
      <c r="AZV18" s="51"/>
      <c r="AZW18" s="51"/>
      <c r="AZX18" s="51"/>
      <c r="AZY18" s="51"/>
      <c r="AZZ18" s="51"/>
      <c r="BAA18" s="51"/>
      <c r="BAB18" s="51"/>
      <c r="BAC18" s="51"/>
      <c r="BAD18" s="51"/>
      <c r="BAE18" s="51"/>
      <c r="BAF18" s="51"/>
      <c r="BAG18" s="51"/>
      <c r="BAH18" s="51"/>
      <c r="BAI18" s="51"/>
      <c r="BAJ18" s="51"/>
      <c r="BAK18" s="51"/>
      <c r="BAL18" s="51"/>
      <c r="BAM18" s="51"/>
      <c r="BAN18" s="51"/>
      <c r="BAO18" s="51"/>
      <c r="BAP18" s="51"/>
      <c r="BAQ18" s="51"/>
      <c r="BAR18" s="51"/>
      <c r="BAS18" s="51"/>
      <c r="BAT18" s="51"/>
      <c r="BAU18" s="51"/>
      <c r="BAV18" s="51"/>
      <c r="BAW18" s="51"/>
      <c r="BAX18" s="51"/>
      <c r="BAY18" s="51"/>
      <c r="BAZ18" s="51"/>
      <c r="BBA18" s="51"/>
      <c r="BBB18" s="51"/>
      <c r="BBC18" s="51"/>
      <c r="BBD18" s="51"/>
      <c r="BBE18" s="51"/>
      <c r="BBF18" s="51"/>
      <c r="BBG18" s="51"/>
      <c r="BBH18" s="51"/>
      <c r="BBI18" s="51"/>
      <c r="BBJ18" s="51"/>
      <c r="BBK18" s="51"/>
      <c r="BBL18" s="51"/>
      <c r="BBM18" s="51"/>
      <c r="BBN18" s="51"/>
      <c r="BBO18" s="51"/>
      <c r="BBP18" s="51"/>
      <c r="BBQ18" s="51"/>
      <c r="BBR18" s="51"/>
      <c r="BBS18" s="51"/>
      <c r="BBT18" s="51"/>
      <c r="BBU18" s="51"/>
      <c r="BBV18" s="51"/>
      <c r="BBW18" s="51"/>
      <c r="BBX18" s="51"/>
      <c r="BBY18" s="51"/>
      <c r="BBZ18" s="51"/>
      <c r="BCA18" s="51"/>
      <c r="BCB18" s="51"/>
      <c r="BCC18" s="51"/>
      <c r="BCD18" s="51"/>
      <c r="BCE18" s="51"/>
      <c r="BCF18" s="51"/>
      <c r="BCG18" s="51"/>
      <c r="BCH18" s="51"/>
      <c r="BCI18" s="51"/>
      <c r="BCJ18" s="51"/>
      <c r="BCK18" s="51"/>
      <c r="BCL18" s="51"/>
      <c r="BCM18" s="51"/>
      <c r="BCN18" s="51"/>
      <c r="BCO18" s="51"/>
      <c r="BCP18" s="51"/>
      <c r="BCQ18" s="51"/>
      <c r="BCR18" s="51"/>
      <c r="BCS18" s="51"/>
      <c r="BCT18" s="51"/>
      <c r="BCU18" s="51"/>
      <c r="BCV18" s="51"/>
      <c r="BCW18" s="51"/>
      <c r="BCX18" s="51"/>
      <c r="BCY18" s="51"/>
      <c r="BCZ18" s="51"/>
      <c r="BDA18" s="51"/>
      <c r="BDB18" s="51"/>
      <c r="BDC18" s="51"/>
      <c r="BDD18" s="51"/>
      <c r="BDE18" s="51"/>
      <c r="BDF18" s="51"/>
      <c r="BDG18" s="51"/>
      <c r="BDH18" s="51"/>
      <c r="BDI18" s="51"/>
      <c r="BDJ18" s="51"/>
      <c r="BDK18" s="51"/>
      <c r="BDL18" s="51"/>
      <c r="BDM18" s="51"/>
      <c r="BDN18" s="51"/>
      <c r="BDO18" s="51"/>
      <c r="BDP18" s="51"/>
      <c r="BDQ18" s="51"/>
      <c r="BDR18" s="51"/>
      <c r="BDS18" s="51"/>
      <c r="BDT18" s="51"/>
      <c r="BDU18" s="51"/>
      <c r="BDV18" s="51"/>
      <c r="BDW18" s="51"/>
      <c r="BDX18" s="51"/>
      <c r="BDY18" s="51"/>
      <c r="BDZ18" s="51"/>
      <c r="BEA18" s="51"/>
      <c r="BEB18" s="51"/>
      <c r="BEC18" s="51"/>
      <c r="BED18" s="51"/>
      <c r="BEE18" s="51"/>
      <c r="BEF18" s="51"/>
      <c r="BEG18" s="51"/>
      <c r="BEH18" s="51"/>
      <c r="BEI18" s="51"/>
      <c r="BEJ18" s="51"/>
      <c r="BEK18" s="51"/>
      <c r="BEL18" s="51"/>
      <c r="BEM18" s="51"/>
      <c r="BEN18" s="51"/>
      <c r="BEO18" s="51"/>
      <c r="BEP18" s="51"/>
      <c r="BEQ18" s="51"/>
      <c r="BER18" s="51"/>
      <c r="BES18" s="51"/>
      <c r="BET18" s="51"/>
      <c r="BEU18" s="51"/>
      <c r="BEV18" s="51"/>
      <c r="BEW18" s="51"/>
      <c r="BEX18" s="51"/>
      <c r="BEY18" s="51"/>
      <c r="BEZ18" s="51"/>
      <c r="BFA18" s="51"/>
      <c r="BFB18" s="51"/>
      <c r="BFC18" s="51"/>
      <c r="BFD18" s="51"/>
      <c r="BFE18" s="51"/>
      <c r="BFF18" s="51"/>
      <c r="BFG18" s="51"/>
      <c r="BFH18" s="51"/>
      <c r="BFI18" s="51"/>
      <c r="BFJ18" s="51"/>
      <c r="BFK18" s="51"/>
      <c r="BFL18" s="51"/>
      <c r="BFM18" s="51"/>
      <c r="BFN18" s="51"/>
      <c r="BFO18" s="51"/>
      <c r="BFP18" s="51"/>
      <c r="BFQ18" s="51"/>
      <c r="BFR18" s="51"/>
      <c r="BFS18" s="51"/>
      <c r="BFT18" s="51"/>
      <c r="BFU18" s="51"/>
      <c r="BFV18" s="51"/>
      <c r="BFW18" s="51"/>
      <c r="BFX18" s="51"/>
      <c r="BFY18" s="51"/>
      <c r="BFZ18" s="51"/>
      <c r="BGA18" s="51"/>
      <c r="BGB18" s="51"/>
      <c r="BGC18" s="51"/>
      <c r="BGD18" s="51"/>
      <c r="BGE18" s="51"/>
      <c r="BGF18" s="51"/>
      <c r="BGG18" s="51"/>
      <c r="BGH18" s="51"/>
      <c r="BGI18" s="51"/>
      <c r="BGJ18" s="51"/>
      <c r="BGK18" s="51"/>
      <c r="BGL18" s="51"/>
      <c r="BGM18" s="51"/>
      <c r="BGN18" s="51"/>
      <c r="BGO18" s="51"/>
      <c r="BGP18" s="51"/>
      <c r="BGQ18" s="51"/>
      <c r="BGR18" s="51"/>
      <c r="BGS18" s="51"/>
      <c r="BGT18" s="51"/>
      <c r="BGU18" s="51"/>
      <c r="BGV18" s="51"/>
      <c r="BGW18" s="51"/>
      <c r="BGX18" s="51"/>
      <c r="BGY18" s="51"/>
      <c r="BGZ18" s="51"/>
      <c r="BHA18" s="51"/>
      <c r="BHB18" s="51"/>
      <c r="BHC18" s="51"/>
      <c r="BHD18" s="51"/>
      <c r="BHE18" s="51"/>
      <c r="BHF18" s="51"/>
      <c r="BHG18" s="51"/>
      <c r="BHH18" s="51"/>
      <c r="BHI18" s="51"/>
      <c r="BHJ18" s="51"/>
      <c r="BHK18" s="51"/>
      <c r="BHL18" s="51"/>
      <c r="BHM18" s="51"/>
      <c r="BHN18" s="51"/>
      <c r="BHO18" s="51"/>
      <c r="BHP18" s="51"/>
      <c r="BHQ18" s="51"/>
      <c r="BHR18" s="51"/>
      <c r="BHS18" s="51"/>
      <c r="BHT18" s="51"/>
      <c r="BHU18" s="51"/>
      <c r="BHV18" s="51"/>
      <c r="BHW18" s="51"/>
      <c r="BHX18" s="51"/>
      <c r="BHY18" s="51"/>
      <c r="BHZ18" s="51"/>
      <c r="BIA18" s="51"/>
      <c r="BIB18" s="51"/>
      <c r="BIC18" s="51"/>
      <c r="BID18" s="51"/>
      <c r="BIE18" s="51"/>
      <c r="BIF18" s="51"/>
      <c r="BIG18" s="51"/>
      <c r="BIH18" s="51"/>
      <c r="BII18" s="51"/>
      <c r="BIJ18" s="51"/>
      <c r="BIK18" s="51"/>
      <c r="BIL18" s="51"/>
      <c r="BIM18" s="51"/>
      <c r="BIN18" s="51"/>
      <c r="BIO18" s="51"/>
      <c r="BIP18" s="51"/>
      <c r="BIQ18" s="51"/>
      <c r="BIR18" s="51"/>
      <c r="BIS18" s="51"/>
      <c r="BIT18" s="51"/>
      <c r="BIU18" s="51"/>
      <c r="BIV18" s="51"/>
      <c r="BIW18" s="51"/>
      <c r="BIX18" s="51"/>
      <c r="BIY18" s="51"/>
      <c r="BIZ18" s="51"/>
      <c r="BJA18" s="51"/>
      <c r="BJB18" s="51"/>
      <c r="BJC18" s="51"/>
      <c r="BJD18" s="51"/>
      <c r="BJE18" s="51"/>
      <c r="BJF18" s="51"/>
      <c r="BJG18" s="51"/>
      <c r="BJH18" s="51"/>
      <c r="BJI18" s="51"/>
      <c r="BJJ18" s="51"/>
      <c r="BJK18" s="51"/>
      <c r="BJL18" s="51"/>
      <c r="BJM18" s="51"/>
      <c r="BJN18" s="51"/>
      <c r="BJO18" s="51"/>
      <c r="BJP18" s="51"/>
      <c r="BJQ18" s="51"/>
      <c r="BJR18" s="51"/>
      <c r="BJS18" s="51"/>
      <c r="BJT18" s="51"/>
      <c r="BJU18" s="51"/>
      <c r="BJV18" s="51"/>
      <c r="BJW18" s="51"/>
      <c r="BJX18" s="51"/>
      <c r="BJY18" s="51"/>
      <c r="BJZ18" s="51"/>
      <c r="BKA18" s="51"/>
      <c r="BKB18" s="51"/>
      <c r="BKC18" s="51"/>
      <c r="BKD18" s="51"/>
      <c r="BKE18" s="51"/>
      <c r="BKF18" s="51"/>
      <c r="BKG18" s="51"/>
      <c r="BKH18" s="51"/>
      <c r="BKI18" s="51"/>
      <c r="BKJ18" s="51"/>
      <c r="BKK18" s="51"/>
      <c r="BKL18" s="51"/>
      <c r="BKM18" s="51"/>
      <c r="BKN18" s="51"/>
      <c r="BKO18" s="51"/>
      <c r="BKP18" s="51"/>
      <c r="BKQ18" s="51"/>
      <c r="BKR18" s="51"/>
      <c r="BKS18" s="51"/>
      <c r="BKT18" s="51"/>
      <c r="BKU18" s="51"/>
      <c r="BKV18" s="51"/>
      <c r="BKW18" s="51"/>
      <c r="BKX18" s="51"/>
      <c r="BKY18" s="51"/>
      <c r="BKZ18" s="51"/>
      <c r="BLA18" s="51"/>
      <c r="BLB18" s="51"/>
      <c r="BLC18" s="51"/>
      <c r="BLD18" s="51"/>
      <c r="BLE18" s="51"/>
      <c r="BLF18" s="51"/>
      <c r="BLG18" s="51"/>
      <c r="BLH18" s="51"/>
      <c r="BLI18" s="51"/>
      <c r="BLJ18" s="51"/>
      <c r="BLK18" s="51"/>
      <c r="BLL18" s="51"/>
      <c r="BLM18" s="51"/>
      <c r="BLN18" s="51"/>
      <c r="BLO18" s="51"/>
      <c r="BLP18" s="51"/>
      <c r="BLQ18" s="51"/>
      <c r="BLR18" s="51"/>
      <c r="BLS18" s="51"/>
      <c r="BLT18" s="51"/>
      <c r="BLU18" s="51"/>
      <c r="BLV18" s="51"/>
      <c r="BLW18" s="51"/>
      <c r="BLX18" s="51"/>
      <c r="BLY18" s="51"/>
      <c r="BLZ18" s="51"/>
      <c r="BMA18" s="51"/>
      <c r="BMB18" s="51"/>
      <c r="BMC18" s="51"/>
      <c r="BMD18" s="51"/>
      <c r="BME18" s="51"/>
      <c r="BMF18" s="51"/>
      <c r="BMG18" s="51"/>
      <c r="BMH18" s="51"/>
      <c r="BMI18" s="51"/>
      <c r="BMJ18" s="51"/>
      <c r="BMK18" s="51"/>
      <c r="BML18" s="51"/>
      <c r="BMM18" s="51"/>
      <c r="BMN18" s="51"/>
      <c r="BMO18" s="51"/>
      <c r="BMP18" s="51"/>
      <c r="BMQ18" s="51"/>
      <c r="BMR18" s="51"/>
      <c r="BMS18" s="51"/>
      <c r="BMT18" s="51"/>
      <c r="BMU18" s="51"/>
      <c r="BMV18" s="51"/>
      <c r="BMW18" s="51"/>
      <c r="BMX18" s="51"/>
      <c r="BMY18" s="51"/>
      <c r="BMZ18" s="51"/>
      <c r="BNA18" s="51"/>
      <c r="BNB18" s="51"/>
      <c r="BNC18" s="51"/>
      <c r="BND18" s="51"/>
      <c r="BNE18" s="51"/>
      <c r="BNF18" s="51"/>
      <c r="BNG18" s="51"/>
      <c r="BNH18" s="51"/>
      <c r="BNI18" s="51"/>
      <c r="BNJ18" s="51"/>
      <c r="BNK18" s="51"/>
      <c r="BNL18" s="51"/>
      <c r="BNM18" s="51"/>
      <c r="BNN18" s="51"/>
      <c r="BNO18" s="51"/>
      <c r="BNP18" s="51"/>
      <c r="BNQ18" s="51"/>
      <c r="BNR18" s="51"/>
      <c r="BNS18" s="51"/>
      <c r="BNT18" s="51"/>
      <c r="BNU18" s="51"/>
      <c r="BNV18" s="51"/>
      <c r="BNW18" s="51"/>
      <c r="BNX18" s="51"/>
      <c r="BNY18" s="51"/>
      <c r="BNZ18" s="51"/>
      <c r="BOA18" s="51"/>
      <c r="BOB18" s="51"/>
      <c r="BOC18" s="51"/>
      <c r="BOD18" s="51"/>
      <c r="BOE18" s="51"/>
      <c r="BOF18" s="51"/>
      <c r="BOG18" s="51"/>
      <c r="BOH18" s="51"/>
      <c r="BOI18" s="51"/>
      <c r="BOJ18" s="51"/>
      <c r="BOK18" s="51"/>
      <c r="BOL18" s="51"/>
      <c r="BOM18" s="51"/>
      <c r="BON18" s="51"/>
      <c r="BOO18" s="51"/>
      <c r="BOP18" s="51"/>
      <c r="BOQ18" s="51"/>
      <c r="BOR18" s="51"/>
      <c r="BOS18" s="51"/>
      <c r="BOT18" s="51"/>
      <c r="BOU18" s="51"/>
      <c r="BOV18" s="51"/>
      <c r="BOW18" s="51"/>
      <c r="BOX18" s="51"/>
      <c r="BOY18" s="51"/>
      <c r="BOZ18" s="51"/>
      <c r="BPA18" s="51"/>
      <c r="BPB18" s="51"/>
      <c r="BPC18" s="51"/>
      <c r="BPD18" s="51"/>
      <c r="BPE18" s="51"/>
      <c r="BPF18" s="51"/>
      <c r="BPG18" s="51"/>
      <c r="BPH18" s="51"/>
      <c r="BPI18" s="51"/>
      <c r="BPJ18" s="51"/>
      <c r="BPK18" s="51"/>
      <c r="BPL18" s="51"/>
      <c r="BPM18" s="51"/>
      <c r="BPN18" s="51"/>
      <c r="BPO18" s="51"/>
      <c r="BPP18" s="51"/>
      <c r="BPQ18" s="51"/>
      <c r="BPR18" s="51"/>
      <c r="BPS18" s="51"/>
      <c r="BPT18" s="51"/>
      <c r="BPU18" s="51"/>
      <c r="BPV18" s="51"/>
      <c r="BPW18" s="51"/>
      <c r="BPX18" s="51"/>
      <c r="BPY18" s="51"/>
      <c r="BPZ18" s="51"/>
      <c r="BQA18" s="51"/>
      <c r="BQB18" s="51"/>
      <c r="BQC18" s="51"/>
      <c r="BQD18" s="51"/>
      <c r="BQE18" s="51"/>
      <c r="BQF18" s="51"/>
      <c r="BQG18" s="51"/>
      <c r="BQH18" s="51"/>
      <c r="BQI18" s="51"/>
      <c r="BQJ18" s="51"/>
      <c r="BQK18" s="51"/>
      <c r="BQL18" s="51"/>
      <c r="BQM18" s="51"/>
      <c r="BQN18" s="51"/>
      <c r="BQO18" s="51"/>
      <c r="BQP18" s="51"/>
      <c r="BQQ18" s="51"/>
      <c r="BQR18" s="51"/>
      <c r="BQS18" s="51"/>
      <c r="BQT18" s="51"/>
      <c r="BQU18" s="51"/>
      <c r="BQV18" s="51"/>
      <c r="BQW18" s="51"/>
      <c r="BQX18" s="51"/>
      <c r="BQY18" s="51"/>
      <c r="BQZ18" s="51"/>
      <c r="BRA18" s="51"/>
      <c r="BRB18" s="51"/>
      <c r="BRC18" s="51"/>
      <c r="BRD18" s="51"/>
      <c r="BRE18" s="51"/>
      <c r="BRF18" s="51"/>
      <c r="BRG18" s="51"/>
      <c r="BRH18" s="51"/>
      <c r="BRI18" s="51"/>
      <c r="BRJ18" s="51"/>
      <c r="BRK18" s="51"/>
      <c r="BRL18" s="51"/>
      <c r="BRM18" s="51"/>
      <c r="BRN18" s="51"/>
      <c r="BRO18" s="51"/>
      <c r="BRP18" s="51"/>
      <c r="BRQ18" s="51"/>
      <c r="BRR18" s="51"/>
      <c r="BRS18" s="51"/>
      <c r="BRT18" s="51"/>
      <c r="BRU18" s="51"/>
      <c r="BRV18" s="51"/>
      <c r="BRW18" s="51"/>
      <c r="BRX18" s="51"/>
      <c r="BRY18" s="51"/>
      <c r="BRZ18" s="51"/>
      <c r="BSA18" s="51"/>
      <c r="BSB18" s="51"/>
      <c r="BSC18" s="51"/>
      <c r="BSD18" s="51"/>
      <c r="BSE18" s="51"/>
      <c r="BSF18" s="51"/>
      <c r="BSG18" s="51"/>
      <c r="BSH18" s="51"/>
      <c r="BSI18" s="51"/>
      <c r="BSJ18" s="51"/>
      <c r="BSK18" s="51"/>
      <c r="BSL18" s="51"/>
      <c r="BSM18" s="51"/>
      <c r="BSN18" s="51"/>
      <c r="BSO18" s="51"/>
      <c r="BSP18" s="51"/>
      <c r="BSQ18" s="51"/>
      <c r="BSR18" s="51"/>
      <c r="BSS18" s="51"/>
      <c r="BST18" s="51"/>
      <c r="BSU18" s="51"/>
      <c r="BSV18" s="51"/>
      <c r="BSW18" s="51"/>
      <c r="BSX18" s="51"/>
      <c r="BSY18" s="51"/>
      <c r="BSZ18" s="51"/>
      <c r="BTA18" s="51"/>
      <c r="BTB18" s="51"/>
      <c r="BTC18" s="51"/>
      <c r="BTD18" s="51"/>
      <c r="BTE18" s="51"/>
      <c r="BTF18" s="51"/>
      <c r="BTG18" s="51"/>
      <c r="BTH18" s="51"/>
      <c r="BTI18" s="51"/>
      <c r="BTJ18" s="51"/>
      <c r="BTK18" s="51"/>
      <c r="BTL18" s="51"/>
      <c r="BTM18" s="51"/>
      <c r="BTN18" s="51"/>
      <c r="BTO18" s="51"/>
      <c r="BTP18" s="51"/>
      <c r="BTQ18" s="51"/>
      <c r="BTR18" s="51"/>
      <c r="BTS18" s="51"/>
      <c r="BTT18" s="51"/>
      <c r="BTU18" s="51"/>
      <c r="BTV18" s="51"/>
      <c r="BTW18" s="51"/>
      <c r="BTX18" s="51"/>
      <c r="BTY18" s="51"/>
      <c r="BTZ18" s="51"/>
      <c r="BUA18" s="51"/>
      <c r="BUB18" s="51"/>
      <c r="BUC18" s="51"/>
      <c r="BUD18" s="51"/>
      <c r="BUE18" s="51"/>
      <c r="BUF18" s="51"/>
      <c r="BUG18" s="51"/>
      <c r="BUH18" s="51"/>
      <c r="BUI18" s="51"/>
      <c r="BUJ18" s="51"/>
      <c r="BUK18" s="51"/>
      <c r="BUL18" s="51"/>
      <c r="BUM18" s="51"/>
      <c r="BUN18" s="51"/>
      <c r="BUO18" s="51"/>
      <c r="BUP18" s="51"/>
      <c r="BUQ18" s="51"/>
      <c r="BUR18" s="51"/>
      <c r="BUS18" s="51"/>
      <c r="BUT18" s="51"/>
      <c r="BUU18" s="51"/>
      <c r="BUV18" s="51"/>
      <c r="BUW18" s="51"/>
      <c r="BUX18" s="51"/>
      <c r="BUY18" s="51"/>
      <c r="BUZ18" s="51"/>
      <c r="BVA18" s="51"/>
      <c r="BVB18" s="51"/>
      <c r="BVC18" s="51"/>
      <c r="BVD18" s="51"/>
      <c r="BVE18" s="51"/>
      <c r="BVF18" s="51"/>
      <c r="BVG18" s="51"/>
      <c r="BVH18" s="51"/>
      <c r="BVI18" s="51"/>
      <c r="BVJ18" s="51"/>
      <c r="BVK18" s="51"/>
      <c r="BVL18" s="51"/>
      <c r="BVM18" s="51"/>
      <c r="BVN18" s="51"/>
      <c r="BVO18" s="51"/>
      <c r="BVP18" s="51"/>
      <c r="BVQ18" s="51"/>
      <c r="BVR18" s="51"/>
      <c r="BVS18" s="51"/>
      <c r="BVT18" s="51"/>
      <c r="BVU18" s="51"/>
      <c r="BVV18" s="51"/>
      <c r="BVW18" s="51"/>
      <c r="BVX18" s="51"/>
      <c r="BVY18" s="51"/>
      <c r="BVZ18" s="51"/>
      <c r="BWA18" s="51"/>
      <c r="BWB18" s="51"/>
      <c r="BWC18" s="51"/>
      <c r="BWD18" s="51"/>
      <c r="BWE18" s="51"/>
      <c r="BWF18" s="51"/>
      <c r="BWG18" s="51"/>
      <c r="BWH18" s="51"/>
      <c r="BWI18" s="51"/>
      <c r="BWJ18" s="51"/>
      <c r="BWK18" s="51"/>
      <c r="BWL18" s="51"/>
      <c r="BWM18" s="51"/>
      <c r="BWN18" s="51"/>
      <c r="BWO18" s="51"/>
      <c r="BWP18" s="51"/>
      <c r="BWQ18" s="51"/>
      <c r="BWR18" s="51"/>
      <c r="BWS18" s="51"/>
      <c r="BWT18" s="51"/>
      <c r="BWU18" s="51"/>
      <c r="BWV18" s="51"/>
      <c r="BWW18" s="51"/>
      <c r="BWX18" s="51"/>
      <c r="BWY18" s="51"/>
      <c r="BWZ18" s="51"/>
      <c r="BXA18" s="51"/>
      <c r="BXB18" s="51"/>
      <c r="BXC18" s="51"/>
      <c r="BXD18" s="51"/>
      <c r="BXE18" s="51"/>
      <c r="BXF18" s="51"/>
      <c r="BXG18" s="51"/>
      <c r="BXH18" s="51"/>
      <c r="BXI18" s="51"/>
      <c r="BXJ18" s="51"/>
      <c r="BXK18" s="51"/>
      <c r="BXL18" s="51"/>
      <c r="BXM18" s="51"/>
      <c r="BXN18" s="51"/>
      <c r="BXO18" s="51"/>
      <c r="BXP18" s="51"/>
      <c r="BXQ18" s="51"/>
      <c r="BXR18" s="51"/>
      <c r="BXS18" s="51"/>
      <c r="BXT18" s="51"/>
      <c r="BXU18" s="51"/>
      <c r="BXV18" s="51"/>
      <c r="BXW18" s="51"/>
      <c r="BXX18" s="51"/>
      <c r="BXY18" s="51"/>
      <c r="BXZ18" s="51"/>
      <c r="BYA18" s="51"/>
      <c r="BYB18" s="51"/>
      <c r="BYC18" s="51"/>
      <c r="BYD18" s="51"/>
      <c r="BYE18" s="51"/>
      <c r="BYF18" s="51"/>
      <c r="BYG18" s="51"/>
      <c r="BYH18" s="51"/>
      <c r="BYI18" s="51"/>
      <c r="BYJ18" s="51"/>
      <c r="BYK18" s="51"/>
      <c r="BYL18" s="51"/>
      <c r="BYM18" s="51"/>
      <c r="BYN18" s="51"/>
      <c r="BYO18" s="51"/>
      <c r="BYP18" s="51"/>
      <c r="BYQ18" s="51"/>
      <c r="BYR18" s="51"/>
      <c r="BYS18" s="51"/>
      <c r="BYT18" s="51"/>
      <c r="BYU18" s="51"/>
      <c r="BYV18" s="51"/>
      <c r="BYW18" s="51"/>
      <c r="BYX18" s="51"/>
      <c r="BYY18" s="51"/>
      <c r="BYZ18" s="51"/>
      <c r="BZA18" s="51"/>
      <c r="BZB18" s="51"/>
      <c r="BZC18" s="51"/>
      <c r="BZD18" s="51"/>
      <c r="BZE18" s="51"/>
      <c r="BZF18" s="51"/>
      <c r="BZG18" s="51"/>
      <c r="BZH18" s="51"/>
      <c r="BZI18" s="51"/>
      <c r="BZJ18" s="51"/>
      <c r="BZK18" s="51"/>
      <c r="BZL18" s="51"/>
      <c r="BZM18" s="51"/>
      <c r="BZN18" s="51"/>
      <c r="BZO18" s="51"/>
      <c r="BZP18" s="51"/>
      <c r="BZQ18" s="51"/>
      <c r="BZR18" s="51"/>
      <c r="BZS18" s="51"/>
      <c r="BZT18" s="51"/>
      <c r="BZU18" s="51"/>
      <c r="BZV18" s="51"/>
      <c r="BZW18" s="51"/>
      <c r="BZX18" s="51"/>
      <c r="BZY18" s="51"/>
      <c r="BZZ18" s="51"/>
      <c r="CAA18" s="51"/>
      <c r="CAB18" s="51"/>
      <c r="CAC18" s="51"/>
      <c r="CAD18" s="51"/>
      <c r="CAE18" s="51"/>
      <c r="CAF18" s="51"/>
      <c r="CAG18" s="51"/>
      <c r="CAH18" s="51"/>
      <c r="CAI18" s="51"/>
      <c r="CAJ18" s="51"/>
      <c r="CAK18" s="51"/>
      <c r="CAL18" s="51"/>
      <c r="CAM18" s="51"/>
      <c r="CAN18" s="51"/>
      <c r="CAO18" s="51"/>
      <c r="CAP18" s="51"/>
      <c r="CAQ18" s="51"/>
      <c r="CAR18" s="51"/>
      <c r="CAS18" s="51"/>
      <c r="CAT18" s="51"/>
      <c r="CAU18" s="51"/>
      <c r="CAV18" s="51"/>
      <c r="CAW18" s="51"/>
      <c r="CAX18" s="51"/>
      <c r="CAY18" s="51"/>
      <c r="CAZ18" s="51"/>
      <c r="CBA18" s="51"/>
      <c r="CBB18" s="51"/>
      <c r="CBC18" s="51"/>
      <c r="CBD18" s="51"/>
      <c r="CBE18" s="51"/>
      <c r="CBF18" s="51"/>
      <c r="CBG18" s="51"/>
      <c r="CBH18" s="51"/>
      <c r="CBI18" s="51"/>
      <c r="CBJ18" s="51"/>
      <c r="CBK18" s="51"/>
      <c r="CBL18" s="51"/>
      <c r="CBM18" s="51"/>
      <c r="CBN18" s="51"/>
      <c r="CBO18" s="51"/>
      <c r="CBP18" s="51"/>
      <c r="CBQ18" s="51"/>
      <c r="CBR18" s="51"/>
      <c r="CBS18" s="51"/>
      <c r="CBT18" s="51"/>
      <c r="CBU18" s="51"/>
      <c r="CBV18" s="51"/>
      <c r="CBW18" s="51"/>
      <c r="CBX18" s="51"/>
      <c r="CBY18" s="51"/>
      <c r="CBZ18" s="51"/>
      <c r="CCA18" s="51"/>
      <c r="CCB18" s="51"/>
      <c r="CCC18" s="51"/>
      <c r="CCD18" s="51"/>
      <c r="CCE18" s="51"/>
      <c r="CCF18" s="51"/>
      <c r="CCG18" s="51"/>
      <c r="CCH18" s="51"/>
      <c r="CCI18" s="51"/>
      <c r="CCJ18" s="51"/>
      <c r="CCK18" s="51"/>
      <c r="CCL18" s="51"/>
      <c r="CCM18" s="51"/>
      <c r="CCN18" s="51"/>
      <c r="CCO18" s="51"/>
      <c r="CCP18" s="51"/>
      <c r="CCQ18" s="51"/>
      <c r="CCR18" s="51"/>
      <c r="CCS18" s="51"/>
      <c r="CCT18" s="51"/>
      <c r="CCU18" s="51"/>
      <c r="CCV18" s="51"/>
      <c r="CCW18" s="51"/>
      <c r="CCX18" s="51"/>
      <c r="CCY18" s="51"/>
      <c r="CCZ18" s="51"/>
      <c r="CDA18" s="51"/>
      <c r="CDB18" s="51"/>
      <c r="CDC18" s="51"/>
      <c r="CDD18" s="51"/>
      <c r="CDE18" s="51"/>
      <c r="CDF18" s="51"/>
      <c r="CDG18" s="51"/>
      <c r="CDH18" s="51"/>
      <c r="CDI18" s="51"/>
      <c r="CDJ18" s="51"/>
      <c r="CDK18" s="51"/>
      <c r="CDL18" s="51"/>
      <c r="CDM18" s="51"/>
      <c r="CDN18" s="51"/>
      <c r="CDO18" s="51"/>
      <c r="CDP18" s="51"/>
      <c r="CDQ18" s="51"/>
      <c r="CDR18" s="51"/>
      <c r="CDS18" s="51"/>
      <c r="CDT18" s="51"/>
      <c r="CDU18" s="51"/>
      <c r="CDV18" s="51"/>
      <c r="CDW18" s="51"/>
      <c r="CDX18" s="51"/>
      <c r="CDY18" s="51"/>
      <c r="CDZ18" s="51"/>
      <c r="CEA18" s="51"/>
      <c r="CEB18" s="51"/>
      <c r="CEC18" s="51"/>
      <c r="CED18" s="51"/>
      <c r="CEE18" s="51"/>
      <c r="CEF18" s="51"/>
      <c r="CEG18" s="51"/>
      <c r="CEH18" s="51"/>
      <c r="CEI18" s="51"/>
      <c r="CEJ18" s="51"/>
      <c r="CEK18" s="51"/>
      <c r="CEL18" s="51"/>
      <c r="CEM18" s="51"/>
      <c r="CEN18" s="51"/>
      <c r="CEO18" s="51"/>
      <c r="CEP18" s="51"/>
      <c r="CEQ18" s="51"/>
      <c r="CER18" s="51"/>
      <c r="CES18" s="51"/>
      <c r="CET18" s="51"/>
      <c r="CEU18" s="51"/>
      <c r="CEV18" s="51"/>
      <c r="CEW18" s="51"/>
      <c r="CEX18" s="51"/>
      <c r="CEY18" s="51"/>
      <c r="CEZ18" s="51"/>
      <c r="CFA18" s="51"/>
      <c r="CFB18" s="51"/>
      <c r="CFC18" s="51"/>
      <c r="CFD18" s="51"/>
      <c r="CFE18" s="51"/>
      <c r="CFF18" s="51"/>
      <c r="CFG18" s="51"/>
      <c r="CFH18" s="51"/>
      <c r="CFI18" s="51"/>
      <c r="CFJ18" s="51"/>
      <c r="CFK18" s="51"/>
      <c r="CFL18" s="51"/>
      <c r="CFM18" s="51"/>
      <c r="CFN18" s="51"/>
      <c r="CFO18" s="51"/>
      <c r="CFP18" s="51"/>
      <c r="CFQ18" s="51"/>
      <c r="CFR18" s="51"/>
      <c r="CFS18" s="51"/>
      <c r="CFT18" s="51"/>
      <c r="CFU18" s="51"/>
      <c r="CFV18" s="51"/>
      <c r="CFW18" s="51"/>
      <c r="CFX18" s="51"/>
      <c r="CFY18" s="51"/>
      <c r="CFZ18" s="51"/>
      <c r="CGA18" s="51"/>
      <c r="CGB18" s="51"/>
      <c r="CGC18" s="51"/>
      <c r="CGD18" s="51"/>
      <c r="CGE18" s="51"/>
      <c r="CGF18" s="51"/>
      <c r="CGG18" s="51"/>
      <c r="CGH18" s="51"/>
      <c r="CGI18" s="51"/>
      <c r="CGJ18" s="51"/>
      <c r="CGK18" s="51"/>
      <c r="CGL18" s="51"/>
      <c r="CGM18" s="51"/>
      <c r="CGN18" s="51"/>
      <c r="CGO18" s="51"/>
      <c r="CGP18" s="51"/>
      <c r="CGQ18" s="51"/>
      <c r="CGR18" s="51"/>
      <c r="CGS18" s="51"/>
      <c r="CGT18" s="51"/>
      <c r="CGU18" s="51"/>
      <c r="CGV18" s="51"/>
      <c r="CGW18" s="51"/>
      <c r="CGX18" s="51"/>
      <c r="CGY18" s="51"/>
      <c r="CGZ18" s="51"/>
      <c r="CHA18" s="51"/>
      <c r="CHB18" s="51"/>
      <c r="CHC18" s="51"/>
      <c r="CHD18" s="51"/>
      <c r="CHE18" s="51"/>
      <c r="CHF18" s="51"/>
      <c r="CHG18" s="51"/>
      <c r="CHH18" s="51"/>
      <c r="CHI18" s="51"/>
      <c r="CHJ18" s="51"/>
      <c r="CHK18" s="51"/>
      <c r="CHL18" s="51"/>
      <c r="CHM18" s="51"/>
      <c r="CHN18" s="51"/>
      <c r="CHO18" s="51"/>
      <c r="CHP18" s="51"/>
      <c r="CHQ18" s="51"/>
      <c r="CHR18" s="51"/>
      <c r="CHS18" s="51"/>
      <c r="CHT18" s="51"/>
      <c r="CHU18" s="51"/>
      <c r="CHV18" s="51"/>
      <c r="CHW18" s="51"/>
      <c r="CHX18" s="51"/>
      <c r="CHY18" s="51"/>
      <c r="CHZ18" s="51"/>
      <c r="CIA18" s="51"/>
      <c r="CIB18" s="51"/>
      <c r="CIC18" s="51"/>
      <c r="CID18" s="51"/>
      <c r="CIE18" s="51"/>
      <c r="CIF18" s="51"/>
      <c r="CIG18" s="51"/>
      <c r="CIH18" s="51"/>
      <c r="CII18" s="51"/>
      <c r="CIJ18" s="51"/>
      <c r="CIK18" s="51"/>
      <c r="CIL18" s="51"/>
      <c r="CIM18" s="51"/>
      <c r="CIN18" s="51"/>
      <c r="CIO18" s="51"/>
      <c r="CIP18" s="51"/>
      <c r="CIQ18" s="51"/>
      <c r="CIR18" s="51"/>
      <c r="CIS18" s="51"/>
      <c r="CIT18" s="51"/>
      <c r="CIU18" s="51"/>
      <c r="CIV18" s="51"/>
      <c r="CIW18" s="51"/>
      <c r="CIX18" s="51"/>
      <c r="CIY18" s="51"/>
      <c r="CIZ18" s="51"/>
      <c r="CJA18" s="51"/>
      <c r="CJB18" s="51"/>
      <c r="CJC18" s="51"/>
      <c r="CJD18" s="51"/>
      <c r="CJE18" s="51"/>
      <c r="CJF18" s="51"/>
      <c r="CJG18" s="51"/>
      <c r="CJH18" s="51"/>
      <c r="CJI18" s="51"/>
      <c r="CJJ18" s="51"/>
      <c r="CJK18" s="51"/>
      <c r="CJL18" s="51"/>
      <c r="CJM18" s="51"/>
      <c r="CJN18" s="51"/>
      <c r="CJO18" s="51"/>
      <c r="CJP18" s="51"/>
      <c r="CJQ18" s="51"/>
      <c r="CJR18" s="51"/>
      <c r="CJS18" s="51"/>
      <c r="CJT18" s="51"/>
      <c r="CJU18" s="51"/>
      <c r="CJV18" s="51"/>
      <c r="CJW18" s="51"/>
      <c r="CJX18" s="51"/>
      <c r="CJY18" s="51"/>
      <c r="CJZ18" s="51"/>
      <c r="CKA18" s="51"/>
      <c r="CKB18" s="51"/>
      <c r="CKC18" s="51"/>
      <c r="CKD18" s="51"/>
      <c r="CKE18" s="51"/>
      <c r="CKF18" s="51"/>
      <c r="CKG18" s="51"/>
      <c r="CKH18" s="51"/>
      <c r="CKI18" s="51"/>
      <c r="CKJ18" s="51"/>
      <c r="CKK18" s="51"/>
      <c r="CKL18" s="51"/>
      <c r="CKM18" s="51"/>
      <c r="CKN18" s="51"/>
      <c r="CKO18" s="51"/>
      <c r="CKP18" s="51"/>
      <c r="CKQ18" s="51"/>
      <c r="CKR18" s="51"/>
      <c r="CKS18" s="51"/>
      <c r="CKT18" s="51"/>
      <c r="CKU18" s="51"/>
      <c r="CKV18" s="51"/>
      <c r="CKW18" s="51"/>
      <c r="CKX18" s="51"/>
      <c r="CKY18" s="51"/>
      <c r="CKZ18" s="51"/>
      <c r="CLA18" s="51"/>
      <c r="CLB18" s="51"/>
      <c r="CLC18" s="51"/>
      <c r="CLD18" s="51"/>
      <c r="CLE18" s="51"/>
      <c r="CLF18" s="51"/>
      <c r="CLG18" s="51"/>
      <c r="CLH18" s="51"/>
      <c r="CLI18" s="51"/>
      <c r="CLJ18" s="51"/>
      <c r="CLK18" s="51"/>
      <c r="CLL18" s="51"/>
      <c r="CLM18" s="51"/>
      <c r="CLN18" s="51"/>
      <c r="CLO18" s="51"/>
      <c r="CLP18" s="51"/>
      <c r="CLQ18" s="51"/>
      <c r="CLR18" s="51"/>
      <c r="CLS18" s="51"/>
      <c r="CLT18" s="51"/>
      <c r="CLU18" s="51"/>
      <c r="CLV18" s="51"/>
      <c r="CLW18" s="51"/>
      <c r="CLX18" s="51"/>
      <c r="CLY18" s="51"/>
      <c r="CLZ18" s="51"/>
      <c r="CMA18" s="51"/>
      <c r="CMB18" s="51"/>
      <c r="CMC18" s="51"/>
      <c r="CMD18" s="51"/>
      <c r="CME18" s="51"/>
      <c r="CMF18" s="51"/>
      <c r="CMG18" s="51"/>
      <c r="CMH18" s="51"/>
      <c r="CMI18" s="51"/>
      <c r="CMJ18" s="51"/>
      <c r="CMK18" s="51"/>
      <c r="CML18" s="51"/>
      <c r="CMM18" s="51"/>
      <c r="CMN18" s="51"/>
      <c r="CMO18" s="51"/>
      <c r="CMP18" s="51"/>
      <c r="CMQ18" s="51"/>
      <c r="CMR18" s="51"/>
      <c r="CMS18" s="51"/>
      <c r="CMT18" s="51"/>
      <c r="CMU18" s="51"/>
      <c r="CMV18" s="51"/>
      <c r="CMW18" s="51"/>
      <c r="CMX18" s="51"/>
      <c r="CMY18" s="51"/>
      <c r="CMZ18" s="51"/>
      <c r="CNA18" s="51"/>
      <c r="CNB18" s="51"/>
      <c r="CNC18" s="51"/>
      <c r="CND18" s="51"/>
      <c r="CNE18" s="51"/>
      <c r="CNF18" s="51"/>
      <c r="CNG18" s="51"/>
      <c r="CNH18" s="51"/>
      <c r="CNI18" s="51"/>
      <c r="CNJ18" s="51"/>
      <c r="CNK18" s="51"/>
      <c r="CNL18" s="51"/>
      <c r="CNM18" s="51"/>
      <c r="CNN18" s="51"/>
      <c r="CNO18" s="51"/>
      <c r="CNP18" s="51"/>
      <c r="CNQ18" s="51"/>
      <c r="CNR18" s="51"/>
      <c r="CNS18" s="51"/>
      <c r="CNT18" s="51"/>
      <c r="CNU18" s="51"/>
      <c r="CNV18" s="51"/>
      <c r="CNW18" s="51"/>
      <c r="CNX18" s="51"/>
      <c r="CNY18" s="51"/>
      <c r="CNZ18" s="51"/>
      <c r="COA18" s="51"/>
      <c r="COB18" s="51"/>
      <c r="COC18" s="51"/>
      <c r="COD18" s="51"/>
      <c r="COE18" s="51"/>
      <c r="COF18" s="51"/>
      <c r="COG18" s="51"/>
      <c r="COH18" s="51"/>
      <c r="COI18" s="51"/>
      <c r="COJ18" s="51"/>
      <c r="COK18" s="51"/>
      <c r="COL18" s="51"/>
      <c r="COM18" s="51"/>
      <c r="CON18" s="51"/>
      <c r="COO18" s="51"/>
      <c r="COP18" s="51"/>
      <c r="COQ18" s="51"/>
      <c r="COR18" s="51"/>
      <c r="COS18" s="51"/>
      <c r="COT18" s="51"/>
      <c r="COU18" s="51"/>
      <c r="COV18" s="51"/>
      <c r="COW18" s="51"/>
      <c r="COX18" s="51"/>
      <c r="COY18" s="51"/>
      <c r="COZ18" s="51"/>
      <c r="CPA18" s="51"/>
      <c r="CPB18" s="51"/>
      <c r="CPC18" s="51"/>
      <c r="CPD18" s="51"/>
      <c r="CPE18" s="51"/>
      <c r="CPF18" s="51"/>
      <c r="CPG18" s="51"/>
      <c r="CPH18" s="51"/>
      <c r="CPI18" s="51"/>
      <c r="CPJ18" s="51"/>
      <c r="CPK18" s="51"/>
      <c r="CPL18" s="51"/>
      <c r="CPM18" s="51"/>
      <c r="CPN18" s="51"/>
      <c r="CPO18" s="51"/>
      <c r="CPP18" s="51"/>
      <c r="CPQ18" s="51"/>
      <c r="CPR18" s="51"/>
      <c r="CPS18" s="51"/>
      <c r="CPT18" s="51"/>
      <c r="CPU18" s="51"/>
      <c r="CPV18" s="51"/>
      <c r="CPW18" s="51"/>
      <c r="CPX18" s="51"/>
      <c r="CPY18" s="51"/>
      <c r="CPZ18" s="51"/>
      <c r="CQA18" s="51"/>
      <c r="CQB18" s="51"/>
      <c r="CQC18" s="51"/>
      <c r="CQD18" s="51"/>
      <c r="CQE18" s="51"/>
      <c r="CQF18" s="51"/>
      <c r="CQG18" s="51"/>
      <c r="CQH18" s="51"/>
      <c r="CQI18" s="51"/>
      <c r="CQJ18" s="51"/>
      <c r="CQK18" s="51"/>
      <c r="CQL18" s="51"/>
      <c r="CQM18" s="51"/>
      <c r="CQN18" s="51"/>
      <c r="CQO18" s="51"/>
      <c r="CQP18" s="51"/>
      <c r="CQQ18" s="51"/>
      <c r="CQR18" s="51"/>
      <c r="CQS18" s="51"/>
      <c r="CQT18" s="51"/>
      <c r="CQU18" s="51"/>
      <c r="CQV18" s="51"/>
      <c r="CQW18" s="51"/>
      <c r="CQX18" s="51"/>
      <c r="CQY18" s="51"/>
      <c r="CQZ18" s="51"/>
      <c r="CRA18" s="51"/>
      <c r="CRB18" s="51"/>
      <c r="CRC18" s="51"/>
      <c r="CRD18" s="51"/>
      <c r="CRE18" s="51"/>
      <c r="CRF18" s="51"/>
      <c r="CRG18" s="51"/>
      <c r="CRH18" s="51"/>
      <c r="CRI18" s="51"/>
      <c r="CRJ18" s="51"/>
      <c r="CRK18" s="51"/>
      <c r="CRL18" s="51"/>
      <c r="CRM18" s="51"/>
      <c r="CRN18" s="51"/>
      <c r="CRO18" s="51"/>
      <c r="CRP18" s="51"/>
      <c r="CRQ18" s="51"/>
      <c r="CRR18" s="51"/>
      <c r="CRS18" s="51"/>
      <c r="CRT18" s="51"/>
      <c r="CRU18" s="51"/>
      <c r="CRV18" s="51"/>
      <c r="CRW18" s="51"/>
      <c r="CRX18" s="51"/>
      <c r="CRY18" s="51"/>
      <c r="CRZ18" s="51"/>
      <c r="CSA18" s="51"/>
      <c r="CSB18" s="51"/>
      <c r="CSC18" s="51"/>
      <c r="CSD18" s="51"/>
      <c r="CSE18" s="51"/>
      <c r="CSF18" s="51"/>
      <c r="CSG18" s="51"/>
      <c r="CSH18" s="51"/>
      <c r="CSI18" s="51"/>
      <c r="CSJ18" s="51"/>
      <c r="CSK18" s="51"/>
      <c r="CSL18" s="51"/>
      <c r="CSM18" s="51"/>
      <c r="CSN18" s="51"/>
      <c r="CSO18" s="51"/>
      <c r="CSP18" s="51"/>
      <c r="CSQ18" s="51"/>
      <c r="CSR18" s="51"/>
      <c r="CSS18" s="51"/>
      <c r="CST18" s="51"/>
      <c r="CSU18" s="51"/>
      <c r="CSV18" s="51"/>
      <c r="CSW18" s="51"/>
      <c r="CSX18" s="51"/>
      <c r="CSY18" s="51"/>
      <c r="CSZ18" s="51"/>
      <c r="CTA18" s="51"/>
      <c r="CTB18" s="51"/>
      <c r="CTC18" s="51"/>
      <c r="CTD18" s="51"/>
      <c r="CTE18" s="51"/>
      <c r="CTF18" s="51"/>
      <c r="CTG18" s="51"/>
      <c r="CTH18" s="51"/>
      <c r="CTI18" s="51"/>
      <c r="CTJ18" s="51"/>
      <c r="CTK18" s="51"/>
      <c r="CTL18" s="51"/>
      <c r="CTM18" s="51"/>
      <c r="CTN18" s="51"/>
      <c r="CTO18" s="51"/>
      <c r="CTP18" s="51"/>
      <c r="CTQ18" s="51"/>
      <c r="CTR18" s="51"/>
      <c r="CTS18" s="51"/>
      <c r="CTT18" s="51"/>
      <c r="CTU18" s="51"/>
      <c r="CTV18" s="51"/>
      <c r="CTW18" s="51"/>
      <c r="CTX18" s="51"/>
      <c r="CTY18" s="51"/>
      <c r="CTZ18" s="51"/>
      <c r="CUA18" s="51"/>
      <c r="CUB18" s="51"/>
      <c r="CUC18" s="51"/>
      <c r="CUD18" s="51"/>
      <c r="CUE18" s="51"/>
      <c r="CUF18" s="51"/>
      <c r="CUG18" s="51"/>
      <c r="CUH18" s="51"/>
      <c r="CUI18" s="51"/>
      <c r="CUJ18" s="51"/>
      <c r="CUK18" s="51"/>
      <c r="CUL18" s="51"/>
      <c r="CUM18" s="51"/>
      <c r="CUN18" s="51"/>
      <c r="CUO18" s="51"/>
      <c r="CUP18" s="51"/>
      <c r="CUQ18" s="51"/>
      <c r="CUR18" s="51"/>
      <c r="CUS18" s="51"/>
      <c r="CUT18" s="51"/>
      <c r="CUU18" s="51"/>
      <c r="CUV18" s="51"/>
      <c r="CUW18" s="51"/>
      <c r="CUX18" s="51"/>
      <c r="CUY18" s="51"/>
      <c r="CUZ18" s="51"/>
      <c r="CVA18" s="51"/>
      <c r="CVB18" s="51"/>
      <c r="CVC18" s="51"/>
      <c r="CVD18" s="51"/>
      <c r="CVE18" s="51"/>
      <c r="CVF18" s="51"/>
      <c r="CVG18" s="51"/>
      <c r="CVH18" s="51"/>
      <c r="CVI18" s="51"/>
      <c r="CVJ18" s="51"/>
      <c r="CVK18" s="51"/>
      <c r="CVL18" s="51"/>
      <c r="CVM18" s="51"/>
      <c r="CVN18" s="51"/>
      <c r="CVO18" s="51"/>
      <c r="CVP18" s="51"/>
      <c r="CVQ18" s="51"/>
      <c r="CVR18" s="51"/>
      <c r="CVS18" s="51"/>
      <c r="CVT18" s="51"/>
      <c r="CVU18" s="51"/>
      <c r="CVV18" s="51"/>
      <c r="CVW18" s="51"/>
      <c r="CVX18" s="51"/>
      <c r="CVY18" s="51"/>
      <c r="CVZ18" s="51"/>
      <c r="CWA18" s="51"/>
      <c r="CWB18" s="51"/>
      <c r="CWC18" s="51"/>
      <c r="CWD18" s="51"/>
      <c r="CWE18" s="51"/>
      <c r="CWF18" s="51"/>
      <c r="CWG18" s="51"/>
      <c r="CWH18" s="51"/>
      <c r="CWI18" s="51"/>
      <c r="CWJ18" s="51"/>
      <c r="CWK18" s="51"/>
      <c r="CWL18" s="51"/>
      <c r="CWM18" s="51"/>
      <c r="CWN18" s="51"/>
      <c r="CWO18" s="51"/>
      <c r="CWP18" s="51"/>
      <c r="CWQ18" s="51"/>
      <c r="CWR18" s="51"/>
      <c r="CWS18" s="51"/>
      <c r="CWT18" s="51"/>
      <c r="CWU18" s="51"/>
      <c r="CWV18" s="51"/>
      <c r="CWW18" s="51"/>
      <c r="CWX18" s="51"/>
      <c r="CWY18" s="51"/>
      <c r="CWZ18" s="51"/>
      <c r="CXA18" s="51"/>
      <c r="CXB18" s="51"/>
      <c r="CXC18" s="51"/>
      <c r="CXD18" s="51"/>
      <c r="CXE18" s="51"/>
      <c r="CXF18" s="51"/>
      <c r="CXG18" s="51"/>
      <c r="CXH18" s="51"/>
      <c r="CXI18" s="51"/>
      <c r="CXJ18" s="51"/>
      <c r="CXK18" s="51"/>
      <c r="CXL18" s="51"/>
      <c r="CXM18" s="51"/>
      <c r="CXN18" s="51"/>
      <c r="CXO18" s="51"/>
      <c r="CXP18" s="51"/>
      <c r="CXQ18" s="51"/>
      <c r="CXR18" s="51"/>
      <c r="CXS18" s="51"/>
      <c r="CXT18" s="51"/>
      <c r="CXU18" s="51"/>
      <c r="CXV18" s="51"/>
      <c r="CXW18" s="51"/>
      <c r="CXX18" s="51"/>
      <c r="CXY18" s="51"/>
      <c r="CXZ18" s="51"/>
      <c r="CYA18" s="51"/>
      <c r="CYB18" s="51"/>
      <c r="CYC18" s="51"/>
      <c r="CYD18" s="51"/>
      <c r="CYE18" s="51"/>
      <c r="CYF18" s="51"/>
      <c r="CYG18" s="51"/>
      <c r="CYH18" s="51"/>
      <c r="CYI18" s="51"/>
      <c r="CYJ18" s="51"/>
      <c r="CYK18" s="51"/>
      <c r="CYL18" s="51"/>
      <c r="CYM18" s="51"/>
      <c r="CYN18" s="51"/>
      <c r="CYO18" s="51"/>
      <c r="CYP18" s="51"/>
      <c r="CYQ18" s="51"/>
      <c r="CYR18" s="51"/>
      <c r="CYS18" s="51"/>
      <c r="CYT18" s="51"/>
      <c r="CYU18" s="51"/>
      <c r="CYV18" s="51"/>
      <c r="CYW18" s="51"/>
      <c r="CYX18" s="51"/>
      <c r="CYY18" s="51"/>
      <c r="CYZ18" s="51"/>
      <c r="CZA18" s="51"/>
      <c r="CZB18" s="51"/>
      <c r="CZC18" s="51"/>
      <c r="CZD18" s="51"/>
      <c r="CZE18" s="51"/>
      <c r="CZF18" s="51"/>
      <c r="CZG18" s="51"/>
      <c r="CZH18" s="51"/>
      <c r="CZI18" s="51"/>
      <c r="CZJ18" s="51"/>
      <c r="CZK18" s="51"/>
      <c r="CZL18" s="51"/>
      <c r="CZM18" s="51"/>
      <c r="CZN18" s="51"/>
      <c r="CZO18" s="51"/>
      <c r="CZP18" s="51"/>
      <c r="CZQ18" s="51"/>
      <c r="CZR18" s="51"/>
      <c r="CZS18" s="51"/>
      <c r="CZT18" s="51"/>
      <c r="CZU18" s="51"/>
      <c r="CZV18" s="51"/>
      <c r="CZW18" s="51"/>
      <c r="CZX18" s="51"/>
      <c r="CZY18" s="51"/>
      <c r="CZZ18" s="51"/>
      <c r="DAA18" s="51"/>
      <c r="DAB18" s="51"/>
      <c r="DAC18" s="51"/>
      <c r="DAD18" s="51"/>
      <c r="DAE18" s="51"/>
      <c r="DAF18" s="51"/>
      <c r="DAG18" s="51"/>
      <c r="DAH18" s="51"/>
      <c r="DAI18" s="51"/>
      <c r="DAJ18" s="51"/>
      <c r="DAK18" s="51"/>
      <c r="DAL18" s="51"/>
      <c r="DAM18" s="51"/>
      <c r="DAN18" s="51"/>
      <c r="DAO18" s="51"/>
      <c r="DAP18" s="51"/>
      <c r="DAQ18" s="51"/>
      <c r="DAR18" s="51"/>
      <c r="DAS18" s="51"/>
      <c r="DAT18" s="51"/>
      <c r="DAU18" s="51"/>
      <c r="DAV18" s="51"/>
      <c r="DAW18" s="51"/>
      <c r="DAX18" s="51"/>
      <c r="DAY18" s="51"/>
      <c r="DAZ18" s="51"/>
      <c r="DBA18" s="51"/>
      <c r="DBB18" s="51"/>
      <c r="DBC18" s="51"/>
      <c r="DBD18" s="51"/>
      <c r="DBE18" s="51"/>
      <c r="DBF18" s="51"/>
      <c r="DBG18" s="51"/>
      <c r="DBH18" s="51"/>
      <c r="DBI18" s="51"/>
      <c r="DBJ18" s="51"/>
      <c r="DBK18" s="51"/>
      <c r="DBL18" s="51"/>
      <c r="DBM18" s="51"/>
      <c r="DBN18" s="51"/>
      <c r="DBO18" s="51"/>
      <c r="DBP18" s="51"/>
      <c r="DBQ18" s="51"/>
      <c r="DBR18" s="51"/>
      <c r="DBS18" s="51"/>
      <c r="DBT18" s="51"/>
      <c r="DBU18" s="51"/>
      <c r="DBV18" s="51"/>
      <c r="DBW18" s="51"/>
      <c r="DBX18" s="51"/>
      <c r="DBY18" s="51"/>
      <c r="DBZ18" s="51"/>
      <c r="DCA18" s="51"/>
      <c r="DCB18" s="51"/>
      <c r="DCC18" s="51"/>
      <c r="DCD18" s="51"/>
      <c r="DCE18" s="51"/>
      <c r="DCF18" s="51"/>
      <c r="DCG18" s="51"/>
      <c r="DCH18" s="51"/>
      <c r="DCI18" s="51"/>
      <c r="DCJ18" s="51"/>
      <c r="DCK18" s="51"/>
      <c r="DCL18" s="51"/>
      <c r="DCM18" s="51"/>
      <c r="DCN18" s="51"/>
      <c r="DCO18" s="51"/>
      <c r="DCP18" s="51"/>
      <c r="DCQ18" s="51"/>
      <c r="DCR18" s="51"/>
      <c r="DCS18" s="51"/>
      <c r="DCT18" s="51"/>
      <c r="DCU18" s="51"/>
      <c r="DCV18" s="51"/>
      <c r="DCW18" s="51"/>
      <c r="DCX18" s="51"/>
      <c r="DCY18" s="51"/>
      <c r="DCZ18" s="51"/>
      <c r="DDA18" s="51"/>
      <c r="DDB18" s="51"/>
      <c r="DDC18" s="51"/>
      <c r="DDD18" s="51"/>
      <c r="DDE18" s="51"/>
      <c r="DDF18" s="51"/>
      <c r="DDG18" s="51"/>
      <c r="DDH18" s="51"/>
      <c r="DDI18" s="51"/>
      <c r="DDJ18" s="51"/>
      <c r="DDK18" s="51"/>
      <c r="DDL18" s="51"/>
      <c r="DDM18" s="51"/>
      <c r="DDN18" s="51"/>
      <c r="DDO18" s="51"/>
      <c r="DDP18" s="51"/>
      <c r="DDQ18" s="51"/>
      <c r="DDR18" s="51"/>
      <c r="DDS18" s="51"/>
      <c r="DDT18" s="51"/>
      <c r="DDU18" s="51"/>
      <c r="DDV18" s="51"/>
      <c r="DDW18" s="51"/>
      <c r="DDX18" s="51"/>
      <c r="DDY18" s="51"/>
      <c r="DDZ18" s="51"/>
      <c r="DEA18" s="51"/>
      <c r="DEB18" s="51"/>
      <c r="DEC18" s="51"/>
      <c r="DED18" s="51"/>
      <c r="DEE18" s="51"/>
      <c r="DEF18" s="51"/>
      <c r="DEG18" s="51"/>
      <c r="DEH18" s="51"/>
      <c r="DEI18" s="51"/>
      <c r="DEJ18" s="51"/>
      <c r="DEK18" s="51"/>
      <c r="DEL18" s="51"/>
      <c r="DEM18" s="51"/>
      <c r="DEN18" s="51"/>
      <c r="DEO18" s="51"/>
      <c r="DEP18" s="51"/>
      <c r="DEQ18" s="51"/>
      <c r="DER18" s="51"/>
      <c r="DES18" s="51"/>
      <c r="DET18" s="51"/>
      <c r="DEU18" s="51"/>
      <c r="DEV18" s="51"/>
      <c r="DEW18" s="51"/>
      <c r="DEX18" s="51"/>
      <c r="DEY18" s="51"/>
      <c r="DEZ18" s="51"/>
      <c r="DFA18" s="51"/>
      <c r="DFB18" s="51"/>
      <c r="DFC18" s="51"/>
      <c r="DFD18" s="51"/>
      <c r="DFE18" s="51"/>
      <c r="DFF18" s="51"/>
      <c r="DFG18" s="51"/>
      <c r="DFH18" s="51"/>
      <c r="DFI18" s="51"/>
      <c r="DFJ18" s="51"/>
      <c r="DFK18" s="51"/>
      <c r="DFL18" s="51"/>
      <c r="DFM18" s="51"/>
      <c r="DFN18" s="51"/>
      <c r="DFO18" s="51"/>
      <c r="DFP18" s="51"/>
      <c r="DFQ18" s="51"/>
      <c r="DFR18" s="51"/>
      <c r="DFS18" s="51"/>
      <c r="DFT18" s="51"/>
      <c r="DFU18" s="51"/>
      <c r="DFV18" s="51"/>
      <c r="DFW18" s="51"/>
      <c r="DFX18" s="51"/>
      <c r="DFY18" s="51"/>
      <c r="DFZ18" s="51"/>
      <c r="DGA18" s="51"/>
      <c r="DGB18" s="51"/>
      <c r="DGC18" s="51"/>
      <c r="DGD18" s="51"/>
      <c r="DGE18" s="51"/>
      <c r="DGF18" s="51"/>
      <c r="DGG18" s="51"/>
      <c r="DGH18" s="51"/>
      <c r="DGI18" s="51"/>
      <c r="DGJ18" s="51"/>
      <c r="DGK18" s="51"/>
      <c r="DGL18" s="51"/>
      <c r="DGM18" s="51"/>
      <c r="DGN18" s="51"/>
      <c r="DGO18" s="51"/>
      <c r="DGP18" s="51"/>
      <c r="DGQ18" s="51"/>
      <c r="DGR18" s="51"/>
      <c r="DGS18" s="51"/>
      <c r="DGT18" s="51"/>
      <c r="DGU18" s="51"/>
      <c r="DGV18" s="51"/>
      <c r="DGW18" s="51"/>
      <c r="DGX18" s="51"/>
      <c r="DGY18" s="51"/>
      <c r="DGZ18" s="51"/>
      <c r="DHA18" s="51"/>
      <c r="DHB18" s="51"/>
      <c r="DHC18" s="51"/>
      <c r="DHD18" s="51"/>
      <c r="DHE18" s="51"/>
      <c r="DHF18" s="51"/>
      <c r="DHG18" s="51"/>
      <c r="DHH18" s="51"/>
      <c r="DHI18" s="51"/>
      <c r="DHJ18" s="51"/>
      <c r="DHK18" s="51"/>
      <c r="DHL18" s="51"/>
      <c r="DHM18" s="51"/>
      <c r="DHN18" s="51"/>
      <c r="DHO18" s="51"/>
      <c r="DHP18" s="51"/>
      <c r="DHQ18" s="51"/>
      <c r="DHR18" s="51"/>
      <c r="DHS18" s="51"/>
      <c r="DHT18" s="51"/>
      <c r="DHU18" s="51"/>
      <c r="DHV18" s="51"/>
      <c r="DHW18" s="51"/>
      <c r="DHX18" s="51"/>
      <c r="DHY18" s="51"/>
      <c r="DHZ18" s="51"/>
      <c r="DIA18" s="51"/>
      <c r="DIB18" s="51"/>
      <c r="DIC18" s="51"/>
      <c r="DID18" s="51"/>
      <c r="DIE18" s="51"/>
      <c r="DIF18" s="51"/>
      <c r="DIG18" s="51"/>
      <c r="DIH18" s="51"/>
      <c r="DII18" s="51"/>
      <c r="DIJ18" s="51"/>
      <c r="DIK18" s="51"/>
      <c r="DIL18" s="51"/>
      <c r="DIM18" s="51"/>
      <c r="DIN18" s="51"/>
      <c r="DIO18" s="51"/>
      <c r="DIP18" s="51"/>
      <c r="DIQ18" s="51"/>
      <c r="DIR18" s="51"/>
      <c r="DIS18" s="51"/>
      <c r="DIT18" s="51"/>
      <c r="DIU18" s="51"/>
      <c r="DIV18" s="51"/>
      <c r="DIW18" s="51"/>
      <c r="DIX18" s="51"/>
      <c r="DIY18" s="51"/>
      <c r="DIZ18" s="51"/>
      <c r="DJA18" s="51"/>
      <c r="DJB18" s="51"/>
      <c r="DJC18" s="51"/>
      <c r="DJD18" s="51"/>
      <c r="DJE18" s="51"/>
      <c r="DJF18" s="51"/>
      <c r="DJG18" s="51"/>
      <c r="DJH18" s="51"/>
      <c r="DJI18" s="51"/>
      <c r="DJJ18" s="51"/>
      <c r="DJK18" s="51"/>
      <c r="DJL18" s="51"/>
      <c r="DJM18" s="51"/>
      <c r="DJN18" s="51"/>
      <c r="DJO18" s="51"/>
      <c r="DJP18" s="51"/>
      <c r="DJQ18" s="51"/>
      <c r="DJR18" s="51"/>
      <c r="DJS18" s="51"/>
      <c r="DJT18" s="51"/>
      <c r="DJU18" s="51"/>
      <c r="DJV18" s="51"/>
      <c r="DJW18" s="51"/>
      <c r="DJX18" s="51"/>
      <c r="DJY18" s="51"/>
      <c r="DJZ18" s="51"/>
      <c r="DKA18" s="51"/>
      <c r="DKB18" s="51"/>
      <c r="DKC18" s="51"/>
      <c r="DKD18" s="51"/>
      <c r="DKE18" s="51"/>
      <c r="DKF18" s="51"/>
      <c r="DKG18" s="51"/>
      <c r="DKH18" s="51"/>
      <c r="DKI18" s="51"/>
      <c r="DKJ18" s="51"/>
      <c r="DKK18" s="51"/>
      <c r="DKL18" s="51"/>
      <c r="DKM18" s="51"/>
      <c r="DKN18" s="51"/>
      <c r="DKO18" s="51"/>
      <c r="DKP18" s="51"/>
      <c r="DKQ18" s="51"/>
      <c r="DKR18" s="51"/>
      <c r="DKS18" s="51"/>
      <c r="DKT18" s="51"/>
      <c r="DKU18" s="51"/>
      <c r="DKV18" s="51"/>
      <c r="DKW18" s="51"/>
      <c r="DKX18" s="51"/>
      <c r="DKY18" s="51"/>
      <c r="DKZ18" s="51"/>
      <c r="DLA18" s="51"/>
      <c r="DLB18" s="51"/>
      <c r="DLC18" s="51"/>
      <c r="DLD18" s="51"/>
      <c r="DLE18" s="51"/>
      <c r="DLF18" s="51"/>
      <c r="DLG18" s="51"/>
      <c r="DLH18" s="51"/>
      <c r="DLI18" s="51"/>
      <c r="DLJ18" s="51"/>
      <c r="DLK18" s="51"/>
      <c r="DLL18" s="51"/>
      <c r="DLM18" s="51"/>
      <c r="DLN18" s="51"/>
      <c r="DLO18" s="51"/>
      <c r="DLP18" s="51"/>
      <c r="DLQ18" s="51"/>
      <c r="DLR18" s="51"/>
      <c r="DLS18" s="51"/>
      <c r="DLT18" s="51"/>
      <c r="DLU18" s="51"/>
      <c r="DLV18" s="51"/>
      <c r="DLW18" s="51"/>
      <c r="DLX18" s="51"/>
      <c r="DLY18" s="51"/>
      <c r="DLZ18" s="51"/>
      <c r="DMA18" s="51"/>
      <c r="DMB18" s="51"/>
      <c r="DMC18" s="51"/>
      <c r="DMD18" s="51"/>
      <c r="DME18" s="51"/>
      <c r="DMF18" s="51"/>
      <c r="DMG18" s="51"/>
      <c r="DMH18" s="51"/>
      <c r="DMI18" s="51"/>
      <c r="DMJ18" s="51"/>
      <c r="DMK18" s="51"/>
      <c r="DML18" s="51"/>
      <c r="DMM18" s="51"/>
      <c r="DMN18" s="51"/>
      <c r="DMO18" s="51"/>
      <c r="DMP18" s="51"/>
      <c r="DMQ18" s="51"/>
      <c r="DMR18" s="51"/>
      <c r="DMS18" s="51"/>
      <c r="DMT18" s="51"/>
      <c r="DMU18" s="51"/>
      <c r="DMV18" s="51"/>
      <c r="DMW18" s="51"/>
      <c r="DMX18" s="51"/>
      <c r="DMY18" s="51"/>
      <c r="DMZ18" s="51"/>
      <c r="DNA18" s="51"/>
      <c r="DNB18" s="51"/>
      <c r="DNC18" s="51"/>
      <c r="DND18" s="51"/>
      <c r="DNE18" s="51"/>
      <c r="DNF18" s="51"/>
      <c r="DNG18" s="51"/>
      <c r="DNH18" s="51"/>
      <c r="DNI18" s="51"/>
      <c r="DNJ18" s="51"/>
      <c r="DNK18" s="51"/>
      <c r="DNL18" s="51"/>
      <c r="DNM18" s="51"/>
      <c r="DNN18" s="51"/>
      <c r="DNO18" s="51"/>
      <c r="DNP18" s="51"/>
      <c r="DNQ18" s="51"/>
      <c r="DNR18" s="51"/>
      <c r="DNS18" s="51"/>
      <c r="DNT18" s="51"/>
      <c r="DNU18" s="51"/>
      <c r="DNV18" s="51"/>
      <c r="DNW18" s="51"/>
      <c r="DNX18" s="51"/>
      <c r="DNY18" s="51"/>
      <c r="DNZ18" s="51"/>
      <c r="DOA18" s="51"/>
      <c r="DOB18" s="51"/>
      <c r="DOC18" s="51"/>
      <c r="DOD18" s="51"/>
      <c r="DOE18" s="51"/>
      <c r="DOF18" s="51"/>
      <c r="DOG18" s="51"/>
      <c r="DOH18" s="51"/>
      <c r="DOI18" s="51"/>
      <c r="DOJ18" s="51"/>
      <c r="DOK18" s="51"/>
      <c r="DOL18" s="51"/>
      <c r="DOM18" s="51"/>
      <c r="DON18" s="51"/>
      <c r="DOO18" s="51"/>
      <c r="DOP18" s="51"/>
      <c r="DOQ18" s="51"/>
      <c r="DOR18" s="51"/>
      <c r="DOS18" s="51"/>
      <c r="DOT18" s="51"/>
      <c r="DOU18" s="51"/>
      <c r="DOV18" s="51"/>
      <c r="DOW18" s="51"/>
      <c r="DOX18" s="51"/>
      <c r="DOY18" s="51"/>
      <c r="DOZ18" s="51"/>
      <c r="DPA18" s="51"/>
      <c r="DPB18" s="51"/>
      <c r="DPC18" s="51"/>
      <c r="DPD18" s="51"/>
      <c r="DPE18" s="51"/>
      <c r="DPF18" s="51"/>
      <c r="DPG18" s="51"/>
      <c r="DPH18" s="51"/>
      <c r="DPI18" s="51"/>
      <c r="DPJ18" s="51"/>
      <c r="DPK18" s="51"/>
      <c r="DPL18" s="51"/>
      <c r="DPM18" s="51"/>
      <c r="DPN18" s="51"/>
      <c r="DPO18" s="51"/>
      <c r="DPP18" s="51"/>
      <c r="DPQ18" s="51"/>
      <c r="DPR18" s="51"/>
      <c r="DPS18" s="51"/>
      <c r="DPT18" s="51"/>
      <c r="DPU18" s="51"/>
      <c r="DPV18" s="51"/>
      <c r="DPW18" s="51"/>
      <c r="DPX18" s="51"/>
      <c r="DPY18" s="51"/>
      <c r="DPZ18" s="51"/>
      <c r="DQA18" s="51"/>
      <c r="DQB18" s="51"/>
      <c r="DQC18" s="51"/>
      <c r="DQD18" s="51"/>
      <c r="DQE18" s="51"/>
      <c r="DQF18" s="51"/>
      <c r="DQG18" s="51"/>
      <c r="DQH18" s="51"/>
      <c r="DQI18" s="51"/>
      <c r="DQJ18" s="51"/>
      <c r="DQK18" s="51"/>
      <c r="DQL18" s="51"/>
      <c r="DQM18" s="51"/>
      <c r="DQN18" s="51"/>
      <c r="DQO18" s="51"/>
      <c r="DQP18" s="51"/>
      <c r="DQQ18" s="51"/>
      <c r="DQR18" s="51"/>
      <c r="DQS18" s="51"/>
      <c r="DQT18" s="51"/>
      <c r="DQU18" s="51"/>
      <c r="DQV18" s="51"/>
      <c r="DQW18" s="51"/>
      <c r="DQX18" s="51"/>
      <c r="DQY18" s="51"/>
      <c r="DQZ18" s="51"/>
      <c r="DRA18" s="51"/>
      <c r="DRB18" s="51"/>
      <c r="DRC18" s="51"/>
      <c r="DRD18" s="51"/>
      <c r="DRE18" s="51"/>
      <c r="DRF18" s="51"/>
      <c r="DRG18" s="51"/>
      <c r="DRH18" s="51"/>
      <c r="DRI18" s="51"/>
      <c r="DRJ18" s="51"/>
      <c r="DRK18" s="51"/>
      <c r="DRL18" s="51"/>
      <c r="DRM18" s="51"/>
      <c r="DRN18" s="51"/>
      <c r="DRO18" s="51"/>
      <c r="DRP18" s="51"/>
      <c r="DRQ18" s="51"/>
      <c r="DRR18" s="51"/>
      <c r="DRS18" s="51"/>
      <c r="DRT18" s="51"/>
      <c r="DRU18" s="51"/>
      <c r="DRV18" s="51"/>
      <c r="DRW18" s="51"/>
      <c r="DRX18" s="51"/>
      <c r="DRY18" s="51"/>
      <c r="DRZ18" s="51"/>
      <c r="DSA18" s="51"/>
      <c r="DSB18" s="51"/>
      <c r="DSC18" s="51"/>
      <c r="DSD18" s="51"/>
      <c r="DSE18" s="51"/>
      <c r="DSF18" s="51"/>
      <c r="DSG18" s="51"/>
      <c r="DSH18" s="51"/>
      <c r="DSI18" s="51"/>
      <c r="DSJ18" s="51"/>
      <c r="DSK18" s="51"/>
      <c r="DSL18" s="51"/>
      <c r="DSM18" s="51"/>
      <c r="DSN18" s="51"/>
      <c r="DSO18" s="51"/>
      <c r="DSP18" s="51"/>
      <c r="DSQ18" s="51"/>
      <c r="DSR18" s="51"/>
      <c r="DSS18" s="51"/>
      <c r="DST18" s="51"/>
      <c r="DSU18" s="51"/>
      <c r="DSV18" s="51"/>
      <c r="DSW18" s="51"/>
      <c r="DSX18" s="51"/>
    </row>
    <row r="19" spans="1:3222" s="66" customFormat="1" ht="93.75" customHeight="1" x14ac:dyDescent="0.3">
      <c r="A19" s="146"/>
      <c r="B19" s="174" t="s">
        <v>109</v>
      </c>
      <c r="C19" s="174" t="s">
        <v>115</v>
      </c>
      <c r="D19" s="245" t="s">
        <v>92</v>
      </c>
      <c r="E19" s="191" t="s">
        <v>150</v>
      </c>
      <c r="F19" s="189">
        <v>15</v>
      </c>
      <c r="G19" s="178">
        <v>178.81533333333334</v>
      </c>
      <c r="H19" s="179">
        <v>2954</v>
      </c>
      <c r="I19" s="180">
        <v>0</v>
      </c>
      <c r="J19" s="181">
        <f t="shared" ref="J19" si="27">SUM(H19:I19)</f>
        <v>2954</v>
      </c>
      <c r="K19" s="182">
        <f t="shared" ref="K19" si="28">IF(H19/15&lt;=SMG,0,I19/2)</f>
        <v>0</v>
      </c>
      <c r="L19" s="182">
        <f t="shared" ref="L19" si="29">H19+K19</f>
        <v>2954</v>
      </c>
      <c r="M19" s="182">
        <f>VLOOKUP(L19,Tarifa1,1)</f>
        <v>368.11</v>
      </c>
      <c r="N19" s="182">
        <f t="shared" ref="N19" si="30">L19-M19</f>
        <v>2585.89</v>
      </c>
      <c r="O19" s="183">
        <f>VLOOKUP(L19,Tarifa1,3)</f>
        <v>6.4000000000000001E-2</v>
      </c>
      <c r="P19" s="182">
        <f t="shared" ref="P19" si="31">N19*O19</f>
        <v>165.49696</v>
      </c>
      <c r="Q19" s="184">
        <f>VLOOKUP(L19,Tarifa1,2)</f>
        <v>7.05</v>
      </c>
      <c r="R19" s="182">
        <f t="shared" ref="R19" si="32">P19+Q19</f>
        <v>172.54696000000001</v>
      </c>
      <c r="S19" s="182">
        <f>VLOOKUP(L19,Credito1,2)</f>
        <v>145.35</v>
      </c>
      <c r="T19" s="182">
        <f t="shared" ref="T19" si="33">ROUND(R19-S19,2)</f>
        <v>27.2</v>
      </c>
      <c r="U19" s="181">
        <f t="shared" ref="U19" si="34">-IF(T19&gt;0,0,T19)</f>
        <v>0</v>
      </c>
      <c r="V19" s="190">
        <f>IF(H19/15&lt;=SMG,0,IF(T19&lt;0,0,T19))</f>
        <v>0</v>
      </c>
      <c r="W19" s="181">
        <f>SUM(V19:V19)</f>
        <v>0</v>
      </c>
      <c r="X19" s="190">
        <f>J19+U19-W19</f>
        <v>2954</v>
      </c>
      <c r="Y19" s="65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51" customFormat="1" ht="21.75" customHeight="1" x14ac:dyDescent="0.2">
      <c r="A20" s="146"/>
      <c r="B20" s="147"/>
      <c r="C20" s="147"/>
      <c r="D20" s="148"/>
      <c r="E20" s="148"/>
      <c r="F20" s="120"/>
      <c r="G20" s="149"/>
      <c r="H20" s="150"/>
      <c r="I20" s="151"/>
      <c r="J20" s="152"/>
      <c r="K20" s="153"/>
      <c r="L20" s="153"/>
      <c r="M20" s="153"/>
      <c r="N20" s="153"/>
      <c r="O20" s="154"/>
      <c r="P20" s="153"/>
      <c r="Q20" s="153"/>
      <c r="R20" s="153"/>
      <c r="S20" s="153"/>
      <c r="T20" s="153"/>
      <c r="U20" s="152"/>
      <c r="V20" s="152"/>
      <c r="W20" s="152"/>
      <c r="X20" s="152"/>
      <c r="Y20" s="58"/>
    </row>
    <row r="21" spans="1:3222" s="51" customFormat="1" ht="41.25" customHeight="1" thickBot="1" x14ac:dyDescent="0.3">
      <c r="A21" s="259" t="s">
        <v>44</v>
      </c>
      <c r="B21" s="260"/>
      <c r="C21" s="260"/>
      <c r="D21" s="260"/>
      <c r="E21" s="260"/>
      <c r="F21" s="260"/>
      <c r="G21" s="261"/>
      <c r="H21" s="185">
        <f>H8+H12+H14+H16+H18</f>
        <v>72195.5</v>
      </c>
      <c r="I21" s="185">
        <f>I8+I12+I14+I16+I18</f>
        <v>0</v>
      </c>
      <c r="J21" s="185">
        <f>J8+J12+J14+J16+J18</f>
        <v>72342</v>
      </c>
      <c r="K21" s="186">
        <f t="shared" ref="K21:T21" si="35">SUM(K9:K19)</f>
        <v>0</v>
      </c>
      <c r="L21" s="186">
        <f t="shared" si="35"/>
        <v>72342</v>
      </c>
      <c r="M21" s="186">
        <f t="shared" si="35"/>
        <v>54050.47</v>
      </c>
      <c r="N21" s="186">
        <f t="shared" si="35"/>
        <v>18291.53</v>
      </c>
      <c r="O21" s="186">
        <f t="shared" si="35"/>
        <v>1.2200000000000002</v>
      </c>
      <c r="P21" s="186">
        <f t="shared" si="35"/>
        <v>3562.3854399999996</v>
      </c>
      <c r="Q21" s="186">
        <f t="shared" si="35"/>
        <v>7248.75</v>
      </c>
      <c r="R21" s="186">
        <f t="shared" si="35"/>
        <v>10811.135440000002</v>
      </c>
      <c r="S21" s="186">
        <f t="shared" si="35"/>
        <v>145.35</v>
      </c>
      <c r="T21" s="186">
        <f t="shared" si="35"/>
        <v>10665.79</v>
      </c>
      <c r="U21" s="185">
        <f>U8+U12+U14+U16+U18</f>
        <v>0</v>
      </c>
      <c r="V21" s="185">
        <f>V8+V12+V14+V16+V18</f>
        <v>10638.59</v>
      </c>
      <c r="W21" s="185">
        <f>W8+W12+W14+W16+W18</f>
        <v>10638.59</v>
      </c>
      <c r="X21" s="185">
        <f>X8+X12+X14+X16+X18</f>
        <v>61703.41</v>
      </c>
    </row>
    <row r="22" spans="1:3222" s="51" customFormat="1" ht="12" customHeight="1" thickTop="1" x14ac:dyDescent="0.2"/>
    <row r="23" spans="1:3222" s="51" customFormat="1" ht="12" customHeight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8" spans="10:10" x14ac:dyDescent="0.2">
      <c r="J38" s="4" t="s">
        <v>256</v>
      </c>
    </row>
  </sheetData>
  <mergeCells count="7">
    <mergeCell ref="A21:G21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6"/>
  <sheetViews>
    <sheetView topLeftCell="B14" zoomScale="89" zoomScaleNormal="89" workbookViewId="0">
      <selection activeCell="W1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2" width="13.85546875" hidden="1" customWidth="1"/>
    <col min="13" max="13" width="13.5703125" hidden="1" customWidth="1"/>
    <col min="14" max="14" width="14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5.42578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213</v>
      </c>
      <c r="H6" s="273" t="s">
        <v>1</v>
      </c>
      <c r="I6" s="274"/>
      <c r="J6" s="275"/>
      <c r="K6" s="24" t="s">
        <v>25</v>
      </c>
      <c r="L6" s="25"/>
      <c r="M6" s="276" t="s">
        <v>8</v>
      </c>
      <c r="N6" s="277"/>
      <c r="O6" s="277"/>
      <c r="P6" s="277"/>
      <c r="Q6" s="277"/>
      <c r="R6" s="278"/>
      <c r="S6" s="24" t="s">
        <v>29</v>
      </c>
      <c r="T6" s="24" t="s">
        <v>9</v>
      </c>
      <c r="U6" s="23" t="s">
        <v>52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7" t="s">
        <v>306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46</v>
      </c>
      <c r="I8" s="26" t="s">
        <v>58</v>
      </c>
      <c r="J8" s="26" t="s">
        <v>28</v>
      </c>
      <c r="K8" s="28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6" t="s">
        <v>51</v>
      </c>
      <c r="V8" s="26"/>
      <c r="W8" s="26" t="s">
        <v>43</v>
      </c>
      <c r="X8" s="26" t="s">
        <v>4</v>
      </c>
      <c r="Y8" s="35"/>
    </row>
    <row r="9" spans="1:25" ht="47.25" x14ac:dyDescent="0.25">
      <c r="A9" s="26"/>
      <c r="B9" s="157" t="s">
        <v>101</v>
      </c>
      <c r="C9" s="157" t="s">
        <v>124</v>
      </c>
      <c r="D9" s="141" t="s">
        <v>268</v>
      </c>
      <c r="E9" s="142" t="s">
        <v>60</v>
      </c>
      <c r="F9" s="124"/>
      <c r="G9" s="142"/>
      <c r="H9" s="125">
        <f>H10</f>
        <v>10653</v>
      </c>
      <c r="I9" s="125">
        <f>I10</f>
        <v>0</v>
      </c>
      <c r="J9" s="125">
        <f>J10</f>
        <v>10653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1452.42</v>
      </c>
      <c r="W9" s="125">
        <f>W10</f>
        <v>1452.42</v>
      </c>
      <c r="X9" s="125">
        <f>X10</f>
        <v>9200.58</v>
      </c>
      <c r="Y9" s="155"/>
    </row>
    <row r="10" spans="1:25" ht="99" customHeight="1" x14ac:dyDescent="0.3">
      <c r="A10" s="26"/>
      <c r="B10" s="192">
        <v>161</v>
      </c>
      <c r="C10" s="173" t="s">
        <v>115</v>
      </c>
      <c r="D10" s="243" t="s">
        <v>269</v>
      </c>
      <c r="E10" s="176" t="s">
        <v>270</v>
      </c>
      <c r="F10" s="193">
        <v>15</v>
      </c>
      <c r="G10" s="194">
        <f>H10/F10</f>
        <v>710.2</v>
      </c>
      <c r="H10" s="179">
        <v>10653</v>
      </c>
      <c r="I10" s="180">
        <v>0</v>
      </c>
      <c r="J10" s="181">
        <f>H10</f>
        <v>10653</v>
      </c>
      <c r="K10" s="182">
        <f>IF(H10/15&lt;=SMG,0,I10/2)</f>
        <v>0</v>
      </c>
      <c r="L10" s="182">
        <f t="shared" ref="L10" si="0">H10+K10</f>
        <v>10653</v>
      </c>
      <c r="M10" s="182">
        <f>VLOOKUP(L10,Tarifa1,1)</f>
        <v>7641.91</v>
      </c>
      <c r="N10" s="182">
        <f t="shared" ref="N10" si="1">L10-M10</f>
        <v>3011.09</v>
      </c>
      <c r="O10" s="183">
        <f>VLOOKUP(L10,Tarifa1,3)</f>
        <v>0.21360000000000001</v>
      </c>
      <c r="P10" s="182">
        <f t="shared" ref="P10" si="2">N10*O10</f>
        <v>643.16882400000009</v>
      </c>
      <c r="Q10" s="184">
        <f>VLOOKUP(L10,Tarifa1,2)</f>
        <v>809.25</v>
      </c>
      <c r="R10" s="182">
        <f t="shared" ref="R10" si="3">P10+Q10</f>
        <v>1452.4188240000001</v>
      </c>
      <c r="S10" s="182">
        <f>VLOOKUP(L10,Credito1,2)</f>
        <v>0</v>
      </c>
      <c r="T10" s="182">
        <f t="shared" ref="T10" si="4">ROUND(R10-S10,2)</f>
        <v>1452.42</v>
      </c>
      <c r="U10" s="181">
        <f t="shared" ref="U10" si="5">-IF(T10&gt;0,0,T10)</f>
        <v>0</v>
      </c>
      <c r="V10" s="181">
        <f>IF(H10/15&lt;=SMG,0,IF(T10&lt;0,0,T10))</f>
        <v>1452.42</v>
      </c>
      <c r="W10" s="181">
        <f>SUM(V10:V10)</f>
        <v>1452.42</v>
      </c>
      <c r="X10" s="181">
        <f>J10+U10-W10</f>
        <v>9200.58</v>
      </c>
      <c r="Y10" s="115"/>
    </row>
    <row r="11" spans="1:25" ht="47.25" customHeight="1" x14ac:dyDescent="0.25">
      <c r="A11" s="142"/>
      <c r="B11" s="157" t="s">
        <v>101</v>
      </c>
      <c r="C11" s="157" t="s">
        <v>124</v>
      </c>
      <c r="D11" s="141" t="s">
        <v>126</v>
      </c>
      <c r="E11" s="142" t="s">
        <v>60</v>
      </c>
      <c r="F11" s="124"/>
      <c r="G11" s="142"/>
      <c r="H11" s="125">
        <f>H12</f>
        <v>7823</v>
      </c>
      <c r="I11" s="125">
        <f>I12</f>
        <v>0</v>
      </c>
      <c r="J11" s="125">
        <f>J12</f>
        <v>7823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847.93</v>
      </c>
      <c r="W11" s="125">
        <f>W12</f>
        <v>847.93</v>
      </c>
      <c r="X11" s="125">
        <f>X12</f>
        <v>6975.07</v>
      </c>
      <c r="Y11" s="155"/>
    </row>
    <row r="12" spans="1:25" ht="99" customHeight="1" x14ac:dyDescent="0.3">
      <c r="A12" s="127"/>
      <c r="B12" s="173" t="s">
        <v>264</v>
      </c>
      <c r="C12" s="174" t="s">
        <v>115</v>
      </c>
      <c r="D12" s="243" t="s">
        <v>265</v>
      </c>
      <c r="E12" s="176" t="s">
        <v>267</v>
      </c>
      <c r="F12" s="177">
        <v>13</v>
      </c>
      <c r="G12" s="178">
        <f t="shared" ref="G12" si="6">H12/F12</f>
        <v>601.76923076923072</v>
      </c>
      <c r="H12" s="179">
        <v>7823</v>
      </c>
      <c r="I12" s="180">
        <v>0</v>
      </c>
      <c r="J12" s="181">
        <f t="shared" ref="J12" si="7">SUM(H12:I12)</f>
        <v>7823</v>
      </c>
      <c r="K12" s="182">
        <f t="shared" ref="K12" si="8">IF(H12/15&lt;=SMG,0,I12/2)</f>
        <v>0</v>
      </c>
      <c r="L12" s="182">
        <f t="shared" ref="L12" si="9">H12+K12</f>
        <v>7823</v>
      </c>
      <c r="M12" s="182">
        <f t="shared" ref="M12" si="10">VLOOKUP(L12,Tarifa1,1)</f>
        <v>7641.91</v>
      </c>
      <c r="N12" s="182">
        <f t="shared" ref="N12" si="11">L12-M12</f>
        <v>181.09000000000015</v>
      </c>
      <c r="O12" s="183">
        <f t="shared" ref="O12" si="12">VLOOKUP(L12,Tarifa1,3)</f>
        <v>0.21360000000000001</v>
      </c>
      <c r="P12" s="182">
        <f t="shared" ref="P12" si="13">N12*O12</f>
        <v>38.680824000000037</v>
      </c>
      <c r="Q12" s="184">
        <f t="shared" ref="Q12" si="14">VLOOKUP(L12,Tarifa1,2)</f>
        <v>809.25</v>
      </c>
      <c r="R12" s="182">
        <f t="shared" ref="R12" si="15">P12+Q12</f>
        <v>847.93082400000003</v>
      </c>
      <c r="S12" s="182">
        <f t="shared" ref="S12" si="16">VLOOKUP(L12,Credito1,2)</f>
        <v>0</v>
      </c>
      <c r="T12" s="182">
        <f t="shared" ref="T12" si="17">ROUND(R12-S12,2)</f>
        <v>847.93</v>
      </c>
      <c r="U12" s="181">
        <f t="shared" ref="U12" si="18">-IF(T12&gt;0,0,T12)</f>
        <v>0</v>
      </c>
      <c r="V12" s="181">
        <f t="shared" ref="V12" si="19">IF(H12/15&lt;=SMG,0,IF(T12&lt;0,0,T12))</f>
        <v>847.93</v>
      </c>
      <c r="W12" s="181">
        <f>SUM(V12:V12)</f>
        <v>847.93</v>
      </c>
      <c r="X12" s="181">
        <f>J12+U12-W12</f>
        <v>6975.07</v>
      </c>
      <c r="Y12" s="115"/>
    </row>
    <row r="13" spans="1:25" ht="47.25" customHeight="1" x14ac:dyDescent="0.25">
      <c r="A13" s="127"/>
      <c r="B13" s="142"/>
      <c r="C13" s="142"/>
      <c r="D13" s="141" t="s">
        <v>76</v>
      </c>
      <c r="E13" s="142" t="s">
        <v>60</v>
      </c>
      <c r="F13" s="142"/>
      <c r="G13" s="142"/>
      <c r="H13" s="125">
        <f>SUM(H14)</f>
        <v>12093</v>
      </c>
      <c r="I13" s="125">
        <f>SUM(I14)</f>
        <v>0</v>
      </c>
      <c r="J13" s="125">
        <f>SUM(J14)</f>
        <v>12093</v>
      </c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>
        <f>SUM(U14)</f>
        <v>0</v>
      </c>
      <c r="V13" s="125">
        <f>SUM(V14)</f>
        <v>1760</v>
      </c>
      <c r="W13" s="125">
        <f>SUM(W14)</f>
        <v>1760</v>
      </c>
      <c r="X13" s="125">
        <f>SUM(X14)</f>
        <v>10333</v>
      </c>
      <c r="Y13" s="155"/>
    </row>
    <row r="14" spans="1:25" ht="98.25" customHeight="1" x14ac:dyDescent="0.3">
      <c r="A14" s="127"/>
      <c r="B14" s="192">
        <v>290</v>
      </c>
      <c r="C14" s="173" t="s">
        <v>115</v>
      </c>
      <c r="D14" s="243" t="s">
        <v>273</v>
      </c>
      <c r="E14" s="175" t="s">
        <v>76</v>
      </c>
      <c r="F14" s="193">
        <v>15</v>
      </c>
      <c r="G14" s="194">
        <f>H14/F14</f>
        <v>806.2</v>
      </c>
      <c r="H14" s="195">
        <v>12093</v>
      </c>
      <c r="I14" s="196">
        <v>0</v>
      </c>
      <c r="J14" s="197">
        <f>SUM(H14:I14)</f>
        <v>12093</v>
      </c>
      <c r="K14" s="182">
        <f>IF(H14/15&lt;=SMG,0,I14/2)</f>
        <v>0</v>
      </c>
      <c r="L14" s="182">
        <f>H14+K14</f>
        <v>12093</v>
      </c>
      <c r="M14" s="182">
        <f>VLOOKUP(L14,Tarifa1,1)</f>
        <v>7641.91</v>
      </c>
      <c r="N14" s="182">
        <f>L14-M14</f>
        <v>4451.09</v>
      </c>
      <c r="O14" s="183">
        <f>VLOOKUP(L14,Tarifa1,3)</f>
        <v>0.21360000000000001</v>
      </c>
      <c r="P14" s="182">
        <f>N14*O14</f>
        <v>950.75282400000003</v>
      </c>
      <c r="Q14" s="184">
        <f>VLOOKUP(L14,Tarifa1,2)</f>
        <v>809.25</v>
      </c>
      <c r="R14" s="182">
        <f>P14+Q14</f>
        <v>1760.0028240000001</v>
      </c>
      <c r="S14" s="182">
        <f>VLOOKUP(L14,Credito1,2)</f>
        <v>0</v>
      </c>
      <c r="T14" s="182">
        <f>ROUND(R14-S14,2)</f>
        <v>1760</v>
      </c>
      <c r="U14" s="181">
        <f>-IF(T14&gt;0,0,T14)</f>
        <v>0</v>
      </c>
      <c r="V14" s="181">
        <f>IF(H14/15&lt;=SMG,0,IF(T14&lt;0,0,T14))</f>
        <v>1760</v>
      </c>
      <c r="W14" s="181">
        <f>SUM(V14:V14)</f>
        <v>1760</v>
      </c>
      <c r="X14" s="181">
        <f>J14+U14-W14</f>
        <v>10333</v>
      </c>
      <c r="Y14" s="115"/>
    </row>
    <row r="15" spans="1:25" ht="40.5" customHeight="1" thickBot="1" x14ac:dyDescent="0.3">
      <c r="A15" s="259" t="s">
        <v>44</v>
      </c>
      <c r="B15" s="260"/>
      <c r="C15" s="260"/>
      <c r="D15" s="260"/>
      <c r="E15" s="260"/>
      <c r="F15" s="260"/>
      <c r="G15" s="261"/>
      <c r="H15" s="236">
        <f>H9+H11+H13</f>
        <v>30569</v>
      </c>
      <c r="I15" s="236">
        <f>I9+I11+I13</f>
        <v>0</v>
      </c>
      <c r="J15" s="236">
        <f>J9+J11+J13</f>
        <v>30569</v>
      </c>
      <c r="K15" s="186">
        <f t="shared" ref="K15:T15" si="20">SUM(K12:K12)</f>
        <v>0</v>
      </c>
      <c r="L15" s="186">
        <f t="shared" si="20"/>
        <v>7823</v>
      </c>
      <c r="M15" s="186">
        <f t="shared" si="20"/>
        <v>7641.91</v>
      </c>
      <c r="N15" s="186">
        <f t="shared" si="20"/>
        <v>181.09000000000015</v>
      </c>
      <c r="O15" s="186">
        <f t="shared" si="20"/>
        <v>0.21360000000000001</v>
      </c>
      <c r="P15" s="186">
        <f t="shared" si="20"/>
        <v>38.680824000000037</v>
      </c>
      <c r="Q15" s="186">
        <f t="shared" si="20"/>
        <v>809.25</v>
      </c>
      <c r="R15" s="186">
        <f t="shared" si="20"/>
        <v>847.93082400000003</v>
      </c>
      <c r="S15" s="186">
        <f t="shared" si="20"/>
        <v>0</v>
      </c>
      <c r="T15" s="186">
        <f t="shared" si="20"/>
        <v>847.93</v>
      </c>
      <c r="U15" s="236">
        <f>U9+U11+U13</f>
        <v>0</v>
      </c>
      <c r="V15" s="236">
        <f>V9+V11+V13</f>
        <v>4060.35</v>
      </c>
      <c r="W15" s="236">
        <f>W9+W11+W13</f>
        <v>4060.35</v>
      </c>
      <c r="X15" s="236">
        <f>X9+X11+X13</f>
        <v>26508.65</v>
      </c>
      <c r="Y15" s="156"/>
    </row>
    <row r="16" spans="1:25" ht="13.5" thickTop="1" x14ac:dyDescent="0.2"/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8"/>
  <sheetViews>
    <sheetView topLeftCell="B30" zoomScale="66" zoomScaleNormal="66" workbookViewId="0">
      <selection activeCell="W3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8" width="14.28515625" hidden="1" customWidth="1"/>
    <col min="19" max="20" width="13.140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2" t="s">
        <v>78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9.5" x14ac:dyDescent="0.25">
      <c r="A2" s="262" t="s">
        <v>63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1" t="s">
        <v>116</v>
      </c>
      <c r="D5" s="47"/>
      <c r="E5" s="47"/>
      <c r="F5" s="48" t="s">
        <v>22</v>
      </c>
      <c r="G5" s="48" t="s">
        <v>5</v>
      </c>
      <c r="H5" s="284" t="s">
        <v>1</v>
      </c>
      <c r="I5" s="285"/>
      <c r="J5" s="286"/>
      <c r="K5" s="49" t="s">
        <v>25</v>
      </c>
      <c r="L5" s="50"/>
      <c r="M5" s="287" t="s">
        <v>8</v>
      </c>
      <c r="N5" s="288"/>
      <c r="O5" s="288"/>
      <c r="P5" s="288"/>
      <c r="Q5" s="288"/>
      <c r="R5" s="289"/>
      <c r="S5" s="49" t="s">
        <v>29</v>
      </c>
      <c r="T5" s="49" t="s">
        <v>9</v>
      </c>
      <c r="U5" s="48" t="s">
        <v>52</v>
      </c>
      <c r="V5" s="290" t="s">
        <v>2</v>
      </c>
      <c r="W5" s="291"/>
      <c r="X5" s="48" t="s">
        <v>0</v>
      </c>
      <c r="Y5" s="47"/>
    </row>
    <row r="6" spans="1:31" s="51" customFormat="1" ht="24" x14ac:dyDescent="0.2">
      <c r="A6" s="52" t="s">
        <v>20</v>
      </c>
      <c r="B6" s="46" t="s">
        <v>101</v>
      </c>
      <c r="C6" s="282"/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50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306</v>
      </c>
      <c r="W6" s="48" t="s">
        <v>6</v>
      </c>
      <c r="X6" s="52" t="s">
        <v>3</v>
      </c>
      <c r="Y6" s="52" t="s">
        <v>56</v>
      </c>
    </row>
    <row r="7" spans="1:31" s="51" customFormat="1" ht="12" x14ac:dyDescent="0.2">
      <c r="A7" s="60"/>
      <c r="B7" s="60"/>
      <c r="C7" s="283"/>
      <c r="D7" s="60"/>
      <c r="E7" s="60"/>
      <c r="F7" s="60"/>
      <c r="G7" s="60"/>
      <c r="H7" s="60" t="s">
        <v>46</v>
      </c>
      <c r="I7" s="60" t="s">
        <v>58</v>
      </c>
      <c r="J7" s="60" t="s">
        <v>28</v>
      </c>
      <c r="K7" s="61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49" t="s">
        <v>14</v>
      </c>
      <c r="R7" s="49" t="s">
        <v>38</v>
      </c>
      <c r="S7" s="54" t="s">
        <v>18</v>
      </c>
      <c r="T7" s="55" t="s">
        <v>125</v>
      </c>
      <c r="U7" s="60" t="s">
        <v>51</v>
      </c>
      <c r="V7" s="60"/>
      <c r="W7" s="60" t="s">
        <v>43</v>
      </c>
      <c r="X7" s="60" t="s">
        <v>4</v>
      </c>
      <c r="Y7" s="57"/>
    </row>
    <row r="8" spans="1:31" s="51" customFormat="1" ht="15.75" x14ac:dyDescent="0.25">
      <c r="A8" s="62"/>
      <c r="B8" s="142"/>
      <c r="C8" s="142"/>
      <c r="D8" s="141" t="s">
        <v>68</v>
      </c>
      <c r="E8" s="142" t="s">
        <v>60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49.25" customHeight="1" x14ac:dyDescent="0.3">
      <c r="A9" s="116" t="s">
        <v>85</v>
      </c>
      <c r="B9" s="173" t="s">
        <v>177</v>
      </c>
      <c r="C9" s="174" t="s">
        <v>115</v>
      </c>
      <c r="D9" s="244" t="s">
        <v>175</v>
      </c>
      <c r="E9" s="176" t="s">
        <v>204</v>
      </c>
      <c r="F9" s="177">
        <v>15</v>
      </c>
      <c r="G9" s="178">
        <f t="shared" ref="G9:G10" si="0">H9/F9</f>
        <v>757.26666666666665</v>
      </c>
      <c r="H9" s="179">
        <v>11359</v>
      </c>
      <c r="I9" s="180">
        <v>0</v>
      </c>
      <c r="J9" s="181">
        <f>SUM(H9:I9)</f>
        <v>11359</v>
      </c>
      <c r="K9" s="182">
        <f>IF(H9/15&lt;=SMG,0,I9/2)</f>
        <v>0</v>
      </c>
      <c r="L9" s="182">
        <f t="shared" ref="L9" si="1">H9+K9</f>
        <v>11359</v>
      </c>
      <c r="M9" s="182">
        <f t="shared" ref="M9" si="2">VLOOKUP(L9,Tarifa1,1)</f>
        <v>7641.91</v>
      </c>
      <c r="N9" s="182">
        <f t="shared" ref="N9" si="3">L9-M9</f>
        <v>3717.09</v>
      </c>
      <c r="O9" s="183">
        <f t="shared" ref="O9" si="4">VLOOKUP(L9,Tarifa1,3)</f>
        <v>0.21360000000000001</v>
      </c>
      <c r="P9" s="182">
        <f t="shared" ref="P9" si="5">N9*O9</f>
        <v>793.97042400000009</v>
      </c>
      <c r="Q9" s="184">
        <f t="shared" ref="Q9" si="6">VLOOKUP(L9,Tarifa1,2)</f>
        <v>809.25</v>
      </c>
      <c r="R9" s="182">
        <f t="shared" ref="R9" si="7">P9+Q9</f>
        <v>1603.2204240000001</v>
      </c>
      <c r="S9" s="182">
        <f t="shared" ref="S9" si="8">VLOOKUP(L9,Credito1,2)</f>
        <v>0</v>
      </c>
      <c r="T9" s="182">
        <f t="shared" ref="T9" si="9">ROUND(R9-S9,2)</f>
        <v>1603.22</v>
      </c>
      <c r="U9" s="181">
        <f t="shared" ref="U9" si="10">-IF(T9&gt;0,0,T9)</f>
        <v>0</v>
      </c>
      <c r="V9" s="181">
        <f t="shared" ref="V9" si="11">IF(H9/15&lt;=SMG,0,IF(T9&lt;0,0,T9))</f>
        <v>1603.22</v>
      </c>
      <c r="W9" s="181">
        <f>SUM(V9:V9)</f>
        <v>1603.22</v>
      </c>
      <c r="X9" s="181">
        <f>J9+U9-W9</f>
        <v>9755.7800000000007</v>
      </c>
      <c r="Y9" s="117"/>
      <c r="Z9" s="96"/>
      <c r="AE9" s="97"/>
    </row>
    <row r="10" spans="1:31" s="94" customFormat="1" ht="149.25" customHeight="1" x14ac:dyDescent="0.3">
      <c r="A10" s="116"/>
      <c r="B10" s="174" t="s">
        <v>205</v>
      </c>
      <c r="C10" s="174" t="s">
        <v>115</v>
      </c>
      <c r="D10" s="243" t="s">
        <v>206</v>
      </c>
      <c r="E10" s="176" t="s">
        <v>276</v>
      </c>
      <c r="F10" s="177">
        <v>15</v>
      </c>
      <c r="G10" s="178">
        <f t="shared" si="0"/>
        <v>757.26666666666665</v>
      </c>
      <c r="H10" s="179">
        <v>11359</v>
      </c>
      <c r="I10" s="180">
        <v>0</v>
      </c>
      <c r="J10" s="181">
        <f>SUM(H10:I10)</f>
        <v>11359</v>
      </c>
      <c r="K10" s="182">
        <f>IF(H10/15&lt;=SMG,0,I10/2)</f>
        <v>0</v>
      </c>
      <c r="L10" s="182">
        <f t="shared" ref="L10:L15" si="12">H10+K10</f>
        <v>11359</v>
      </c>
      <c r="M10" s="182">
        <f t="shared" ref="M10:M15" si="13">VLOOKUP(L10,Tarifa1,1)</f>
        <v>7641.91</v>
      </c>
      <c r="N10" s="182">
        <f t="shared" ref="N10:N15" si="14">L10-M10</f>
        <v>3717.09</v>
      </c>
      <c r="O10" s="183">
        <f t="shared" ref="O10:O15" si="15">VLOOKUP(L10,Tarifa1,3)</f>
        <v>0.21360000000000001</v>
      </c>
      <c r="P10" s="182">
        <f t="shared" ref="P10:P15" si="16">N10*O10</f>
        <v>793.97042400000009</v>
      </c>
      <c r="Q10" s="184">
        <f t="shared" ref="Q10:Q15" si="17">VLOOKUP(L10,Tarifa1,2)</f>
        <v>809.25</v>
      </c>
      <c r="R10" s="182">
        <f t="shared" ref="R10:R15" si="18">P10+Q10</f>
        <v>1603.2204240000001</v>
      </c>
      <c r="S10" s="182">
        <f t="shared" ref="S10:S15" si="19">VLOOKUP(L10,Credito1,2)</f>
        <v>0</v>
      </c>
      <c r="T10" s="182">
        <f t="shared" ref="T10:T15" si="20">ROUND(R10-S10,2)</f>
        <v>1603.22</v>
      </c>
      <c r="U10" s="181">
        <f t="shared" ref="U10:U15" si="21">-IF(T10&gt;0,0,T10)</f>
        <v>0</v>
      </c>
      <c r="V10" s="181">
        <f t="shared" ref="V10:V15" si="22">IF(H10/15&lt;=SMG,0,IF(T10&lt;0,0,T10))</f>
        <v>1603.22</v>
      </c>
      <c r="W10" s="181">
        <f>SUM(V10:V10)</f>
        <v>1603.22</v>
      </c>
      <c r="X10" s="181">
        <f>J10+U10-W10</f>
        <v>9755.7800000000007</v>
      </c>
      <c r="Y10" s="117"/>
      <c r="Z10" s="96"/>
      <c r="AE10" s="97"/>
    </row>
    <row r="11" spans="1:31" s="94" customFormat="1" ht="149.25" customHeight="1" x14ac:dyDescent="0.3">
      <c r="A11" s="116"/>
      <c r="B11" s="174" t="s">
        <v>301</v>
      </c>
      <c r="C11" s="174" t="s">
        <v>115</v>
      </c>
      <c r="D11" s="243" t="s">
        <v>303</v>
      </c>
      <c r="E11" s="176" t="s">
        <v>302</v>
      </c>
      <c r="F11" s="177"/>
      <c r="G11" s="178"/>
      <c r="H11" s="179">
        <v>4467</v>
      </c>
      <c r="I11" s="180">
        <v>0</v>
      </c>
      <c r="J11" s="181">
        <f>SUM(H11:I11)</f>
        <v>4467</v>
      </c>
      <c r="K11" s="182">
        <f>IF(H11/15&lt;=SMG,0,I11/2)</f>
        <v>0</v>
      </c>
      <c r="L11" s="182">
        <f t="shared" si="12"/>
        <v>4467</v>
      </c>
      <c r="M11" s="182">
        <f t="shared" si="13"/>
        <v>3124.36</v>
      </c>
      <c r="N11" s="182">
        <f t="shared" si="14"/>
        <v>1342.6399999999999</v>
      </c>
      <c r="O11" s="183">
        <f t="shared" si="15"/>
        <v>0.10879999999999999</v>
      </c>
      <c r="P11" s="182">
        <f t="shared" si="16"/>
        <v>146.07923199999999</v>
      </c>
      <c r="Q11" s="184">
        <f t="shared" si="17"/>
        <v>183.45</v>
      </c>
      <c r="R11" s="182">
        <f t="shared" si="18"/>
        <v>329.52923199999998</v>
      </c>
      <c r="S11" s="182">
        <f t="shared" si="19"/>
        <v>0</v>
      </c>
      <c r="T11" s="182">
        <f t="shared" si="20"/>
        <v>329.53</v>
      </c>
      <c r="U11" s="181">
        <f t="shared" si="21"/>
        <v>0</v>
      </c>
      <c r="V11" s="181">
        <f t="shared" si="22"/>
        <v>329.53</v>
      </c>
      <c r="W11" s="181">
        <f>SUM(V11:V11)</f>
        <v>329.53</v>
      </c>
      <c r="X11" s="181">
        <f>J11+U11-W11</f>
        <v>4137.47</v>
      </c>
      <c r="Y11" s="117"/>
      <c r="Z11" s="96"/>
      <c r="AE11" s="97"/>
    </row>
    <row r="12" spans="1:31" s="94" customFormat="1" ht="149.25" customHeight="1" x14ac:dyDescent="0.3">
      <c r="A12" s="116"/>
      <c r="B12" s="173" t="s">
        <v>210</v>
      </c>
      <c r="C12" s="173" t="s">
        <v>115</v>
      </c>
      <c r="D12" s="245" t="s">
        <v>209</v>
      </c>
      <c r="E12" s="176" t="s">
        <v>66</v>
      </c>
      <c r="F12" s="177">
        <v>15</v>
      </c>
      <c r="G12" s="178"/>
      <c r="H12" s="179">
        <v>6253</v>
      </c>
      <c r="I12" s="180">
        <v>0</v>
      </c>
      <c r="J12" s="179">
        <f>H12</f>
        <v>6253</v>
      </c>
      <c r="K12" s="182">
        <f t="shared" ref="K12" si="23">IF(H12/15&lt;=SMG,0,I12/2)</f>
        <v>0</v>
      </c>
      <c r="L12" s="182">
        <f t="shared" si="12"/>
        <v>6253</v>
      </c>
      <c r="M12" s="182">
        <f t="shared" si="13"/>
        <v>5490.76</v>
      </c>
      <c r="N12" s="182">
        <f t="shared" si="14"/>
        <v>762.23999999999978</v>
      </c>
      <c r="O12" s="183">
        <f t="shared" si="15"/>
        <v>0.16</v>
      </c>
      <c r="P12" s="182">
        <f t="shared" si="16"/>
        <v>121.95839999999997</v>
      </c>
      <c r="Q12" s="184">
        <f t="shared" si="17"/>
        <v>441</v>
      </c>
      <c r="R12" s="182">
        <f t="shared" si="18"/>
        <v>562.95839999999998</v>
      </c>
      <c r="S12" s="182">
        <f t="shared" si="19"/>
        <v>0</v>
      </c>
      <c r="T12" s="182">
        <f t="shared" si="20"/>
        <v>562.96</v>
      </c>
      <c r="U12" s="181">
        <f t="shared" si="21"/>
        <v>0</v>
      </c>
      <c r="V12" s="181">
        <f t="shared" si="22"/>
        <v>562.96</v>
      </c>
      <c r="W12" s="181">
        <f>SUM(V12:V12)</f>
        <v>562.96</v>
      </c>
      <c r="X12" s="181">
        <f>J12+U12-W12+I12</f>
        <v>5690.04</v>
      </c>
      <c r="Y12" s="117"/>
      <c r="AE12" s="97"/>
    </row>
    <row r="13" spans="1:31" s="94" customFormat="1" ht="149.25" customHeight="1" x14ac:dyDescent="0.3">
      <c r="A13" s="116"/>
      <c r="B13" s="173" t="s">
        <v>304</v>
      </c>
      <c r="C13" s="173" t="s">
        <v>115</v>
      </c>
      <c r="D13" s="245" t="s">
        <v>305</v>
      </c>
      <c r="E13" s="176" t="s">
        <v>66</v>
      </c>
      <c r="F13" s="177"/>
      <c r="G13" s="178"/>
      <c r="H13" s="179">
        <v>6253</v>
      </c>
      <c r="I13" s="180">
        <v>0</v>
      </c>
      <c r="J13" s="179">
        <f>H13</f>
        <v>6253</v>
      </c>
      <c r="K13" s="182">
        <f t="shared" ref="K13" si="24">IF(H13/15&lt;=SMG,0,I13/2)</f>
        <v>0</v>
      </c>
      <c r="L13" s="182">
        <f t="shared" si="12"/>
        <v>6253</v>
      </c>
      <c r="M13" s="182">
        <f t="shared" si="13"/>
        <v>5490.76</v>
      </c>
      <c r="N13" s="182">
        <f t="shared" si="14"/>
        <v>762.23999999999978</v>
      </c>
      <c r="O13" s="183">
        <f t="shared" si="15"/>
        <v>0.16</v>
      </c>
      <c r="P13" s="182">
        <f t="shared" si="16"/>
        <v>121.95839999999997</v>
      </c>
      <c r="Q13" s="184">
        <f t="shared" si="17"/>
        <v>441</v>
      </c>
      <c r="R13" s="182">
        <f t="shared" si="18"/>
        <v>562.95839999999998</v>
      </c>
      <c r="S13" s="182">
        <f t="shared" si="19"/>
        <v>0</v>
      </c>
      <c r="T13" s="182">
        <f t="shared" si="20"/>
        <v>562.96</v>
      </c>
      <c r="U13" s="181">
        <f t="shared" si="21"/>
        <v>0</v>
      </c>
      <c r="V13" s="181">
        <f t="shared" si="22"/>
        <v>562.96</v>
      </c>
      <c r="W13" s="181">
        <f>SUM(V13:V13)</f>
        <v>562.96</v>
      </c>
      <c r="X13" s="181">
        <f>J13+U13-W13+I13</f>
        <v>5690.04</v>
      </c>
      <c r="Y13" s="117"/>
      <c r="AE13" s="97"/>
    </row>
    <row r="14" spans="1:31" s="94" customFormat="1" ht="149.25" customHeight="1" x14ac:dyDescent="0.3">
      <c r="A14" s="116"/>
      <c r="B14" s="174" t="s">
        <v>113</v>
      </c>
      <c r="C14" s="174" t="s">
        <v>115</v>
      </c>
      <c r="D14" s="243" t="s">
        <v>67</v>
      </c>
      <c r="E14" s="176" t="s">
        <v>143</v>
      </c>
      <c r="F14" s="177">
        <v>15</v>
      </c>
      <c r="G14" s="178">
        <f>H14/F14</f>
        <v>570.13333333333333</v>
      </c>
      <c r="H14" s="179">
        <v>8552</v>
      </c>
      <c r="I14" s="180">
        <v>0</v>
      </c>
      <c r="J14" s="181">
        <f>SUM(H14:I14)</f>
        <v>8552</v>
      </c>
      <c r="K14" s="182">
        <f t="shared" ref="K14:K15" si="25">IF(H14/15&lt;=SMG,0,I14/2)</f>
        <v>0</v>
      </c>
      <c r="L14" s="182">
        <f t="shared" si="12"/>
        <v>8552</v>
      </c>
      <c r="M14" s="182">
        <f t="shared" si="13"/>
        <v>7641.91</v>
      </c>
      <c r="N14" s="182">
        <f t="shared" si="14"/>
        <v>910.09000000000015</v>
      </c>
      <c r="O14" s="183">
        <f t="shared" si="15"/>
        <v>0.21360000000000001</v>
      </c>
      <c r="P14" s="182">
        <f t="shared" si="16"/>
        <v>194.39522400000004</v>
      </c>
      <c r="Q14" s="184">
        <f t="shared" si="17"/>
        <v>809.25</v>
      </c>
      <c r="R14" s="182">
        <f t="shared" si="18"/>
        <v>1003.6452240000001</v>
      </c>
      <c r="S14" s="182">
        <f t="shared" si="19"/>
        <v>0</v>
      </c>
      <c r="T14" s="182">
        <f t="shared" si="20"/>
        <v>1003.65</v>
      </c>
      <c r="U14" s="181">
        <f t="shared" si="21"/>
        <v>0</v>
      </c>
      <c r="V14" s="181">
        <f t="shared" si="22"/>
        <v>1003.65</v>
      </c>
      <c r="W14" s="181">
        <f>SUM(V14:V14)</f>
        <v>1003.65</v>
      </c>
      <c r="X14" s="181">
        <f>J14+U14-W14</f>
        <v>7548.35</v>
      </c>
      <c r="Y14" s="117"/>
      <c r="AE14" s="97"/>
    </row>
    <row r="15" spans="1:31" s="94" customFormat="1" ht="149.25" customHeight="1" x14ac:dyDescent="0.3">
      <c r="A15" s="116"/>
      <c r="B15" s="174" t="s">
        <v>198</v>
      </c>
      <c r="C15" s="174" t="s">
        <v>115</v>
      </c>
      <c r="D15" s="241" t="s">
        <v>199</v>
      </c>
      <c r="E15" s="176" t="s">
        <v>165</v>
      </c>
      <c r="F15" s="177">
        <v>15</v>
      </c>
      <c r="G15" s="178"/>
      <c r="H15" s="179">
        <v>6843</v>
      </c>
      <c r="I15" s="180">
        <v>0</v>
      </c>
      <c r="J15" s="181">
        <f>SUM(H15:I15)</f>
        <v>6843</v>
      </c>
      <c r="K15" s="182">
        <f t="shared" si="25"/>
        <v>0</v>
      </c>
      <c r="L15" s="182">
        <f t="shared" si="12"/>
        <v>6843</v>
      </c>
      <c r="M15" s="182">
        <f t="shared" si="13"/>
        <v>6382.81</v>
      </c>
      <c r="N15" s="182">
        <f t="shared" si="14"/>
        <v>460.1899999999996</v>
      </c>
      <c r="O15" s="183">
        <f t="shared" si="15"/>
        <v>0.1792</v>
      </c>
      <c r="P15" s="182">
        <f t="shared" si="16"/>
        <v>82.46604799999993</v>
      </c>
      <c r="Q15" s="184">
        <f t="shared" si="17"/>
        <v>583.65</v>
      </c>
      <c r="R15" s="182">
        <f t="shared" si="18"/>
        <v>666.11604799999986</v>
      </c>
      <c r="S15" s="182">
        <f t="shared" si="19"/>
        <v>0</v>
      </c>
      <c r="T15" s="182">
        <f t="shared" si="20"/>
        <v>666.12</v>
      </c>
      <c r="U15" s="181">
        <f t="shared" si="21"/>
        <v>0</v>
      </c>
      <c r="V15" s="181">
        <f t="shared" si="22"/>
        <v>666.12</v>
      </c>
      <c r="W15" s="181">
        <f>SUM(V15:V15)</f>
        <v>666.12</v>
      </c>
      <c r="X15" s="181">
        <f>J15+U15-W15</f>
        <v>6176.88</v>
      </c>
      <c r="Y15" s="117"/>
      <c r="AE15" s="97"/>
    </row>
    <row r="16" spans="1:31" s="94" customFormat="1" ht="44.25" customHeight="1" x14ac:dyDescent="0.25">
      <c r="A16" s="203"/>
      <c r="B16" s="215"/>
      <c r="C16" s="215"/>
      <c r="D16" s="220"/>
      <c r="E16" s="221"/>
      <c r="F16" s="222"/>
      <c r="G16" s="223"/>
      <c r="H16" s="224"/>
      <c r="I16" s="225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118"/>
      <c r="AE16" s="97"/>
    </row>
    <row r="17" spans="1:31" s="94" customFormat="1" ht="39" customHeight="1" x14ac:dyDescent="0.25">
      <c r="A17" s="203"/>
      <c r="B17" s="215"/>
      <c r="C17" s="215"/>
      <c r="D17" s="220"/>
      <c r="E17" s="221"/>
      <c r="F17" s="222"/>
      <c r="G17" s="223"/>
      <c r="H17" s="224"/>
      <c r="I17" s="225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118"/>
      <c r="AE17" s="97"/>
    </row>
    <row r="18" spans="1:31" s="94" customFormat="1" ht="40.5" customHeight="1" x14ac:dyDescent="0.25">
      <c r="A18" s="203"/>
      <c r="B18" s="215"/>
      <c r="C18" s="215"/>
      <c r="D18" s="220"/>
      <c r="E18" s="221"/>
      <c r="F18" s="222"/>
      <c r="G18" s="223"/>
      <c r="H18" s="224"/>
      <c r="I18" s="225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118"/>
      <c r="AE18" s="97"/>
    </row>
    <row r="19" spans="1:31" s="94" customFormat="1" ht="32.25" customHeight="1" x14ac:dyDescent="0.25">
      <c r="A19" s="203"/>
      <c r="B19" s="215"/>
      <c r="C19" s="215"/>
      <c r="D19" s="220"/>
      <c r="E19" s="221"/>
      <c r="F19" s="222"/>
      <c r="G19" s="223"/>
      <c r="H19" s="224"/>
      <c r="I19" s="225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118"/>
      <c r="AE19" s="97"/>
    </row>
    <row r="20" spans="1:31" s="94" customFormat="1" ht="32.25" customHeight="1" x14ac:dyDescent="0.25">
      <c r="A20" s="203"/>
      <c r="B20" s="215"/>
      <c r="C20" s="215"/>
      <c r="D20" s="220"/>
      <c r="E20" s="221"/>
      <c r="F20" s="222"/>
      <c r="G20" s="223"/>
      <c r="H20" s="224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118"/>
      <c r="AE20" s="97"/>
    </row>
    <row r="21" spans="1:31" s="94" customFormat="1" ht="32.25" customHeight="1" x14ac:dyDescent="0.25">
      <c r="A21" s="203"/>
      <c r="B21" s="215"/>
      <c r="C21" s="215"/>
      <c r="D21" s="220"/>
      <c r="E21" s="221"/>
      <c r="F21" s="222"/>
      <c r="G21" s="223"/>
      <c r="H21" s="224"/>
      <c r="I21" s="225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118"/>
      <c r="AE21" s="97"/>
    </row>
    <row r="22" spans="1:31" s="94" customFormat="1" ht="29.25" customHeight="1" x14ac:dyDescent="0.25">
      <c r="A22" s="203"/>
      <c r="B22" s="262" t="s">
        <v>78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E22" s="97"/>
    </row>
    <row r="23" spans="1:31" s="94" customFormat="1" ht="28.5" customHeight="1" x14ac:dyDescent="0.25">
      <c r="A23" s="203"/>
      <c r="B23" s="262" t="s">
        <v>63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E23" s="97"/>
    </row>
    <row r="24" spans="1:31" s="94" customFormat="1" ht="28.5" customHeight="1" x14ac:dyDescent="0.25">
      <c r="A24" s="203"/>
      <c r="B24" s="263" t="s">
        <v>326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E24" s="97"/>
    </row>
    <row r="25" spans="1:31" s="94" customFormat="1" ht="28.5" customHeight="1" x14ac:dyDescent="0.25">
      <c r="A25" s="203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E25" s="97"/>
    </row>
    <row r="26" spans="1:31" s="94" customFormat="1" ht="132" customHeight="1" x14ac:dyDescent="0.3">
      <c r="A26" s="203"/>
      <c r="B26" s="174" t="s">
        <v>176</v>
      </c>
      <c r="C26" s="174" t="s">
        <v>115</v>
      </c>
      <c r="D26" s="241" t="s">
        <v>169</v>
      </c>
      <c r="E26" s="176" t="s">
        <v>165</v>
      </c>
      <c r="F26" s="177">
        <v>15</v>
      </c>
      <c r="G26" s="178"/>
      <c r="H26" s="179">
        <v>8552</v>
      </c>
      <c r="I26" s="180">
        <v>0</v>
      </c>
      <c r="J26" s="181">
        <f t="shared" ref="J26" si="26">SUM(H26:I26)</f>
        <v>8552</v>
      </c>
      <c r="K26" s="182">
        <f t="shared" ref="K26" si="27">IF(H26/15&lt;=SMG,0,I26/2)</f>
        <v>0</v>
      </c>
      <c r="L26" s="182">
        <f t="shared" ref="L26" si="28">H26+K26</f>
        <v>8552</v>
      </c>
      <c r="M26" s="182">
        <f t="shared" ref="M26:M31" si="29">VLOOKUP(L26,Tarifa1,1)</f>
        <v>7641.91</v>
      </c>
      <c r="N26" s="182">
        <f t="shared" ref="N26" si="30">L26-M26</f>
        <v>910.09000000000015</v>
      </c>
      <c r="O26" s="183">
        <f t="shared" ref="O26:O31" si="31">VLOOKUP(L26,Tarifa1,3)</f>
        <v>0.21360000000000001</v>
      </c>
      <c r="P26" s="182">
        <f t="shared" ref="P26" si="32">N26*O26</f>
        <v>194.39522400000004</v>
      </c>
      <c r="Q26" s="184">
        <f t="shared" ref="Q26:Q31" si="33">VLOOKUP(L26,Tarifa1,2)</f>
        <v>809.25</v>
      </c>
      <c r="R26" s="182">
        <f t="shared" ref="R26" si="34">P26+Q26</f>
        <v>1003.6452240000001</v>
      </c>
      <c r="S26" s="182">
        <f t="shared" ref="S26:S31" si="35">VLOOKUP(L26,Credito1,2)</f>
        <v>0</v>
      </c>
      <c r="T26" s="182">
        <f t="shared" ref="T26" si="36">ROUND(R26-S26,2)</f>
        <v>1003.65</v>
      </c>
      <c r="U26" s="181">
        <f t="shared" ref="U26:U31" si="37">-IF(T26&gt;0,0,T26)</f>
        <v>0</v>
      </c>
      <c r="V26" s="181">
        <f t="shared" ref="V26:V31" si="38">IF(H26/15&lt;=SMG,0,IF(T26&lt;0,0,T26))</f>
        <v>1003.65</v>
      </c>
      <c r="W26" s="181">
        <f>SUM(V26:V26)</f>
        <v>1003.65</v>
      </c>
      <c r="X26" s="181">
        <f>J26+U26-W26</f>
        <v>7548.35</v>
      </c>
      <c r="Y26" s="117"/>
      <c r="Z26" s="219"/>
      <c r="AE26" s="97"/>
    </row>
    <row r="27" spans="1:31" s="94" customFormat="1" ht="132" customHeight="1" x14ac:dyDescent="0.3">
      <c r="A27" s="116"/>
      <c r="B27" s="174" t="s">
        <v>183</v>
      </c>
      <c r="C27" s="174" t="s">
        <v>115</v>
      </c>
      <c r="D27" s="241" t="s">
        <v>184</v>
      </c>
      <c r="E27" s="176" t="s">
        <v>165</v>
      </c>
      <c r="F27" s="177">
        <v>15</v>
      </c>
      <c r="G27" s="178"/>
      <c r="H27" s="179">
        <v>8552</v>
      </c>
      <c r="I27" s="180">
        <v>0</v>
      </c>
      <c r="J27" s="181">
        <f t="shared" ref="J27" si="39">SUM(H27:I27)</f>
        <v>8552</v>
      </c>
      <c r="K27" s="182">
        <f t="shared" ref="K27:K30" si="40">IF(H27/15&lt;=SMG,0,I27/2)</f>
        <v>0</v>
      </c>
      <c r="L27" s="182">
        <f t="shared" ref="L27:L31" si="41">H27+K27</f>
        <v>8552</v>
      </c>
      <c r="M27" s="182">
        <f t="shared" si="29"/>
        <v>7641.91</v>
      </c>
      <c r="N27" s="182">
        <f t="shared" ref="N27:N31" si="42">L27-M27</f>
        <v>910.09000000000015</v>
      </c>
      <c r="O27" s="183">
        <f t="shared" si="31"/>
        <v>0.21360000000000001</v>
      </c>
      <c r="P27" s="182">
        <f t="shared" ref="P27:P31" si="43">N27*O27</f>
        <v>194.39522400000004</v>
      </c>
      <c r="Q27" s="184">
        <f t="shared" si="33"/>
        <v>809.25</v>
      </c>
      <c r="R27" s="182">
        <f t="shared" ref="R27:R31" si="44">P27+Q27</f>
        <v>1003.6452240000001</v>
      </c>
      <c r="S27" s="182">
        <f t="shared" si="35"/>
        <v>0</v>
      </c>
      <c r="T27" s="182">
        <f t="shared" ref="T27:T31" si="45">ROUND(R27-S27,2)</f>
        <v>1003.65</v>
      </c>
      <c r="U27" s="181">
        <f t="shared" si="37"/>
        <v>0</v>
      </c>
      <c r="V27" s="181">
        <f t="shared" si="38"/>
        <v>1003.65</v>
      </c>
      <c r="W27" s="181">
        <f>SUM(V27:V27)</f>
        <v>1003.65</v>
      </c>
      <c r="X27" s="181">
        <f>J27+U27-W27</f>
        <v>7548.35</v>
      </c>
      <c r="Y27" s="117"/>
      <c r="AE27" s="97"/>
    </row>
    <row r="28" spans="1:31" s="94" customFormat="1" ht="132" customHeight="1" x14ac:dyDescent="0.3">
      <c r="A28" s="116"/>
      <c r="B28" s="174" t="s">
        <v>280</v>
      </c>
      <c r="C28" s="174" t="s">
        <v>115</v>
      </c>
      <c r="D28" s="241" t="s">
        <v>281</v>
      </c>
      <c r="E28" s="176" t="s">
        <v>165</v>
      </c>
      <c r="F28" s="177"/>
      <c r="G28" s="178"/>
      <c r="H28" s="179">
        <v>8552</v>
      </c>
      <c r="I28" s="180">
        <v>0</v>
      </c>
      <c r="J28" s="181">
        <f>SUM(H28:I28)</f>
        <v>8552</v>
      </c>
      <c r="K28" s="182">
        <f t="shared" si="40"/>
        <v>0</v>
      </c>
      <c r="L28" s="182">
        <f t="shared" si="41"/>
        <v>8552</v>
      </c>
      <c r="M28" s="182">
        <f t="shared" si="29"/>
        <v>7641.91</v>
      </c>
      <c r="N28" s="182">
        <f t="shared" si="42"/>
        <v>910.09000000000015</v>
      </c>
      <c r="O28" s="183">
        <f t="shared" si="31"/>
        <v>0.21360000000000001</v>
      </c>
      <c r="P28" s="182">
        <f t="shared" si="43"/>
        <v>194.39522400000004</v>
      </c>
      <c r="Q28" s="184">
        <f t="shared" si="33"/>
        <v>809.25</v>
      </c>
      <c r="R28" s="182">
        <f t="shared" si="44"/>
        <v>1003.6452240000001</v>
      </c>
      <c r="S28" s="182">
        <f t="shared" si="35"/>
        <v>0</v>
      </c>
      <c r="T28" s="182">
        <f t="shared" si="45"/>
        <v>1003.65</v>
      </c>
      <c r="U28" s="181">
        <f t="shared" si="37"/>
        <v>0</v>
      </c>
      <c r="V28" s="181">
        <f t="shared" si="38"/>
        <v>1003.65</v>
      </c>
      <c r="W28" s="181">
        <f>SUM(V28:V28)</f>
        <v>1003.65</v>
      </c>
      <c r="X28" s="181">
        <f>J28+U28-W28</f>
        <v>7548.35</v>
      </c>
      <c r="Y28" s="117"/>
      <c r="AE28" s="97"/>
    </row>
    <row r="29" spans="1:31" s="94" customFormat="1" ht="132" customHeight="1" x14ac:dyDescent="0.3">
      <c r="A29" s="116"/>
      <c r="B29" s="174" t="s">
        <v>202</v>
      </c>
      <c r="C29" s="174" t="s">
        <v>115</v>
      </c>
      <c r="D29" s="244" t="s">
        <v>203</v>
      </c>
      <c r="E29" s="176" t="s">
        <v>165</v>
      </c>
      <c r="F29" s="177"/>
      <c r="G29" s="178"/>
      <c r="H29" s="179">
        <v>6843</v>
      </c>
      <c r="I29" s="180">
        <v>0</v>
      </c>
      <c r="J29" s="181">
        <f>SUM(H29:I29)</f>
        <v>6843</v>
      </c>
      <c r="K29" s="182">
        <f t="shared" si="40"/>
        <v>0</v>
      </c>
      <c r="L29" s="182">
        <f t="shared" si="41"/>
        <v>6843</v>
      </c>
      <c r="M29" s="182">
        <f t="shared" si="29"/>
        <v>6382.81</v>
      </c>
      <c r="N29" s="182">
        <f t="shared" si="42"/>
        <v>460.1899999999996</v>
      </c>
      <c r="O29" s="183">
        <f t="shared" si="31"/>
        <v>0.1792</v>
      </c>
      <c r="P29" s="182">
        <f t="shared" si="43"/>
        <v>82.46604799999993</v>
      </c>
      <c r="Q29" s="184">
        <f t="shared" si="33"/>
        <v>583.65</v>
      </c>
      <c r="R29" s="182">
        <f t="shared" si="44"/>
        <v>666.11604799999986</v>
      </c>
      <c r="S29" s="182">
        <f t="shared" si="35"/>
        <v>0</v>
      </c>
      <c r="T29" s="182">
        <f t="shared" si="45"/>
        <v>666.12</v>
      </c>
      <c r="U29" s="181">
        <f t="shared" si="37"/>
        <v>0</v>
      </c>
      <c r="V29" s="181">
        <f t="shared" si="38"/>
        <v>666.12</v>
      </c>
      <c r="W29" s="181">
        <f>SUM(V29:V29)</f>
        <v>666.12</v>
      </c>
      <c r="X29" s="181">
        <f>J29+U29-W29</f>
        <v>6176.88</v>
      </c>
      <c r="Y29" s="117"/>
      <c r="AE29" s="97"/>
    </row>
    <row r="30" spans="1:31" s="94" customFormat="1" ht="132" customHeight="1" x14ac:dyDescent="0.3">
      <c r="A30" s="116"/>
      <c r="B30" s="174" t="s">
        <v>284</v>
      </c>
      <c r="C30" s="174" t="s">
        <v>115</v>
      </c>
      <c r="D30" s="241" t="s">
        <v>282</v>
      </c>
      <c r="E30" s="176" t="s">
        <v>283</v>
      </c>
      <c r="F30" s="177"/>
      <c r="G30" s="178"/>
      <c r="H30" s="179">
        <v>6253</v>
      </c>
      <c r="I30" s="180">
        <v>0</v>
      </c>
      <c r="J30" s="179">
        <f>H30</f>
        <v>6253</v>
      </c>
      <c r="K30" s="182">
        <f t="shared" si="40"/>
        <v>0</v>
      </c>
      <c r="L30" s="182">
        <f t="shared" si="41"/>
        <v>6253</v>
      </c>
      <c r="M30" s="182">
        <f t="shared" si="29"/>
        <v>5490.76</v>
      </c>
      <c r="N30" s="182">
        <f t="shared" si="42"/>
        <v>762.23999999999978</v>
      </c>
      <c r="O30" s="183">
        <f t="shared" si="31"/>
        <v>0.16</v>
      </c>
      <c r="P30" s="182">
        <f t="shared" si="43"/>
        <v>121.95839999999997</v>
      </c>
      <c r="Q30" s="184">
        <f t="shared" si="33"/>
        <v>441</v>
      </c>
      <c r="R30" s="182">
        <f t="shared" si="44"/>
        <v>562.95839999999998</v>
      </c>
      <c r="S30" s="182">
        <f t="shared" si="35"/>
        <v>0</v>
      </c>
      <c r="T30" s="182">
        <f t="shared" si="45"/>
        <v>562.96</v>
      </c>
      <c r="U30" s="181">
        <f t="shared" si="37"/>
        <v>0</v>
      </c>
      <c r="V30" s="181">
        <f t="shared" si="38"/>
        <v>562.96</v>
      </c>
      <c r="W30" s="181">
        <f>SUM(V30:V30)</f>
        <v>562.96</v>
      </c>
      <c r="X30" s="181">
        <f>J30+U30-W30+I30</f>
        <v>5690.04</v>
      </c>
      <c r="Y30" s="117"/>
      <c r="AE30" s="97"/>
    </row>
    <row r="31" spans="1:31" s="94" customFormat="1" ht="132" customHeight="1" x14ac:dyDescent="0.3">
      <c r="A31" s="116"/>
      <c r="B31" s="174" t="s">
        <v>178</v>
      </c>
      <c r="C31" s="174" t="s">
        <v>115</v>
      </c>
      <c r="D31" s="241" t="s">
        <v>166</v>
      </c>
      <c r="E31" s="176" t="s">
        <v>277</v>
      </c>
      <c r="F31" s="177">
        <v>15</v>
      </c>
      <c r="G31" s="178">
        <f t="shared" ref="G31" si="46">H31/F31</f>
        <v>310.2</v>
      </c>
      <c r="H31" s="179">
        <v>4653</v>
      </c>
      <c r="I31" s="180">
        <v>0</v>
      </c>
      <c r="J31" s="181">
        <f t="shared" ref="J31" si="47">SUM(H31:I31)</f>
        <v>4653</v>
      </c>
      <c r="K31" s="182">
        <f t="shared" ref="K31" si="48">IF(H31/15&lt;=SMG,0,I31/2)</f>
        <v>0</v>
      </c>
      <c r="L31" s="182">
        <f t="shared" si="41"/>
        <v>4653</v>
      </c>
      <c r="M31" s="182">
        <f t="shared" si="29"/>
        <v>3124.36</v>
      </c>
      <c r="N31" s="182">
        <f t="shared" si="42"/>
        <v>1528.6399999999999</v>
      </c>
      <c r="O31" s="183">
        <f t="shared" si="31"/>
        <v>0.10879999999999999</v>
      </c>
      <c r="P31" s="182">
        <f t="shared" si="43"/>
        <v>166.31603199999998</v>
      </c>
      <c r="Q31" s="184">
        <f t="shared" si="33"/>
        <v>183.45</v>
      </c>
      <c r="R31" s="182">
        <f t="shared" si="44"/>
        <v>349.766032</v>
      </c>
      <c r="S31" s="182">
        <f t="shared" si="35"/>
        <v>0</v>
      </c>
      <c r="T31" s="182">
        <f t="shared" si="45"/>
        <v>349.77</v>
      </c>
      <c r="U31" s="181">
        <f t="shared" si="37"/>
        <v>0</v>
      </c>
      <c r="V31" s="181">
        <f t="shared" si="38"/>
        <v>349.77</v>
      </c>
      <c r="W31" s="181">
        <f>SUM(V31:V31)</f>
        <v>349.77</v>
      </c>
      <c r="X31" s="181">
        <f>J31+U31-W31</f>
        <v>4303.2299999999996</v>
      </c>
      <c r="Y31" s="117"/>
      <c r="AE31" s="97"/>
    </row>
    <row r="32" spans="1:31" s="51" customFormat="1" ht="39" customHeight="1" thickBot="1" x14ac:dyDescent="0.3">
      <c r="A32" s="259" t="s">
        <v>44</v>
      </c>
      <c r="B32" s="260"/>
      <c r="C32" s="260"/>
      <c r="D32" s="260"/>
      <c r="E32" s="260"/>
      <c r="F32" s="260"/>
      <c r="G32" s="261"/>
      <c r="H32" s="185">
        <f t="shared" ref="H32:X32" si="49">SUM(H9:H31)</f>
        <v>98491</v>
      </c>
      <c r="I32" s="185">
        <f t="shared" si="49"/>
        <v>0</v>
      </c>
      <c r="J32" s="185">
        <f t="shared" si="49"/>
        <v>98491</v>
      </c>
      <c r="K32" s="186">
        <f t="shared" si="49"/>
        <v>0</v>
      </c>
      <c r="L32" s="186">
        <f t="shared" si="49"/>
        <v>98491</v>
      </c>
      <c r="M32" s="186">
        <f t="shared" si="49"/>
        <v>81338.080000000002</v>
      </c>
      <c r="N32" s="186">
        <f t="shared" si="49"/>
        <v>17152.919999999998</v>
      </c>
      <c r="O32" s="186">
        <f t="shared" si="49"/>
        <v>2.3376000000000001</v>
      </c>
      <c r="P32" s="186">
        <f t="shared" si="49"/>
        <v>3208.7243039999994</v>
      </c>
      <c r="Q32" s="186">
        <f t="shared" si="49"/>
        <v>7712.7</v>
      </c>
      <c r="R32" s="186">
        <f t="shared" si="49"/>
        <v>10921.424303999998</v>
      </c>
      <c r="S32" s="186">
        <f t="shared" si="49"/>
        <v>0</v>
      </c>
      <c r="T32" s="186">
        <f t="shared" si="49"/>
        <v>10921.46</v>
      </c>
      <c r="U32" s="185">
        <f t="shared" si="49"/>
        <v>0</v>
      </c>
      <c r="V32" s="185">
        <f t="shared" si="49"/>
        <v>10921.46</v>
      </c>
      <c r="W32" s="185">
        <f t="shared" si="49"/>
        <v>10921.46</v>
      </c>
      <c r="X32" s="185">
        <f t="shared" si="49"/>
        <v>87569.54</v>
      </c>
      <c r="Y32" s="118"/>
    </row>
    <row r="33" spans="1:24" s="51" customFormat="1" ht="39" customHeight="1" thickTop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39" customHeight="1" x14ac:dyDescent="0.25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2"/>
    </row>
    <row r="35" spans="1:24" s="51" customFormat="1" ht="39" customHeight="1" x14ac:dyDescent="0.25">
      <c r="A35" s="111"/>
      <c r="B35" s="111"/>
      <c r="C35" s="111"/>
      <c r="D35" s="111"/>
      <c r="E35" s="111"/>
      <c r="F35" s="111"/>
      <c r="G35" s="111"/>
      <c r="H35" s="112"/>
      <c r="I35" s="112"/>
      <c r="J35" s="11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2"/>
      <c r="V35" s="112"/>
      <c r="W35" s="112"/>
      <c r="X35" s="112"/>
    </row>
    <row r="36" spans="1:24" s="51" customFormat="1" ht="39" customHeight="1" x14ac:dyDescent="0.25">
      <c r="A36" s="111"/>
      <c r="B36" s="111"/>
      <c r="C36" s="111"/>
      <c r="D36" s="111"/>
      <c r="E36" s="111"/>
      <c r="F36" s="111"/>
      <c r="G36" s="111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2"/>
      <c r="V36" s="112"/>
      <c r="W36" s="112"/>
      <c r="X36" s="112"/>
    </row>
    <row r="37" spans="1:24" s="51" customFormat="1" ht="39" customHeight="1" x14ac:dyDescent="0.25">
      <c r="A37" s="111"/>
      <c r="B37" s="111"/>
      <c r="C37" s="111"/>
      <c r="D37" s="111"/>
      <c r="E37" s="111"/>
      <c r="F37" s="111"/>
      <c r="G37" s="111"/>
      <c r="H37" s="112"/>
      <c r="I37" s="112"/>
      <c r="J37" s="112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2"/>
      <c r="V37" s="112"/>
      <c r="W37" s="112"/>
      <c r="X37" s="112"/>
    </row>
    <row r="38" spans="1:24" s="51" customFormat="1" ht="14.25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</sheetData>
  <mergeCells count="11">
    <mergeCell ref="A32:G32"/>
    <mergeCell ref="C5:C7"/>
    <mergeCell ref="A1:Y1"/>
    <mergeCell ref="A2:Y2"/>
    <mergeCell ref="A3:Y3"/>
    <mergeCell ref="H5:J5"/>
    <mergeCell ref="M5:R5"/>
    <mergeCell ref="V5:W5"/>
    <mergeCell ref="B22:Z22"/>
    <mergeCell ref="B23:Z23"/>
    <mergeCell ref="B24:Z2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6:D31 D15:D21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9"/>
  <sheetViews>
    <sheetView topLeftCell="B29" zoomScale="69" zoomScaleNormal="69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3" width="13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51" customFormat="1" ht="12" x14ac:dyDescent="0.2">
      <c r="A5" s="47"/>
      <c r="B5" s="47"/>
      <c r="C5" s="47"/>
      <c r="D5" s="47"/>
      <c r="E5" s="47"/>
      <c r="F5" s="48" t="s">
        <v>22</v>
      </c>
      <c r="G5" s="48" t="s">
        <v>5</v>
      </c>
      <c r="H5" s="284" t="s">
        <v>1</v>
      </c>
      <c r="I5" s="285"/>
      <c r="J5" s="286"/>
      <c r="K5" s="49" t="s">
        <v>25</v>
      </c>
      <c r="L5" s="50"/>
      <c r="M5" s="287" t="s">
        <v>8</v>
      </c>
      <c r="N5" s="288"/>
      <c r="O5" s="288"/>
      <c r="P5" s="288"/>
      <c r="Q5" s="288"/>
      <c r="R5" s="289"/>
      <c r="S5" s="49" t="s">
        <v>29</v>
      </c>
      <c r="T5" s="49" t="s">
        <v>9</v>
      </c>
      <c r="U5" s="48" t="s">
        <v>52</v>
      </c>
      <c r="V5" s="290" t="s">
        <v>2</v>
      </c>
      <c r="W5" s="291"/>
      <c r="X5" s="48" t="s">
        <v>0</v>
      </c>
      <c r="Y5" s="47"/>
    </row>
    <row r="6" spans="1:25" s="51" customFormat="1" ht="24" x14ac:dyDescent="0.2">
      <c r="A6" s="52" t="s">
        <v>106</v>
      </c>
      <c r="B6" s="46" t="s">
        <v>101</v>
      </c>
      <c r="C6" s="46" t="s">
        <v>124</v>
      </c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86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306</v>
      </c>
      <c r="W6" s="48" t="s">
        <v>6</v>
      </c>
      <c r="X6" s="52" t="s">
        <v>3</v>
      </c>
      <c r="Y6" s="52" t="s">
        <v>56</v>
      </c>
    </row>
    <row r="7" spans="1:25" s="51" customFormat="1" ht="12" x14ac:dyDescent="0.2">
      <c r="A7" s="52"/>
      <c r="B7" s="52"/>
      <c r="C7" s="52"/>
      <c r="D7" s="52"/>
      <c r="E7" s="52"/>
      <c r="F7" s="52"/>
      <c r="G7" s="52"/>
      <c r="H7" s="52" t="s">
        <v>46</v>
      </c>
      <c r="I7" s="52" t="s">
        <v>58</v>
      </c>
      <c r="J7" s="52" t="s">
        <v>28</v>
      </c>
      <c r="K7" s="54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87" t="s">
        <v>14</v>
      </c>
      <c r="R7" s="49" t="s">
        <v>38</v>
      </c>
      <c r="S7" s="54" t="s">
        <v>18</v>
      </c>
      <c r="T7" s="55" t="s">
        <v>125</v>
      </c>
      <c r="U7" s="52" t="s">
        <v>51</v>
      </c>
      <c r="V7" s="52"/>
      <c r="W7" s="52" t="s">
        <v>43</v>
      </c>
      <c r="X7" s="52" t="s">
        <v>4</v>
      </c>
      <c r="Y7" s="56"/>
    </row>
    <row r="8" spans="1:25" s="4" customFormat="1" ht="39.75" customHeight="1" x14ac:dyDescent="0.25">
      <c r="A8" s="98"/>
      <c r="B8" s="124"/>
      <c r="C8" s="124"/>
      <c r="D8" s="124" t="s">
        <v>69</v>
      </c>
      <c r="E8" s="124" t="s">
        <v>60</v>
      </c>
      <c r="F8" s="124"/>
      <c r="G8" s="124"/>
      <c r="H8" s="125">
        <f>SUM(H9:H20)</f>
        <v>46735</v>
      </c>
      <c r="I8" s="125">
        <f>SUM(I9:I20)</f>
        <v>482.54</v>
      </c>
      <c r="J8" s="125">
        <f>SUM(J9:J20)</f>
        <v>47217.54</v>
      </c>
      <c r="K8" s="124"/>
      <c r="L8" s="124"/>
      <c r="M8" s="124"/>
      <c r="N8" s="124"/>
      <c r="O8" s="124"/>
      <c r="P8" s="124"/>
      <c r="Q8" s="126"/>
      <c r="R8" s="124"/>
      <c r="S8" s="124"/>
      <c r="T8" s="124"/>
      <c r="U8" s="125">
        <f>SUM(U9:U20)</f>
        <v>49.98</v>
      </c>
      <c r="V8" s="125">
        <f>SUM(V9:V20)</f>
        <v>2794.06</v>
      </c>
      <c r="W8" s="125">
        <f>SUM(W9:W20)</f>
        <v>2794.06</v>
      </c>
      <c r="X8" s="125">
        <f>SUM(X9:X20)</f>
        <v>44473.459999999985</v>
      </c>
      <c r="Y8" s="99"/>
    </row>
    <row r="9" spans="1:25" s="4" customFormat="1" ht="77.25" customHeight="1" x14ac:dyDescent="0.3">
      <c r="A9" s="43"/>
      <c r="B9" s="174" t="s">
        <v>179</v>
      </c>
      <c r="C9" s="174" t="s">
        <v>115</v>
      </c>
      <c r="D9" s="244" t="s">
        <v>174</v>
      </c>
      <c r="E9" s="176" t="s">
        <v>173</v>
      </c>
      <c r="F9" s="177">
        <v>15</v>
      </c>
      <c r="G9" s="178">
        <f>H9/F9</f>
        <v>265.66666666666669</v>
      </c>
      <c r="H9" s="179">
        <v>3985</v>
      </c>
      <c r="I9" s="180">
        <v>0</v>
      </c>
      <c r="J9" s="181">
        <f t="shared" ref="J9" si="0">SUM(H9:I9)</f>
        <v>3985</v>
      </c>
      <c r="K9" s="182">
        <f t="shared" ref="K9:K13" si="1">IF(H9/15&lt;=SMG,0,I9/2)</f>
        <v>0</v>
      </c>
      <c r="L9" s="182">
        <f>H9+K9</f>
        <v>3985</v>
      </c>
      <c r="M9" s="182">
        <f t="shared" ref="M9:M20" si="2">VLOOKUP(L9,Tarifa1,1)</f>
        <v>3124.36</v>
      </c>
      <c r="N9" s="182">
        <f>L9-M9</f>
        <v>860.63999999999987</v>
      </c>
      <c r="O9" s="183">
        <f t="shared" ref="O9:O20" si="3">VLOOKUP(L9,Tarifa1,3)</f>
        <v>0.10879999999999999</v>
      </c>
      <c r="P9" s="182">
        <f>N9*O9</f>
        <v>93.637631999999982</v>
      </c>
      <c r="Q9" s="184">
        <f t="shared" ref="Q9:Q20" si="4">VLOOKUP(L9,Tarifa1,2)</f>
        <v>183.45</v>
      </c>
      <c r="R9" s="182">
        <f>P9+Q9</f>
        <v>277.08763199999999</v>
      </c>
      <c r="S9" s="182">
        <f t="shared" ref="S9:S20" si="5">VLOOKUP(L9,Credito1,2)</f>
        <v>0</v>
      </c>
      <c r="T9" s="182">
        <f>ROUND(R9-S9,2)</f>
        <v>277.08999999999997</v>
      </c>
      <c r="U9" s="181">
        <f>-IF(T9&gt;0,0,T9)</f>
        <v>0</v>
      </c>
      <c r="V9" s="181">
        <f t="shared" ref="V9:V20" si="6">IF(H9/15&lt;=SMG,0,IF(T9&lt;0,0,T9))</f>
        <v>277.08999999999997</v>
      </c>
      <c r="W9" s="181">
        <f>SUM(V9:V9)</f>
        <v>277.08999999999997</v>
      </c>
      <c r="X9" s="181">
        <f>J9+U9-W9</f>
        <v>3707.91</v>
      </c>
      <c r="Y9" s="90"/>
    </row>
    <row r="10" spans="1:25" s="4" customFormat="1" ht="77.25" customHeight="1" x14ac:dyDescent="0.3">
      <c r="A10" s="43"/>
      <c r="B10" s="174" t="s">
        <v>103</v>
      </c>
      <c r="C10" s="174" t="s">
        <v>115</v>
      </c>
      <c r="D10" s="243" t="s">
        <v>70</v>
      </c>
      <c r="E10" s="175" t="s">
        <v>71</v>
      </c>
      <c r="F10" s="177">
        <v>15</v>
      </c>
      <c r="G10" s="178">
        <f>H10/F10</f>
        <v>265.66666666666669</v>
      </c>
      <c r="H10" s="179">
        <v>3985</v>
      </c>
      <c r="I10" s="180">
        <v>0</v>
      </c>
      <c r="J10" s="181">
        <f t="shared" ref="J10" si="7">SUM(H10:I10)</f>
        <v>3985</v>
      </c>
      <c r="K10" s="182">
        <f t="shared" si="1"/>
        <v>0</v>
      </c>
      <c r="L10" s="182">
        <f t="shared" ref="L10:L20" si="8">H10+K10</f>
        <v>3985</v>
      </c>
      <c r="M10" s="182">
        <f t="shared" si="2"/>
        <v>3124.36</v>
      </c>
      <c r="N10" s="182">
        <f t="shared" ref="N10:N20" si="9">L10-M10</f>
        <v>860.63999999999987</v>
      </c>
      <c r="O10" s="183">
        <f t="shared" si="3"/>
        <v>0.10879999999999999</v>
      </c>
      <c r="P10" s="182">
        <f t="shared" ref="P10:P20" si="10">N10*O10</f>
        <v>93.637631999999982</v>
      </c>
      <c r="Q10" s="184">
        <f t="shared" si="4"/>
        <v>183.45</v>
      </c>
      <c r="R10" s="182">
        <f t="shared" ref="R10:R20" si="11">P10+Q10</f>
        <v>277.08763199999999</v>
      </c>
      <c r="S10" s="182">
        <f t="shared" si="5"/>
        <v>0</v>
      </c>
      <c r="T10" s="182">
        <f t="shared" ref="T10:T20" si="12">ROUND(R10-S10,2)</f>
        <v>277.08999999999997</v>
      </c>
      <c r="U10" s="181">
        <f t="shared" ref="U10:U20" si="13">-IF(T10&gt;0,0,T10)</f>
        <v>0</v>
      </c>
      <c r="V10" s="181">
        <f t="shared" si="6"/>
        <v>277.08999999999997</v>
      </c>
      <c r="W10" s="181">
        <f>SUM(V10:V10)</f>
        <v>277.08999999999997</v>
      </c>
      <c r="X10" s="181">
        <f>J10+U10-W10</f>
        <v>3707.91</v>
      </c>
      <c r="Y10" s="90"/>
    </row>
    <row r="11" spans="1:25" s="4" customFormat="1" ht="77.25" customHeight="1" x14ac:dyDescent="0.3">
      <c r="A11" s="43"/>
      <c r="B11" s="174" t="s">
        <v>286</v>
      </c>
      <c r="C11" s="174" t="s">
        <v>115</v>
      </c>
      <c r="D11" s="243" t="s">
        <v>290</v>
      </c>
      <c r="E11" s="176" t="s">
        <v>173</v>
      </c>
      <c r="F11" s="177">
        <v>15</v>
      </c>
      <c r="G11" s="178"/>
      <c r="H11" s="179">
        <v>3985</v>
      </c>
      <c r="I11" s="180">
        <v>0</v>
      </c>
      <c r="J11" s="181">
        <f t="shared" ref="J11" si="14">SUM(H11:I11)</f>
        <v>3985</v>
      </c>
      <c r="K11" s="182">
        <f t="shared" si="1"/>
        <v>0</v>
      </c>
      <c r="L11" s="182">
        <f t="shared" si="8"/>
        <v>3985</v>
      </c>
      <c r="M11" s="182">
        <f t="shared" si="2"/>
        <v>3124.36</v>
      </c>
      <c r="N11" s="182">
        <f t="shared" si="9"/>
        <v>860.63999999999987</v>
      </c>
      <c r="O11" s="183">
        <f t="shared" si="3"/>
        <v>0.10879999999999999</v>
      </c>
      <c r="P11" s="182">
        <f t="shared" si="10"/>
        <v>93.637631999999982</v>
      </c>
      <c r="Q11" s="184">
        <f t="shared" si="4"/>
        <v>183.45</v>
      </c>
      <c r="R11" s="182">
        <f t="shared" si="11"/>
        <v>277.08763199999999</v>
      </c>
      <c r="S11" s="182">
        <f t="shared" si="5"/>
        <v>0</v>
      </c>
      <c r="T11" s="182">
        <f t="shared" si="12"/>
        <v>277.08999999999997</v>
      </c>
      <c r="U11" s="181">
        <f t="shared" si="13"/>
        <v>0</v>
      </c>
      <c r="V11" s="181">
        <f t="shared" si="6"/>
        <v>277.08999999999997</v>
      </c>
      <c r="W11" s="181">
        <f>SUM(V11:V11)</f>
        <v>277.08999999999997</v>
      </c>
      <c r="X11" s="181">
        <f>J11+U11-W11</f>
        <v>3707.91</v>
      </c>
      <c r="Y11" s="90"/>
    </row>
    <row r="12" spans="1:25" s="4" customFormat="1" ht="77.25" customHeight="1" x14ac:dyDescent="0.3">
      <c r="A12" s="43"/>
      <c r="B12" s="174" t="s">
        <v>132</v>
      </c>
      <c r="C12" s="174" t="s">
        <v>115</v>
      </c>
      <c r="D12" s="245" t="s">
        <v>131</v>
      </c>
      <c r="E12" s="176" t="s">
        <v>102</v>
      </c>
      <c r="F12" s="177">
        <v>15</v>
      </c>
      <c r="G12" s="178">
        <f>H12/F12</f>
        <v>297.8</v>
      </c>
      <c r="H12" s="179">
        <v>4467</v>
      </c>
      <c r="I12" s="180">
        <v>0</v>
      </c>
      <c r="J12" s="181">
        <f>SUM(H12:I12)</f>
        <v>4467</v>
      </c>
      <c r="K12" s="182">
        <f t="shared" si="1"/>
        <v>0</v>
      </c>
      <c r="L12" s="182">
        <f t="shared" si="8"/>
        <v>4467</v>
      </c>
      <c r="M12" s="182">
        <f t="shared" si="2"/>
        <v>3124.36</v>
      </c>
      <c r="N12" s="182">
        <f t="shared" si="9"/>
        <v>1342.6399999999999</v>
      </c>
      <c r="O12" s="183">
        <f t="shared" si="3"/>
        <v>0.10879999999999999</v>
      </c>
      <c r="P12" s="182">
        <f t="shared" si="10"/>
        <v>146.07923199999999</v>
      </c>
      <c r="Q12" s="184">
        <f t="shared" si="4"/>
        <v>183.45</v>
      </c>
      <c r="R12" s="182">
        <f t="shared" si="11"/>
        <v>329.52923199999998</v>
      </c>
      <c r="S12" s="182">
        <f t="shared" si="5"/>
        <v>0</v>
      </c>
      <c r="T12" s="182">
        <f t="shared" si="12"/>
        <v>329.53</v>
      </c>
      <c r="U12" s="181">
        <f t="shared" si="13"/>
        <v>0</v>
      </c>
      <c r="V12" s="181">
        <f t="shared" si="6"/>
        <v>329.53</v>
      </c>
      <c r="W12" s="181">
        <f>SUM(V12:V12)</f>
        <v>329.53</v>
      </c>
      <c r="X12" s="181">
        <f>J12+U12-W12</f>
        <v>4137.47</v>
      </c>
      <c r="Y12" s="90"/>
    </row>
    <row r="13" spans="1:25" s="4" customFormat="1" ht="77.25" customHeight="1" x14ac:dyDescent="0.3">
      <c r="A13" s="43"/>
      <c r="B13" s="174" t="s">
        <v>190</v>
      </c>
      <c r="C13" s="174" t="s">
        <v>115</v>
      </c>
      <c r="D13" s="249" t="s">
        <v>191</v>
      </c>
      <c r="E13" s="176" t="s">
        <v>258</v>
      </c>
      <c r="F13" s="177">
        <v>15</v>
      </c>
      <c r="G13" s="178"/>
      <c r="H13" s="179">
        <v>3403</v>
      </c>
      <c r="I13" s="180">
        <v>0</v>
      </c>
      <c r="J13" s="181">
        <f t="shared" ref="J13" si="15">SUM(H13:I13)</f>
        <v>3403</v>
      </c>
      <c r="K13" s="182">
        <f t="shared" si="1"/>
        <v>0</v>
      </c>
      <c r="L13" s="182">
        <f t="shared" si="8"/>
        <v>3403</v>
      </c>
      <c r="M13" s="182">
        <f t="shared" si="2"/>
        <v>3124.36</v>
      </c>
      <c r="N13" s="182">
        <f t="shared" si="9"/>
        <v>278.63999999999987</v>
      </c>
      <c r="O13" s="183">
        <f t="shared" si="3"/>
        <v>0.10879999999999999</v>
      </c>
      <c r="P13" s="182">
        <f t="shared" si="10"/>
        <v>30.316031999999986</v>
      </c>
      <c r="Q13" s="184">
        <f t="shared" si="4"/>
        <v>183.45</v>
      </c>
      <c r="R13" s="182">
        <f t="shared" si="11"/>
        <v>213.76603199999997</v>
      </c>
      <c r="S13" s="182">
        <f t="shared" si="5"/>
        <v>125.1</v>
      </c>
      <c r="T13" s="182">
        <f t="shared" si="12"/>
        <v>88.67</v>
      </c>
      <c r="U13" s="181">
        <f t="shared" si="13"/>
        <v>0</v>
      </c>
      <c r="V13" s="181">
        <f t="shared" si="6"/>
        <v>88.67</v>
      </c>
      <c r="W13" s="181">
        <f>SUM(V13:V13)</f>
        <v>88.67</v>
      </c>
      <c r="X13" s="181">
        <f>J13+U13-W13</f>
        <v>3314.33</v>
      </c>
      <c r="Y13" s="90"/>
    </row>
    <row r="14" spans="1:25" s="4" customFormat="1" ht="77.25" customHeight="1" x14ac:dyDescent="0.3">
      <c r="A14" s="43"/>
      <c r="B14" s="174" t="s">
        <v>259</v>
      </c>
      <c r="C14" s="174" t="s">
        <v>115</v>
      </c>
      <c r="D14" s="245" t="s">
        <v>261</v>
      </c>
      <c r="E14" s="176" t="s">
        <v>260</v>
      </c>
      <c r="F14" s="177">
        <v>15</v>
      </c>
      <c r="G14" s="178"/>
      <c r="H14" s="179">
        <v>2373</v>
      </c>
      <c r="I14" s="180">
        <v>0</v>
      </c>
      <c r="J14" s="181">
        <f>SUM(H14:I14)</f>
        <v>2373</v>
      </c>
      <c r="K14" s="182">
        <f>IF(H14/15&lt;=SMG,0,I14/2)</f>
        <v>0</v>
      </c>
      <c r="L14" s="182">
        <f t="shared" si="8"/>
        <v>2373</v>
      </c>
      <c r="M14" s="182">
        <f t="shared" si="2"/>
        <v>368.11</v>
      </c>
      <c r="N14" s="182">
        <f t="shared" si="9"/>
        <v>2004.8899999999999</v>
      </c>
      <c r="O14" s="183">
        <f t="shared" si="3"/>
        <v>6.4000000000000001E-2</v>
      </c>
      <c r="P14" s="182">
        <f t="shared" si="10"/>
        <v>128.31296</v>
      </c>
      <c r="Q14" s="184">
        <f t="shared" si="4"/>
        <v>7.05</v>
      </c>
      <c r="R14" s="182">
        <f t="shared" si="11"/>
        <v>135.36296000000002</v>
      </c>
      <c r="S14" s="182">
        <f t="shared" si="5"/>
        <v>160.35</v>
      </c>
      <c r="T14" s="182">
        <f t="shared" si="12"/>
        <v>-24.99</v>
      </c>
      <c r="U14" s="181">
        <f t="shared" si="13"/>
        <v>24.99</v>
      </c>
      <c r="V14" s="181">
        <f t="shared" si="6"/>
        <v>0</v>
      </c>
      <c r="W14" s="181">
        <f>SUM(V14:V14)</f>
        <v>0</v>
      </c>
      <c r="X14" s="181">
        <f>J14+U14-W14</f>
        <v>2397.9899999999998</v>
      </c>
      <c r="Y14" s="90"/>
    </row>
    <row r="15" spans="1:25" s="4" customFormat="1" ht="77.25" customHeight="1" x14ac:dyDescent="0.3">
      <c r="A15" s="43"/>
      <c r="B15" s="174" t="s">
        <v>313</v>
      </c>
      <c r="C15" s="174" t="s">
        <v>115</v>
      </c>
      <c r="D15" s="245" t="s">
        <v>314</v>
      </c>
      <c r="E15" s="176" t="s">
        <v>315</v>
      </c>
      <c r="F15" s="177"/>
      <c r="G15" s="178"/>
      <c r="H15" s="179">
        <v>2373</v>
      </c>
      <c r="I15" s="180">
        <v>0</v>
      </c>
      <c r="J15" s="181">
        <f>SUM(H15:I15)</f>
        <v>2373</v>
      </c>
      <c r="K15" s="182">
        <f>IF(H15/15&lt;=SMG,0,I15/2)</f>
        <v>0</v>
      </c>
      <c r="L15" s="182">
        <f t="shared" ref="L15" si="16">H15+K15</f>
        <v>2373</v>
      </c>
      <c r="M15" s="182">
        <f t="shared" ref="M15" si="17">VLOOKUP(L15,Tarifa1,1)</f>
        <v>368.11</v>
      </c>
      <c r="N15" s="182">
        <f t="shared" ref="N15" si="18">L15-M15</f>
        <v>2004.8899999999999</v>
      </c>
      <c r="O15" s="183">
        <f t="shared" ref="O15" si="19">VLOOKUP(L15,Tarifa1,3)</f>
        <v>6.4000000000000001E-2</v>
      </c>
      <c r="P15" s="182">
        <f t="shared" ref="P15" si="20">N15*O15</f>
        <v>128.31296</v>
      </c>
      <c r="Q15" s="184">
        <f t="shared" ref="Q15" si="21">VLOOKUP(L15,Tarifa1,2)</f>
        <v>7.05</v>
      </c>
      <c r="R15" s="182">
        <f t="shared" ref="R15" si="22">P15+Q15</f>
        <v>135.36296000000002</v>
      </c>
      <c r="S15" s="182">
        <f t="shared" ref="S15" si="23">VLOOKUP(L15,Credito1,2)</f>
        <v>160.35</v>
      </c>
      <c r="T15" s="182">
        <f t="shared" ref="T15" si="24">ROUND(R15-S15,2)</f>
        <v>-24.99</v>
      </c>
      <c r="U15" s="181">
        <f t="shared" ref="U15" si="25">-IF(T15&gt;0,0,T15)</f>
        <v>24.99</v>
      </c>
      <c r="V15" s="181">
        <f t="shared" ref="V15" si="26">IF(H15/15&lt;=SMG,0,IF(T15&lt;0,0,T15))</f>
        <v>0</v>
      </c>
      <c r="W15" s="181">
        <f>SUM(V15:V15)</f>
        <v>0</v>
      </c>
      <c r="X15" s="181">
        <f>J15+U15-W15</f>
        <v>2397.9899999999998</v>
      </c>
      <c r="Y15" s="90"/>
    </row>
    <row r="16" spans="1:25" s="4" customFormat="1" ht="77.25" customHeight="1" x14ac:dyDescent="0.3">
      <c r="A16" s="43"/>
      <c r="B16" s="173" t="s">
        <v>228</v>
      </c>
      <c r="C16" s="174" t="s">
        <v>115</v>
      </c>
      <c r="D16" s="243" t="s">
        <v>247</v>
      </c>
      <c r="E16" s="175" t="s">
        <v>72</v>
      </c>
      <c r="F16" s="177">
        <v>15</v>
      </c>
      <c r="G16" s="178">
        <f>H16/F16</f>
        <v>497.6</v>
      </c>
      <c r="H16" s="179">
        <v>7464</v>
      </c>
      <c r="I16" s="180">
        <v>0</v>
      </c>
      <c r="J16" s="181">
        <f t="shared" ref="J16" si="27">SUM(H16:I16)</f>
        <v>7464</v>
      </c>
      <c r="K16" s="182">
        <f t="shared" ref="K16" si="28">IF(H16/15&lt;=SMG,0,I16/2)</f>
        <v>0</v>
      </c>
      <c r="L16" s="182">
        <f t="shared" si="8"/>
        <v>7464</v>
      </c>
      <c r="M16" s="182">
        <f t="shared" si="2"/>
        <v>6382.81</v>
      </c>
      <c r="N16" s="182">
        <f t="shared" si="9"/>
        <v>1081.1899999999996</v>
      </c>
      <c r="O16" s="183">
        <f t="shared" si="3"/>
        <v>0.1792</v>
      </c>
      <c r="P16" s="182">
        <f t="shared" si="10"/>
        <v>193.74924799999994</v>
      </c>
      <c r="Q16" s="184">
        <f t="shared" si="4"/>
        <v>583.65</v>
      </c>
      <c r="R16" s="182">
        <f t="shared" si="11"/>
        <v>777.39924799999994</v>
      </c>
      <c r="S16" s="182">
        <f t="shared" si="5"/>
        <v>0</v>
      </c>
      <c r="T16" s="182">
        <f t="shared" si="12"/>
        <v>777.4</v>
      </c>
      <c r="U16" s="181">
        <f t="shared" si="13"/>
        <v>0</v>
      </c>
      <c r="V16" s="181">
        <f t="shared" si="6"/>
        <v>777.4</v>
      </c>
      <c r="W16" s="181">
        <f>SUM(V16:V16)</f>
        <v>777.4</v>
      </c>
      <c r="X16" s="181">
        <f>J16+U16-W16</f>
        <v>6686.6</v>
      </c>
      <c r="Y16" s="90"/>
    </row>
    <row r="17" spans="1:31" s="4" customFormat="1" ht="77.25" customHeight="1" x14ac:dyDescent="0.3">
      <c r="A17" s="43"/>
      <c r="B17" s="173" t="s">
        <v>229</v>
      </c>
      <c r="C17" s="174" t="s">
        <v>115</v>
      </c>
      <c r="D17" s="243" t="s">
        <v>246</v>
      </c>
      <c r="E17" s="176" t="s">
        <v>172</v>
      </c>
      <c r="F17" s="177">
        <v>15</v>
      </c>
      <c r="G17" s="178"/>
      <c r="H17" s="179">
        <v>4241</v>
      </c>
      <c r="I17" s="180">
        <v>0</v>
      </c>
      <c r="J17" s="181">
        <f>SUM(H17:I17)</f>
        <v>4241</v>
      </c>
      <c r="K17" s="182">
        <f>IF(H17/15&lt;=SMG,0,I17/2)</f>
        <v>0</v>
      </c>
      <c r="L17" s="182">
        <f t="shared" si="8"/>
        <v>4241</v>
      </c>
      <c r="M17" s="182">
        <f t="shared" si="2"/>
        <v>3124.36</v>
      </c>
      <c r="N17" s="182">
        <f t="shared" si="9"/>
        <v>1116.6399999999999</v>
      </c>
      <c r="O17" s="183">
        <f t="shared" si="3"/>
        <v>0.10879999999999999</v>
      </c>
      <c r="P17" s="182">
        <f t="shared" si="10"/>
        <v>121.49043199999998</v>
      </c>
      <c r="Q17" s="184">
        <f t="shared" si="4"/>
        <v>183.45</v>
      </c>
      <c r="R17" s="182">
        <f t="shared" si="11"/>
        <v>304.94043199999999</v>
      </c>
      <c r="S17" s="182">
        <f t="shared" si="5"/>
        <v>0</v>
      </c>
      <c r="T17" s="182">
        <f t="shared" si="12"/>
        <v>304.94</v>
      </c>
      <c r="U17" s="181">
        <f t="shared" si="13"/>
        <v>0</v>
      </c>
      <c r="V17" s="181">
        <f t="shared" si="6"/>
        <v>304.94</v>
      </c>
      <c r="W17" s="181">
        <f>SUM(V17:V17)</f>
        <v>304.94</v>
      </c>
      <c r="X17" s="181">
        <f>J17+U17-W17</f>
        <v>3936.06</v>
      </c>
      <c r="Y17" s="90"/>
    </row>
    <row r="18" spans="1:31" s="4" customFormat="1" ht="77.25" customHeight="1" x14ac:dyDescent="0.3">
      <c r="A18" s="119"/>
      <c r="B18" s="173" t="s">
        <v>200</v>
      </c>
      <c r="C18" s="174" t="s">
        <v>115</v>
      </c>
      <c r="D18" s="243" t="s">
        <v>81</v>
      </c>
      <c r="E18" s="176" t="s">
        <v>185</v>
      </c>
      <c r="F18" s="177">
        <v>15</v>
      </c>
      <c r="G18" s="178">
        <f>H18/F18</f>
        <v>214.73333333333332</v>
      </c>
      <c r="H18" s="179">
        <v>3221</v>
      </c>
      <c r="I18" s="180">
        <v>0</v>
      </c>
      <c r="J18" s="181">
        <f>SUM(H18:I18)</f>
        <v>3221</v>
      </c>
      <c r="K18" s="182">
        <f>IF(H18/15&lt;=SMG,0,I18/2)</f>
        <v>0</v>
      </c>
      <c r="L18" s="182">
        <f t="shared" si="8"/>
        <v>3221</v>
      </c>
      <c r="M18" s="182">
        <f t="shared" si="2"/>
        <v>3124.36</v>
      </c>
      <c r="N18" s="182">
        <f t="shared" si="9"/>
        <v>96.639999999999873</v>
      </c>
      <c r="O18" s="183">
        <f t="shared" si="3"/>
        <v>0.10879999999999999</v>
      </c>
      <c r="P18" s="182">
        <f t="shared" si="10"/>
        <v>10.514431999999985</v>
      </c>
      <c r="Q18" s="184">
        <f t="shared" si="4"/>
        <v>183.45</v>
      </c>
      <c r="R18" s="182">
        <f t="shared" si="11"/>
        <v>193.96443199999999</v>
      </c>
      <c r="S18" s="182">
        <f t="shared" si="5"/>
        <v>125.1</v>
      </c>
      <c r="T18" s="182">
        <f t="shared" si="12"/>
        <v>68.86</v>
      </c>
      <c r="U18" s="181">
        <f t="shared" si="13"/>
        <v>0</v>
      </c>
      <c r="V18" s="181">
        <f t="shared" si="6"/>
        <v>68.86</v>
      </c>
      <c r="W18" s="181">
        <f>SUM(V18:V18)</f>
        <v>68.86</v>
      </c>
      <c r="X18" s="181">
        <f>J18+U18-W18</f>
        <v>3152.14</v>
      </c>
      <c r="Y18" s="90"/>
      <c r="Z18" s="88"/>
    </row>
    <row r="19" spans="1:31" s="4" customFormat="1" ht="77.25" customHeight="1" x14ac:dyDescent="0.3">
      <c r="A19" s="119"/>
      <c r="B19" s="173" t="s">
        <v>230</v>
      </c>
      <c r="C19" s="174" t="s">
        <v>115</v>
      </c>
      <c r="D19" s="243" t="s">
        <v>242</v>
      </c>
      <c r="E19" s="176" t="s">
        <v>144</v>
      </c>
      <c r="F19" s="177">
        <v>15</v>
      </c>
      <c r="G19" s="178"/>
      <c r="H19" s="179">
        <v>3619</v>
      </c>
      <c r="I19" s="180">
        <v>0</v>
      </c>
      <c r="J19" s="181">
        <f t="shared" ref="J19" si="29">SUM(H19:I19)</f>
        <v>3619</v>
      </c>
      <c r="K19" s="182">
        <f t="shared" ref="K19" si="30">IF(H19/15&lt;=SMG,0,I19/2)</f>
        <v>0</v>
      </c>
      <c r="L19" s="182">
        <f t="shared" si="8"/>
        <v>3619</v>
      </c>
      <c r="M19" s="182">
        <f t="shared" si="2"/>
        <v>3124.36</v>
      </c>
      <c r="N19" s="182">
        <f t="shared" si="9"/>
        <v>494.63999999999987</v>
      </c>
      <c r="O19" s="183">
        <f t="shared" si="3"/>
        <v>0.10879999999999999</v>
      </c>
      <c r="P19" s="182">
        <f t="shared" si="10"/>
        <v>53.816831999999984</v>
      </c>
      <c r="Q19" s="184">
        <f t="shared" si="4"/>
        <v>183.45</v>
      </c>
      <c r="R19" s="182">
        <f t="shared" si="11"/>
        <v>237.26683199999997</v>
      </c>
      <c r="S19" s="182">
        <f t="shared" si="5"/>
        <v>107.4</v>
      </c>
      <c r="T19" s="182">
        <f t="shared" si="12"/>
        <v>129.87</v>
      </c>
      <c r="U19" s="181">
        <f t="shared" si="13"/>
        <v>0</v>
      </c>
      <c r="V19" s="181">
        <f t="shared" si="6"/>
        <v>129.87</v>
      </c>
      <c r="W19" s="181">
        <f>SUM(V19:V19)</f>
        <v>129.87</v>
      </c>
      <c r="X19" s="181">
        <f>J19+U19-W19</f>
        <v>3489.13</v>
      </c>
      <c r="Y19" s="90"/>
      <c r="Z19" s="88"/>
    </row>
    <row r="20" spans="1:31" s="4" customFormat="1" ht="77.25" customHeight="1" x14ac:dyDescent="0.3">
      <c r="A20" s="119"/>
      <c r="B20" s="173" t="s">
        <v>263</v>
      </c>
      <c r="C20" s="174" t="s">
        <v>115</v>
      </c>
      <c r="D20" s="243" t="s">
        <v>244</v>
      </c>
      <c r="E20" s="176" t="s">
        <v>144</v>
      </c>
      <c r="F20" s="177">
        <v>15</v>
      </c>
      <c r="G20" s="178"/>
      <c r="H20" s="179">
        <v>3619</v>
      </c>
      <c r="I20" s="180">
        <v>482.54</v>
      </c>
      <c r="J20" s="181">
        <f>SUM(H20:I20)</f>
        <v>4101.54</v>
      </c>
      <c r="K20" s="182">
        <f>IF(H20/15&lt;=SMG,0,I20/2)</f>
        <v>241.27</v>
      </c>
      <c r="L20" s="182">
        <f t="shared" si="8"/>
        <v>3860.27</v>
      </c>
      <c r="M20" s="182">
        <f t="shared" si="2"/>
        <v>3124.36</v>
      </c>
      <c r="N20" s="182">
        <f t="shared" si="9"/>
        <v>735.90999999999985</v>
      </c>
      <c r="O20" s="183">
        <f t="shared" si="3"/>
        <v>0.10879999999999999</v>
      </c>
      <c r="P20" s="182">
        <f t="shared" si="10"/>
        <v>80.067007999999973</v>
      </c>
      <c r="Q20" s="184">
        <f t="shared" si="4"/>
        <v>183.45</v>
      </c>
      <c r="R20" s="182">
        <f t="shared" si="11"/>
        <v>263.51700799999998</v>
      </c>
      <c r="S20" s="182">
        <f t="shared" si="5"/>
        <v>0</v>
      </c>
      <c r="T20" s="182">
        <f t="shared" si="12"/>
        <v>263.52</v>
      </c>
      <c r="U20" s="181">
        <f t="shared" si="13"/>
        <v>0</v>
      </c>
      <c r="V20" s="181">
        <f t="shared" si="6"/>
        <v>263.52</v>
      </c>
      <c r="W20" s="181">
        <f>SUM(V20:V20)</f>
        <v>263.52</v>
      </c>
      <c r="X20" s="181">
        <f>J20+U20-W20</f>
        <v>3838.02</v>
      </c>
      <c r="Y20" s="90"/>
      <c r="Z20" s="88"/>
    </row>
    <row r="21" spans="1:31" s="4" customFormat="1" ht="75" customHeight="1" x14ac:dyDescent="0.2">
      <c r="A21" s="119"/>
      <c r="B21" s="158"/>
      <c r="C21" s="119"/>
      <c r="D21" s="169"/>
      <c r="E21" s="169"/>
      <c r="F21" s="159"/>
      <c r="G21" s="160"/>
      <c r="H21" s="161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Z21" s="88"/>
    </row>
    <row r="22" spans="1:31" s="4" customFormat="1" ht="24" customHeight="1" x14ac:dyDescent="0.25">
      <c r="A22" s="119"/>
      <c r="B22" s="272" t="s">
        <v>78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 spans="1:31" s="4" customFormat="1" ht="24" customHeight="1" x14ac:dyDescent="0.25">
      <c r="A23" s="119"/>
      <c r="B23" s="272" t="s">
        <v>63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</row>
    <row r="24" spans="1:31" s="4" customFormat="1" ht="25.5" customHeight="1" x14ac:dyDescent="0.25">
      <c r="A24" s="119"/>
      <c r="B24" s="263" t="s">
        <v>326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</row>
    <row r="25" spans="1:31" s="4" customFormat="1" ht="24" customHeight="1" x14ac:dyDescent="0.2">
      <c r="A25" s="119"/>
      <c r="B25" s="158"/>
      <c r="C25" s="119"/>
      <c r="D25" s="169"/>
      <c r="E25" s="169"/>
      <c r="F25" s="159"/>
      <c r="G25" s="160"/>
      <c r="H25" s="161"/>
      <c r="I25" s="162"/>
      <c r="J25" s="163"/>
      <c r="K25" s="164"/>
      <c r="L25" s="164"/>
      <c r="M25" s="164"/>
      <c r="N25" s="164"/>
      <c r="O25" s="165"/>
      <c r="P25" s="164"/>
      <c r="Q25" s="166"/>
      <c r="R25" s="164"/>
      <c r="S25" s="167"/>
      <c r="T25" s="164"/>
      <c r="U25" s="163"/>
      <c r="V25" s="163"/>
      <c r="W25" s="163"/>
      <c r="X25" s="163"/>
      <c r="Z25" s="88"/>
    </row>
    <row r="26" spans="1:31" s="4" customFormat="1" ht="21.75" customHeight="1" x14ac:dyDescent="0.2">
      <c r="A26" s="119"/>
      <c r="B26" s="158"/>
      <c r="C26" s="119"/>
      <c r="D26" s="169"/>
      <c r="E26" s="169"/>
      <c r="F26" s="159"/>
      <c r="G26" s="160"/>
      <c r="H26" s="161"/>
      <c r="I26" s="162"/>
      <c r="J26" s="163"/>
      <c r="K26" s="164"/>
      <c r="L26" s="164"/>
      <c r="M26" s="164"/>
      <c r="N26" s="164"/>
      <c r="O26" s="165"/>
      <c r="P26" s="164"/>
      <c r="Q26" s="166"/>
      <c r="R26" s="164"/>
      <c r="S26" s="167"/>
      <c r="T26" s="164"/>
      <c r="U26" s="163"/>
      <c r="V26" s="163"/>
      <c r="W26" s="163"/>
      <c r="X26" s="163"/>
      <c r="Z26" s="88"/>
    </row>
    <row r="27" spans="1:31" s="4" customFormat="1" ht="57.75" customHeight="1" x14ac:dyDescent="0.25">
      <c r="A27" s="114"/>
      <c r="B27" s="123" t="s">
        <v>101</v>
      </c>
      <c r="C27" s="123" t="s">
        <v>124</v>
      </c>
      <c r="D27" s="124" t="s">
        <v>123</v>
      </c>
      <c r="E27" s="124" t="s">
        <v>60</v>
      </c>
      <c r="F27" s="124"/>
      <c r="G27" s="124"/>
      <c r="H27" s="125">
        <f>SUM(H28:H29)</f>
        <v>9794</v>
      </c>
      <c r="I27" s="125">
        <f>SUM(I28:I29)</f>
        <v>685.46</v>
      </c>
      <c r="J27" s="125">
        <f>SUM(J28:J29)</f>
        <v>10479.459999999999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789.92</v>
      </c>
      <c r="W27" s="125">
        <f>SUM(W28:W29)</f>
        <v>789.92</v>
      </c>
      <c r="X27" s="125">
        <f>SUM(X28:X29)</f>
        <v>9689.5400000000009</v>
      </c>
      <c r="Y27" s="99"/>
    </row>
    <row r="28" spans="1:31" s="4" customFormat="1" ht="99.75" customHeight="1" x14ac:dyDescent="0.3">
      <c r="A28" s="116" t="s">
        <v>84</v>
      </c>
      <c r="B28" s="173" t="s">
        <v>159</v>
      </c>
      <c r="C28" s="174" t="s">
        <v>115</v>
      </c>
      <c r="D28" s="243" t="s">
        <v>146</v>
      </c>
      <c r="E28" s="176" t="s">
        <v>145</v>
      </c>
      <c r="F28" s="177">
        <v>15</v>
      </c>
      <c r="G28" s="178">
        <f>H28/F28</f>
        <v>342.73333333333335</v>
      </c>
      <c r="H28" s="179">
        <v>5141</v>
      </c>
      <c r="I28" s="180">
        <v>685.46</v>
      </c>
      <c r="J28" s="181">
        <f>SUM(H28:I28)</f>
        <v>5826.46</v>
      </c>
      <c r="K28" s="182">
        <f>IF(H28/15&lt;=SMG,0,I28/2)</f>
        <v>342.73</v>
      </c>
      <c r="L28" s="182">
        <f t="shared" ref="L28:L29" si="31">H28+K28</f>
        <v>5483.73</v>
      </c>
      <c r="M28" s="182">
        <f>VLOOKUP(L28,Tarifa1,1)</f>
        <v>3124.36</v>
      </c>
      <c r="N28" s="182">
        <f t="shared" ref="N28:N29" si="32">L28-M28</f>
        <v>2359.3699999999994</v>
      </c>
      <c r="O28" s="183">
        <f>VLOOKUP(L28,Tarifa1,3)</f>
        <v>0.10879999999999999</v>
      </c>
      <c r="P28" s="182">
        <f t="shared" ref="P28:P29" si="33">N28*O28</f>
        <v>256.69945599999994</v>
      </c>
      <c r="Q28" s="184">
        <f>VLOOKUP(L28,Tarifa1,2)</f>
        <v>183.45</v>
      </c>
      <c r="R28" s="182">
        <f t="shared" ref="R28:R29" si="34">P28+Q28</f>
        <v>440.14945599999993</v>
      </c>
      <c r="S28" s="182">
        <f>VLOOKUP(L28,Credito1,2)</f>
        <v>0</v>
      </c>
      <c r="T28" s="182">
        <f t="shared" ref="T28:T29" si="35">ROUND(R28-S28,2)</f>
        <v>440.15</v>
      </c>
      <c r="U28" s="181">
        <f t="shared" ref="U28:U29" si="36">-IF(T28&gt;0,0,T28)</f>
        <v>0</v>
      </c>
      <c r="V28" s="181">
        <f>IF(H28/15&lt;=SMG,0,IF(T28&lt;0,0,T28))</f>
        <v>440.15</v>
      </c>
      <c r="W28" s="181">
        <f>SUM(V28:V28)</f>
        <v>440.15</v>
      </c>
      <c r="X28" s="181">
        <f>J28+U28-W28</f>
        <v>5386.31</v>
      </c>
      <c r="Y28" s="90"/>
      <c r="AE28" s="95"/>
    </row>
    <row r="29" spans="1:31" s="4" customFormat="1" ht="99.75" customHeight="1" x14ac:dyDescent="0.3">
      <c r="A29" s="116"/>
      <c r="B29" s="173" t="s">
        <v>180</v>
      </c>
      <c r="C29" s="174" t="s">
        <v>115</v>
      </c>
      <c r="D29" s="243" t="s">
        <v>170</v>
      </c>
      <c r="E29" s="176" t="s">
        <v>171</v>
      </c>
      <c r="F29" s="177">
        <v>15</v>
      </c>
      <c r="G29" s="178"/>
      <c r="H29" s="179">
        <v>4653</v>
      </c>
      <c r="I29" s="180">
        <v>0</v>
      </c>
      <c r="J29" s="181">
        <f>SUM(H29:I29)</f>
        <v>4653</v>
      </c>
      <c r="K29" s="182">
        <f>IF(H29/15&lt;=SMG,0,I29/2)</f>
        <v>0</v>
      </c>
      <c r="L29" s="182">
        <f t="shared" si="31"/>
        <v>4653</v>
      </c>
      <c r="M29" s="182">
        <f>VLOOKUP(L29,Tarifa1,1)</f>
        <v>3124.36</v>
      </c>
      <c r="N29" s="182">
        <f t="shared" si="32"/>
        <v>1528.6399999999999</v>
      </c>
      <c r="O29" s="183">
        <f>VLOOKUP(L29,Tarifa1,3)</f>
        <v>0.10879999999999999</v>
      </c>
      <c r="P29" s="182">
        <f t="shared" si="33"/>
        <v>166.31603199999998</v>
      </c>
      <c r="Q29" s="184">
        <f>VLOOKUP(L29,Tarifa1,2)</f>
        <v>183.45</v>
      </c>
      <c r="R29" s="182">
        <f t="shared" si="34"/>
        <v>349.766032</v>
      </c>
      <c r="S29" s="182">
        <f>VLOOKUP(L29,Credito1,2)</f>
        <v>0</v>
      </c>
      <c r="T29" s="182">
        <f t="shared" si="35"/>
        <v>349.77</v>
      </c>
      <c r="U29" s="181">
        <f t="shared" si="36"/>
        <v>0</v>
      </c>
      <c r="V29" s="181">
        <f>IF(H29/15&lt;=SMG,0,IF(T29&lt;0,0,T29))</f>
        <v>349.77</v>
      </c>
      <c r="W29" s="181">
        <f>SUM(V29:V29)</f>
        <v>349.77</v>
      </c>
      <c r="X29" s="181">
        <f>J29+U29-W29</f>
        <v>4303.2299999999996</v>
      </c>
      <c r="Y29" s="90"/>
      <c r="AE29" s="95"/>
    </row>
    <row r="30" spans="1:31" s="4" customFormat="1" ht="27.75" customHeight="1" x14ac:dyDescent="0.25">
      <c r="A30" s="198"/>
      <c r="B30" s="198"/>
      <c r="C30" s="198"/>
      <c r="D30" s="198"/>
      <c r="E30" s="198"/>
      <c r="F30" s="198"/>
      <c r="G30" s="198"/>
      <c r="H30" s="204"/>
      <c r="I30" s="204"/>
      <c r="J30" s="204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</row>
    <row r="31" spans="1:31" s="4" customFormat="1" ht="75" customHeight="1" thickBot="1" x14ac:dyDescent="0.3">
      <c r="A31" s="259" t="s">
        <v>44</v>
      </c>
      <c r="B31" s="260"/>
      <c r="C31" s="260"/>
      <c r="D31" s="260"/>
      <c r="E31" s="260"/>
      <c r="F31" s="260"/>
      <c r="G31" s="261"/>
      <c r="H31" s="185">
        <f>H8+H27</f>
        <v>56529</v>
      </c>
      <c r="I31" s="185">
        <f>I8+I27</f>
        <v>1168</v>
      </c>
      <c r="J31" s="185">
        <f>J8+J27</f>
        <v>57697</v>
      </c>
      <c r="K31" s="186">
        <f t="shared" ref="K31:T31" si="37">SUM(K9:K30)</f>
        <v>584</v>
      </c>
      <c r="L31" s="186">
        <f t="shared" si="37"/>
        <v>57113</v>
      </c>
      <c r="M31" s="186">
        <f t="shared" si="37"/>
        <v>41486.990000000005</v>
      </c>
      <c r="N31" s="186">
        <f t="shared" si="37"/>
        <v>15626.009999999995</v>
      </c>
      <c r="O31" s="186">
        <f t="shared" si="37"/>
        <v>1.504</v>
      </c>
      <c r="P31" s="186">
        <f t="shared" si="37"/>
        <v>1596.5875199999998</v>
      </c>
      <c r="Q31" s="186">
        <f t="shared" si="37"/>
        <v>2615.6999999999994</v>
      </c>
      <c r="R31" s="186">
        <f t="shared" si="37"/>
        <v>4212.2875199999999</v>
      </c>
      <c r="S31" s="186">
        <f t="shared" si="37"/>
        <v>678.3</v>
      </c>
      <c r="T31" s="186">
        <f t="shared" si="37"/>
        <v>3534</v>
      </c>
      <c r="U31" s="185">
        <f>U8+U27</f>
        <v>49.98</v>
      </c>
      <c r="V31" s="185">
        <f>V8+V27</f>
        <v>3583.98</v>
      </c>
      <c r="W31" s="185">
        <f>W8+W27</f>
        <v>3583.98</v>
      </c>
      <c r="X31" s="185">
        <f>X8+X27</f>
        <v>54162.999999999985</v>
      </c>
    </row>
    <row r="32" spans="1:31" s="4" customFormat="1" ht="18" customHeight="1" thickTop="1" x14ac:dyDescent="0.25">
      <c r="A32" s="170"/>
      <c r="B32" s="170"/>
      <c r="C32" s="170"/>
      <c r="D32" s="170"/>
      <c r="E32" s="170"/>
      <c r="F32" s="170"/>
      <c r="G32" s="170"/>
      <c r="H32" s="171"/>
      <c r="I32" s="171"/>
      <c r="J32" s="171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1"/>
      <c r="V32" s="171"/>
      <c r="W32" s="171"/>
      <c r="X32" s="171"/>
    </row>
    <row r="33" spans="1:24" s="4" customFormat="1" ht="18" customHeight="1" x14ac:dyDescent="0.25">
      <c r="A33" s="170"/>
      <c r="B33" s="170"/>
      <c r="C33" s="170"/>
      <c r="D33" s="170"/>
      <c r="E33" s="170"/>
      <c r="F33" s="170"/>
      <c r="G33" s="170"/>
      <c r="H33" s="171"/>
      <c r="I33" s="171"/>
      <c r="J33" s="171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1"/>
      <c r="V33" s="171"/>
      <c r="W33" s="171"/>
      <c r="X33" s="171"/>
    </row>
    <row r="34" spans="1:24" s="4" customFormat="1" ht="18" customHeight="1" x14ac:dyDescent="0.25">
      <c r="A34" s="170"/>
      <c r="B34" s="170"/>
      <c r="C34" s="170"/>
      <c r="D34" s="170"/>
      <c r="E34" s="170"/>
      <c r="F34" s="170"/>
      <c r="G34" s="170"/>
      <c r="H34" s="171"/>
      <c r="I34" s="171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1"/>
      <c r="V34" s="171"/>
      <c r="W34" s="171"/>
      <c r="X34" s="171"/>
    </row>
    <row r="35" spans="1:24" s="4" customFormat="1" ht="18" customHeight="1" x14ac:dyDescent="0.25">
      <c r="A35" s="170"/>
      <c r="B35" s="170"/>
      <c r="C35" s="170"/>
      <c r="D35" s="170"/>
      <c r="E35" s="170"/>
      <c r="F35" s="170"/>
      <c r="G35" s="170"/>
      <c r="H35" s="171"/>
      <c r="I35" s="171"/>
      <c r="J35" s="171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1"/>
      <c r="V35" s="171"/>
      <c r="W35" s="171"/>
      <c r="X35" s="171"/>
    </row>
    <row r="36" spans="1:24" s="4" customFormat="1" ht="18" customHeight="1" x14ac:dyDescent="0.25">
      <c r="A36" s="170"/>
      <c r="B36" s="170"/>
      <c r="C36" s="170"/>
      <c r="D36" s="170"/>
      <c r="E36" s="170"/>
      <c r="F36" s="170"/>
      <c r="G36" s="170"/>
      <c r="H36" s="171"/>
      <c r="I36" s="171"/>
      <c r="J36" s="171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1"/>
      <c r="V36" s="171"/>
      <c r="W36" s="171"/>
      <c r="X36" s="171"/>
    </row>
    <row r="37" spans="1:24" s="4" customFormat="1" x14ac:dyDescent="0.2"/>
    <row r="38" spans="1:24" s="4" customFormat="1" x14ac:dyDescent="0.2"/>
    <row r="39" spans="1:24" s="4" customFormat="1" x14ac:dyDescent="0.2"/>
  </sheetData>
  <mergeCells count="10">
    <mergeCell ref="A31:G31"/>
    <mergeCell ref="A1:Y1"/>
    <mergeCell ref="A2:Y2"/>
    <mergeCell ref="A3:Y3"/>
    <mergeCell ref="H5:J5"/>
    <mergeCell ref="M5:R5"/>
    <mergeCell ref="V5:W5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topLeftCell="B35" zoomScale="57" zoomScaleNormal="57" workbookViewId="0">
      <selection activeCell="W3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2" width="14.7109375" hidden="1" customWidth="1"/>
    <col min="13" max="13" width="15.5703125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1" t="s">
        <v>124</v>
      </c>
      <c r="D5" s="47"/>
      <c r="E5" s="47"/>
      <c r="F5" s="48" t="s">
        <v>22</v>
      </c>
      <c r="G5" s="48" t="s">
        <v>5</v>
      </c>
      <c r="H5" s="284" t="s">
        <v>1</v>
      </c>
      <c r="I5" s="285"/>
      <c r="J5" s="286"/>
      <c r="K5" s="49" t="s">
        <v>25</v>
      </c>
      <c r="L5" s="50"/>
      <c r="M5" s="287" t="s">
        <v>8</v>
      </c>
      <c r="N5" s="288"/>
      <c r="O5" s="288"/>
      <c r="P5" s="288"/>
      <c r="Q5" s="288"/>
      <c r="R5" s="289"/>
      <c r="S5" s="49" t="s">
        <v>29</v>
      </c>
      <c r="T5" s="49" t="s">
        <v>9</v>
      </c>
      <c r="U5" s="48" t="s">
        <v>52</v>
      </c>
      <c r="V5" s="290" t="s">
        <v>2</v>
      </c>
      <c r="W5" s="291"/>
      <c r="X5" s="48" t="s">
        <v>0</v>
      </c>
      <c r="Y5" s="47"/>
    </row>
    <row r="6" spans="1:31" s="51" customFormat="1" ht="24" x14ac:dyDescent="0.2">
      <c r="A6" s="52" t="s">
        <v>20</v>
      </c>
      <c r="B6" s="46" t="s">
        <v>101</v>
      </c>
      <c r="C6" s="282"/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86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306</v>
      </c>
      <c r="W6" s="48" t="s">
        <v>6</v>
      </c>
      <c r="X6" s="52" t="s">
        <v>3</v>
      </c>
      <c r="Y6" s="52" t="s">
        <v>56</v>
      </c>
    </row>
    <row r="7" spans="1:31" s="51" customFormat="1" ht="12" x14ac:dyDescent="0.2">
      <c r="A7" s="52"/>
      <c r="B7" s="52"/>
      <c r="C7" s="283"/>
      <c r="D7" s="52"/>
      <c r="E7" s="52"/>
      <c r="F7" s="52"/>
      <c r="G7" s="52"/>
      <c r="H7" s="52" t="s">
        <v>46</v>
      </c>
      <c r="I7" s="52" t="s">
        <v>58</v>
      </c>
      <c r="J7" s="52" t="s">
        <v>28</v>
      </c>
      <c r="K7" s="54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87" t="s">
        <v>14</v>
      </c>
      <c r="R7" s="49" t="s">
        <v>38</v>
      </c>
      <c r="S7" s="54" t="s">
        <v>18</v>
      </c>
      <c r="T7" s="55" t="s">
        <v>125</v>
      </c>
      <c r="U7" s="52" t="s">
        <v>51</v>
      </c>
      <c r="V7" s="52"/>
      <c r="W7" s="52" t="s">
        <v>43</v>
      </c>
      <c r="X7" s="52" t="s">
        <v>4</v>
      </c>
      <c r="Y7" s="56"/>
    </row>
    <row r="8" spans="1:31" s="51" customFormat="1" ht="84.95" customHeight="1" x14ac:dyDescent="0.25">
      <c r="A8" s="37"/>
      <c r="B8" s="103" t="s">
        <v>101</v>
      </c>
      <c r="C8" s="103" t="s">
        <v>124</v>
      </c>
      <c r="D8" s="37" t="s">
        <v>149</v>
      </c>
      <c r="E8" s="37" t="s">
        <v>60</v>
      </c>
      <c r="F8" s="37"/>
      <c r="G8" s="37"/>
      <c r="H8" s="100">
        <f>SUM(H9:H9)</f>
        <v>7013</v>
      </c>
      <c r="I8" s="100">
        <f>SUM(I9:I9)</f>
        <v>0</v>
      </c>
      <c r="J8" s="100">
        <f>SUM(J9:J9)</f>
        <v>7013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696.58</v>
      </c>
      <c r="W8" s="100">
        <f>SUM(W9:W9)</f>
        <v>696.58</v>
      </c>
      <c r="X8" s="100">
        <f>SUM(X9:X9)</f>
        <v>6316.42</v>
      </c>
      <c r="Y8" s="102"/>
    </row>
    <row r="9" spans="1:31" s="51" customFormat="1" ht="91.5" customHeight="1" x14ac:dyDescent="0.3">
      <c r="A9" s="37"/>
      <c r="B9" s="205">
        <v>275</v>
      </c>
      <c r="C9" s="206" t="s">
        <v>115</v>
      </c>
      <c r="D9" s="246" t="s">
        <v>257</v>
      </c>
      <c r="E9" s="207" t="s">
        <v>225</v>
      </c>
      <c r="F9" s="192">
        <v>15</v>
      </c>
      <c r="G9" s="192"/>
      <c r="H9" s="179">
        <v>7013</v>
      </c>
      <c r="I9" s="180">
        <v>0</v>
      </c>
      <c r="J9" s="181">
        <f>SUM(H9:I9)</f>
        <v>7013</v>
      </c>
      <c r="K9" s="182">
        <f>IF(H9/15&lt;=SMG,0,I9/2)</f>
        <v>0</v>
      </c>
      <c r="L9" s="182">
        <f>H9+K9</f>
        <v>7013</v>
      </c>
      <c r="M9" s="182">
        <f>VLOOKUP(L9,Tarifa1,1)</f>
        <v>6382.81</v>
      </c>
      <c r="N9" s="182">
        <f>L9-M9</f>
        <v>630.1899999999996</v>
      </c>
      <c r="O9" s="183">
        <f>VLOOKUP(L9,Tarifa1,3)</f>
        <v>0.1792</v>
      </c>
      <c r="P9" s="182">
        <f>N9*O9</f>
        <v>112.93004799999993</v>
      </c>
      <c r="Q9" s="184">
        <f>VLOOKUP(L9,Tarifa1,2)</f>
        <v>583.65</v>
      </c>
      <c r="R9" s="182">
        <f>P9+Q9</f>
        <v>696.58004799999992</v>
      </c>
      <c r="S9" s="182">
        <f>VLOOKUP(L9,Credito1,2)</f>
        <v>0</v>
      </c>
      <c r="T9" s="182">
        <f>ROUND(R9-S9,2)</f>
        <v>696.58</v>
      </c>
      <c r="U9" s="181">
        <f>-IF(T9&gt;0,0,T9)</f>
        <v>0</v>
      </c>
      <c r="V9" s="181">
        <f>IF(H9/15&lt;=SMG,0,IF(T9&lt;0,0,T9))</f>
        <v>696.58</v>
      </c>
      <c r="W9" s="181">
        <f>SUM(V9:V9)</f>
        <v>696.58</v>
      </c>
      <c r="X9" s="181">
        <f>J9+U9-W9</f>
        <v>6316.42</v>
      </c>
      <c r="Y9" s="168"/>
    </row>
    <row r="10" spans="1:31" s="51" customFormat="1" ht="91.5" customHeight="1" x14ac:dyDescent="0.25">
      <c r="A10" s="37"/>
      <c r="B10" s="173" t="s">
        <v>157</v>
      </c>
      <c r="C10" s="174" t="s">
        <v>115</v>
      </c>
      <c r="D10" s="247" t="s">
        <v>141</v>
      </c>
      <c r="E10" s="176" t="s">
        <v>287</v>
      </c>
      <c r="F10" s="177">
        <v>15</v>
      </c>
      <c r="G10" s="178">
        <v>341.11</v>
      </c>
      <c r="H10" s="179">
        <v>4814</v>
      </c>
      <c r="I10" s="180">
        <v>0</v>
      </c>
      <c r="J10" s="181">
        <f>SUM(H10:I10)</f>
        <v>4814</v>
      </c>
      <c r="K10" s="182">
        <f>IF(H10/15&lt;=SMG,0,I10/2)</f>
        <v>0</v>
      </c>
      <c r="L10" s="182">
        <f>H10+K10</f>
        <v>4814</v>
      </c>
      <c r="M10" s="182">
        <f>VLOOKUP(L10,Tarifa1,1)</f>
        <v>3124.36</v>
      </c>
      <c r="N10" s="182">
        <f>L10-M10</f>
        <v>1689.6399999999999</v>
      </c>
      <c r="O10" s="183">
        <f>VLOOKUP(L10,Tarifa1,3)</f>
        <v>0.10879999999999999</v>
      </c>
      <c r="P10" s="182">
        <f>N10*O10</f>
        <v>183.83283199999997</v>
      </c>
      <c r="Q10" s="184">
        <f>VLOOKUP(L10,Tarifa1,2)</f>
        <v>183.45</v>
      </c>
      <c r="R10" s="182">
        <f>P10+Q10</f>
        <v>367.28283199999998</v>
      </c>
      <c r="S10" s="182">
        <f>VLOOKUP(L10,Credito1,2)</f>
        <v>0</v>
      </c>
      <c r="T10" s="182">
        <f>ROUND(R10-S10,2)</f>
        <v>367.28</v>
      </c>
      <c r="U10" s="181">
        <f>-IF(T10&gt;0,0,T10)</f>
        <v>0</v>
      </c>
      <c r="V10" s="181">
        <f>IF(H10/15&lt;=SMG,0,IF(T10&lt;0,0,T10))</f>
        <v>367.28</v>
      </c>
      <c r="W10" s="181">
        <f>SUM(V10:V10)</f>
        <v>367.28</v>
      </c>
      <c r="X10" s="181">
        <f>J10+U10-W10</f>
        <v>4446.72</v>
      </c>
      <c r="Y10" s="168"/>
    </row>
    <row r="11" spans="1:31" s="51" customFormat="1" ht="84.95" customHeight="1" x14ac:dyDescent="0.25">
      <c r="A11" s="45"/>
      <c r="B11" s="103" t="s">
        <v>101</v>
      </c>
      <c r="C11" s="103" t="s">
        <v>124</v>
      </c>
      <c r="D11" s="37" t="s">
        <v>195</v>
      </c>
      <c r="E11" s="37" t="s">
        <v>60</v>
      </c>
      <c r="F11" s="37"/>
      <c r="G11" s="37"/>
      <c r="H11" s="100">
        <f>SUM(H12)</f>
        <v>7013</v>
      </c>
      <c r="I11" s="100">
        <f>SUM(I12)</f>
        <v>0</v>
      </c>
      <c r="J11" s="100">
        <f>SUM(J12)</f>
        <v>7013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696.58</v>
      </c>
      <c r="W11" s="100">
        <f>SUM(W12)</f>
        <v>696.58</v>
      </c>
      <c r="X11" s="100">
        <f>SUM(X12)</f>
        <v>6316.42</v>
      </c>
      <c r="Y11" s="102"/>
      <c r="AE11" s="59"/>
    </row>
    <row r="12" spans="1:31" s="51" customFormat="1" ht="84.95" customHeight="1" x14ac:dyDescent="0.25">
      <c r="A12" s="45"/>
      <c r="B12" s="173" t="s">
        <v>196</v>
      </c>
      <c r="C12" s="174" t="s">
        <v>115</v>
      </c>
      <c r="D12" s="247" t="s">
        <v>194</v>
      </c>
      <c r="E12" s="176" t="s">
        <v>266</v>
      </c>
      <c r="F12" s="177">
        <v>15</v>
      </c>
      <c r="G12" s="178">
        <f>H12/F12</f>
        <v>467.53333333333336</v>
      </c>
      <c r="H12" s="179">
        <v>7013</v>
      </c>
      <c r="I12" s="180">
        <v>0</v>
      </c>
      <c r="J12" s="181">
        <f>SUM(H12:I12)</f>
        <v>7013</v>
      </c>
      <c r="K12" s="182">
        <f>IF(H12/15&lt;=SMG,0,I12/2)</f>
        <v>0</v>
      </c>
      <c r="L12" s="182">
        <f>H12+K12</f>
        <v>7013</v>
      </c>
      <c r="M12" s="182">
        <f>VLOOKUP(L12,Tarifa1,1)</f>
        <v>6382.81</v>
      </c>
      <c r="N12" s="182">
        <f>L12-M12</f>
        <v>630.1899999999996</v>
      </c>
      <c r="O12" s="183">
        <f>VLOOKUP(L12,Tarifa1,3)</f>
        <v>0.1792</v>
      </c>
      <c r="P12" s="182">
        <f>N12*O12</f>
        <v>112.93004799999993</v>
      </c>
      <c r="Q12" s="184">
        <f>VLOOKUP(L12,Tarifa1,2)</f>
        <v>583.65</v>
      </c>
      <c r="R12" s="182">
        <f>P12+Q12</f>
        <v>696.58004799999992</v>
      </c>
      <c r="S12" s="182">
        <f>VLOOKUP(L12,Credito1,2)</f>
        <v>0</v>
      </c>
      <c r="T12" s="182">
        <f>ROUND(R12-S12,2)</f>
        <v>696.58</v>
      </c>
      <c r="U12" s="181">
        <f>-IF(T12&gt;0,0,T12)</f>
        <v>0</v>
      </c>
      <c r="V12" s="181">
        <f>IF(H12/15&lt;=SMG,0,IF(T12&lt;0,0,T12))</f>
        <v>696.58</v>
      </c>
      <c r="W12" s="181">
        <f>SUM(V12:V12)</f>
        <v>696.58</v>
      </c>
      <c r="X12" s="181">
        <f>J12+U12-W12</f>
        <v>6316.42</v>
      </c>
      <c r="Y12" s="93"/>
      <c r="AE12" s="59"/>
    </row>
    <row r="13" spans="1:31" s="51" customFormat="1" ht="84.95" customHeight="1" x14ac:dyDescent="0.25">
      <c r="A13" s="45"/>
      <c r="B13" s="103" t="s">
        <v>101</v>
      </c>
      <c r="C13" s="103" t="s">
        <v>124</v>
      </c>
      <c r="D13" s="37" t="s">
        <v>127</v>
      </c>
      <c r="E13" s="37" t="s">
        <v>60</v>
      </c>
      <c r="F13" s="37"/>
      <c r="G13" s="37"/>
      <c r="H13" s="100">
        <f>SUM(H14:H15)</f>
        <v>10858</v>
      </c>
      <c r="I13" s="100">
        <f>SUM(I14:I15)</f>
        <v>0</v>
      </c>
      <c r="J13" s="100">
        <f>SUM(J14:J15)</f>
        <v>10858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SUM(U14:U15)</f>
        <v>0</v>
      </c>
      <c r="V13" s="100">
        <f>SUM(V14:V15)</f>
        <v>948.57999999999993</v>
      </c>
      <c r="W13" s="100">
        <f>SUM(W14:W15)</f>
        <v>948.57999999999993</v>
      </c>
      <c r="X13" s="100">
        <f>SUM(X14:X15)</f>
        <v>9909.42</v>
      </c>
      <c r="Y13" s="102"/>
      <c r="AE13" s="59"/>
    </row>
    <row r="14" spans="1:31" s="51" customFormat="1" ht="84.95" customHeight="1" x14ac:dyDescent="0.25">
      <c r="A14" s="45" t="s">
        <v>87</v>
      </c>
      <c r="B14" s="174" t="s">
        <v>114</v>
      </c>
      <c r="C14" s="174" t="s">
        <v>115</v>
      </c>
      <c r="D14" s="247" t="s">
        <v>93</v>
      </c>
      <c r="E14" s="176" t="s">
        <v>94</v>
      </c>
      <c r="F14" s="177">
        <v>15</v>
      </c>
      <c r="G14" s="178">
        <f t="shared" ref="G14:G33" si="0">H14/F14</f>
        <v>458.2</v>
      </c>
      <c r="H14" s="179">
        <v>6873</v>
      </c>
      <c r="I14" s="180">
        <v>0</v>
      </c>
      <c r="J14" s="181">
        <f>SUM(H14:I14)</f>
        <v>6873</v>
      </c>
      <c r="K14" s="182">
        <f>IF(H14/15&lt;=SMG,0,I14/2)</f>
        <v>0</v>
      </c>
      <c r="L14" s="182">
        <f>H14+K14</f>
        <v>6873</v>
      </c>
      <c r="M14" s="182">
        <f>VLOOKUP(L14,Tarifa1,1)</f>
        <v>6382.81</v>
      </c>
      <c r="N14" s="182">
        <f>L14-M14</f>
        <v>490.1899999999996</v>
      </c>
      <c r="O14" s="183">
        <f>VLOOKUP(L14,Tarifa1,3)</f>
        <v>0.1792</v>
      </c>
      <c r="P14" s="182">
        <f>N14*O14</f>
        <v>87.842047999999934</v>
      </c>
      <c r="Q14" s="184">
        <f>VLOOKUP(L14,Tarifa1,2)</f>
        <v>583.65</v>
      </c>
      <c r="R14" s="182">
        <f>P14+Q14</f>
        <v>671.49204799999995</v>
      </c>
      <c r="S14" s="182">
        <f>VLOOKUP(L14,Credito1,2)</f>
        <v>0</v>
      </c>
      <c r="T14" s="182">
        <f>ROUND(R14-S14,2)</f>
        <v>671.49</v>
      </c>
      <c r="U14" s="181">
        <f>-IF(T14&gt;0,0,T14)</f>
        <v>0</v>
      </c>
      <c r="V14" s="181">
        <f>IF(H14/15&lt;=SMG,0,IF(T14&lt;0,0,T14))</f>
        <v>671.49</v>
      </c>
      <c r="W14" s="181">
        <f>SUM(V14:V14)</f>
        <v>671.49</v>
      </c>
      <c r="X14" s="181">
        <f>J14+U14-W14</f>
        <v>6201.51</v>
      </c>
      <c r="Y14" s="93"/>
      <c r="AE14" s="64"/>
    </row>
    <row r="15" spans="1:31" s="51" customFormat="1" ht="84.95" customHeight="1" x14ac:dyDescent="0.25">
      <c r="A15" s="45"/>
      <c r="B15" s="173" t="s">
        <v>181</v>
      </c>
      <c r="C15" s="174" t="s">
        <v>115</v>
      </c>
      <c r="D15" s="247" t="s">
        <v>167</v>
      </c>
      <c r="E15" s="176" t="s">
        <v>168</v>
      </c>
      <c r="F15" s="177">
        <v>15</v>
      </c>
      <c r="G15" s="178"/>
      <c r="H15" s="179">
        <v>3985</v>
      </c>
      <c r="I15" s="180">
        <v>0</v>
      </c>
      <c r="J15" s="181">
        <f>SUM(H15:I15)</f>
        <v>3985</v>
      </c>
      <c r="K15" s="182">
        <f>IF(H15/15&lt;=SMG,0,I15/2)</f>
        <v>0</v>
      </c>
      <c r="L15" s="182">
        <f>H15+K15</f>
        <v>3985</v>
      </c>
      <c r="M15" s="182">
        <f>VLOOKUP(L15,Tarifa1,1)</f>
        <v>3124.36</v>
      </c>
      <c r="N15" s="182">
        <f>L15-M15</f>
        <v>860.63999999999987</v>
      </c>
      <c r="O15" s="183">
        <f>VLOOKUP(L15,Tarifa1,3)</f>
        <v>0.10879999999999999</v>
      </c>
      <c r="P15" s="182">
        <f>N15*O15</f>
        <v>93.637631999999982</v>
      </c>
      <c r="Q15" s="184">
        <f>VLOOKUP(L15,Tarifa1,2)</f>
        <v>183.45</v>
      </c>
      <c r="R15" s="182">
        <f>P15+Q15</f>
        <v>277.08763199999999</v>
      </c>
      <c r="S15" s="182">
        <f>VLOOKUP(L15,Credito1,2)</f>
        <v>0</v>
      </c>
      <c r="T15" s="182">
        <f>ROUND(R15-S15,2)</f>
        <v>277.08999999999997</v>
      </c>
      <c r="U15" s="181">
        <f>-IF(T15&gt;0,0,T15)</f>
        <v>0</v>
      </c>
      <c r="V15" s="181">
        <f>IF(H15/15&lt;=SMG,0,IF(T15&lt;0,0,T15))</f>
        <v>277.08999999999997</v>
      </c>
      <c r="W15" s="181">
        <f>SUM(V15:V15)</f>
        <v>277.08999999999997</v>
      </c>
      <c r="X15" s="181">
        <f>J15+U15-W15</f>
        <v>3707.91</v>
      </c>
      <c r="Y15" s="117"/>
      <c r="AE15" s="64"/>
    </row>
    <row r="16" spans="1:31" s="51" customFormat="1" ht="51.75" customHeight="1" x14ac:dyDescent="0.25">
      <c r="A16" s="45"/>
      <c r="B16" s="103" t="s">
        <v>101</v>
      </c>
      <c r="C16" s="103" t="s">
        <v>124</v>
      </c>
      <c r="D16" s="37" t="s">
        <v>128</v>
      </c>
      <c r="E16" s="37" t="s">
        <v>60</v>
      </c>
      <c r="F16" s="37"/>
      <c r="G16" s="37"/>
      <c r="H16" s="100">
        <f>SUM(H17:H19)</f>
        <v>16828</v>
      </c>
      <c r="I16" s="100">
        <f>SUM(I17:I19)</f>
        <v>0</v>
      </c>
      <c r="J16" s="100">
        <f>SUM(J17:J19)</f>
        <v>16828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1483.24</v>
      </c>
      <c r="W16" s="100">
        <f>SUM(W17:W19)</f>
        <v>1483.24</v>
      </c>
      <c r="X16" s="100">
        <f>SUM(X17:X19)</f>
        <v>15344.76</v>
      </c>
      <c r="Y16" s="102"/>
      <c r="AE16" s="64"/>
    </row>
    <row r="17" spans="1:31" s="51" customFormat="1" ht="84.95" customHeight="1" x14ac:dyDescent="0.3">
      <c r="A17" s="45" t="s">
        <v>88</v>
      </c>
      <c r="B17" s="208">
        <v>185</v>
      </c>
      <c r="C17" s="174" t="s">
        <v>115</v>
      </c>
      <c r="D17" s="248" t="s">
        <v>154</v>
      </c>
      <c r="E17" s="176" t="s">
        <v>95</v>
      </c>
      <c r="F17" s="177">
        <v>15</v>
      </c>
      <c r="G17" s="178">
        <f t="shared" si="0"/>
        <v>497.6</v>
      </c>
      <c r="H17" s="179">
        <v>7464</v>
      </c>
      <c r="I17" s="180">
        <v>0</v>
      </c>
      <c r="J17" s="181">
        <f t="shared" ref="J17" si="1">SUM(H17:I17)</f>
        <v>7464</v>
      </c>
      <c r="K17" s="182">
        <f>IF(H17/15&lt;=SMG,0,I17/2)</f>
        <v>0</v>
      </c>
      <c r="L17" s="182">
        <f>H17+K17</f>
        <v>7464</v>
      </c>
      <c r="M17" s="182">
        <f>VLOOKUP(L17,Tarifa1,1)</f>
        <v>6382.81</v>
      </c>
      <c r="N17" s="182">
        <f>L17-M17</f>
        <v>1081.1899999999996</v>
      </c>
      <c r="O17" s="183">
        <f>VLOOKUP(L17,Tarifa1,3)</f>
        <v>0.1792</v>
      </c>
      <c r="P17" s="182">
        <f>N17*O17</f>
        <v>193.74924799999994</v>
      </c>
      <c r="Q17" s="184">
        <f>VLOOKUP(L17,Tarifa1,2)</f>
        <v>583.65</v>
      </c>
      <c r="R17" s="182">
        <f>P17+Q17</f>
        <v>777.39924799999994</v>
      </c>
      <c r="S17" s="182">
        <f>VLOOKUP(L17,Credito1,2)</f>
        <v>0</v>
      </c>
      <c r="T17" s="182">
        <f>ROUND(R17-S17,2)</f>
        <v>777.4</v>
      </c>
      <c r="U17" s="181">
        <f>-IF(T17&gt;0,0,T17)</f>
        <v>0</v>
      </c>
      <c r="V17" s="181">
        <f>IF(H17/15&lt;=SMG,0,IF(T17&lt;0,0,T17))</f>
        <v>777.4</v>
      </c>
      <c r="W17" s="181">
        <f>SUM(V17:V17)</f>
        <v>777.4</v>
      </c>
      <c r="X17" s="181">
        <f>J17+U17-W17</f>
        <v>6686.6</v>
      </c>
      <c r="Y17" s="93"/>
      <c r="AE17" s="64"/>
    </row>
    <row r="18" spans="1:31" s="51" customFormat="1" ht="84.95" customHeight="1" x14ac:dyDescent="0.3">
      <c r="A18" s="45"/>
      <c r="B18" s="173" t="s">
        <v>312</v>
      </c>
      <c r="C18" s="174" t="s">
        <v>115</v>
      </c>
      <c r="D18" s="245" t="s">
        <v>311</v>
      </c>
      <c r="E18" s="176" t="s">
        <v>147</v>
      </c>
      <c r="F18" s="177">
        <v>15</v>
      </c>
      <c r="G18" s="178">
        <f>H18/F18</f>
        <v>358.6</v>
      </c>
      <c r="H18" s="179">
        <v>5379</v>
      </c>
      <c r="I18" s="180">
        <v>0</v>
      </c>
      <c r="J18" s="181">
        <f>SUM(H18:I18)</f>
        <v>5379</v>
      </c>
      <c r="K18" s="182">
        <f>IF(H18/15&lt;=SMG,0,I18/2)</f>
        <v>0</v>
      </c>
      <c r="L18" s="182">
        <f t="shared" ref="L18:L19" si="2">H18+K18</f>
        <v>5379</v>
      </c>
      <c r="M18" s="182">
        <f>VLOOKUP(L18,Tarifa1,1)</f>
        <v>3124.36</v>
      </c>
      <c r="N18" s="182">
        <f t="shared" ref="N18:N19" si="3">L18-M18</f>
        <v>2254.64</v>
      </c>
      <c r="O18" s="183">
        <f>VLOOKUP(L18,Tarifa1,3)</f>
        <v>0.10879999999999999</v>
      </c>
      <c r="P18" s="182">
        <f t="shared" ref="P18:P19" si="4">N18*O18</f>
        <v>245.30483199999998</v>
      </c>
      <c r="Q18" s="184">
        <f>VLOOKUP(L18,Tarifa1,2)</f>
        <v>183.45</v>
      </c>
      <c r="R18" s="182">
        <f t="shared" ref="R18:R19" si="5">P18+Q18</f>
        <v>428.75483199999996</v>
      </c>
      <c r="S18" s="182">
        <f>VLOOKUP(L18,Credito1,2)</f>
        <v>0</v>
      </c>
      <c r="T18" s="182">
        <f t="shared" ref="T18:T19" si="6">ROUND(R18-S18,2)</f>
        <v>428.75</v>
      </c>
      <c r="U18" s="181">
        <f t="shared" ref="U18:U21" si="7">-IF(T18&gt;0,0,T18)</f>
        <v>0</v>
      </c>
      <c r="V18" s="181">
        <f>IF(H18/15&lt;=SMG,0,IF(T18&lt;0,0,T18))</f>
        <v>428.75</v>
      </c>
      <c r="W18" s="181">
        <f>SUM(V18:V18)</f>
        <v>428.75</v>
      </c>
      <c r="X18" s="181">
        <f>J18+U18-W18</f>
        <v>4950.25</v>
      </c>
      <c r="Y18" s="93"/>
      <c r="AE18" s="64"/>
    </row>
    <row r="19" spans="1:31" s="51" customFormat="1" ht="84.95" customHeight="1" x14ac:dyDescent="0.3">
      <c r="A19" s="45"/>
      <c r="B19" s="173" t="s">
        <v>189</v>
      </c>
      <c r="C19" s="174" t="s">
        <v>115</v>
      </c>
      <c r="D19" s="249" t="s">
        <v>186</v>
      </c>
      <c r="E19" s="176" t="s">
        <v>187</v>
      </c>
      <c r="F19" s="177">
        <v>15</v>
      </c>
      <c r="G19" s="178"/>
      <c r="H19" s="179">
        <v>3985</v>
      </c>
      <c r="I19" s="180">
        <v>0</v>
      </c>
      <c r="J19" s="181">
        <f>SUM(H19:I19)</f>
        <v>3985</v>
      </c>
      <c r="K19" s="182">
        <f>IF(H19/15&lt;=SMG,0,I19/2)</f>
        <v>0</v>
      </c>
      <c r="L19" s="182">
        <f t="shared" si="2"/>
        <v>3985</v>
      </c>
      <c r="M19" s="182">
        <f>VLOOKUP(L19,Tarifa1,1)</f>
        <v>3124.36</v>
      </c>
      <c r="N19" s="182">
        <f t="shared" si="3"/>
        <v>860.63999999999987</v>
      </c>
      <c r="O19" s="183">
        <f>VLOOKUP(L19,Tarifa1,3)</f>
        <v>0.10879999999999999</v>
      </c>
      <c r="P19" s="182">
        <f t="shared" si="4"/>
        <v>93.637631999999982</v>
      </c>
      <c r="Q19" s="184">
        <f>VLOOKUP(L19,Tarifa1,2)</f>
        <v>183.45</v>
      </c>
      <c r="R19" s="182">
        <f t="shared" si="5"/>
        <v>277.08763199999999</v>
      </c>
      <c r="S19" s="182">
        <f>VLOOKUP(L19,Credito1,2)</f>
        <v>0</v>
      </c>
      <c r="T19" s="182">
        <f t="shared" si="6"/>
        <v>277.08999999999997</v>
      </c>
      <c r="U19" s="181">
        <f t="shared" si="7"/>
        <v>0</v>
      </c>
      <c r="V19" s="181">
        <f>IF(H19/15&lt;=SMG,0,IF(T19&lt;0,0,T19))</f>
        <v>277.08999999999997</v>
      </c>
      <c r="W19" s="181">
        <f>SUM(V19:V19)</f>
        <v>277.08999999999997</v>
      </c>
      <c r="X19" s="181">
        <f>J19+U19-W19</f>
        <v>3707.91</v>
      </c>
      <c r="Y19" s="93"/>
      <c r="AE19" s="64"/>
    </row>
    <row r="20" spans="1:31" s="51" customFormat="1" ht="60" customHeight="1" x14ac:dyDescent="0.25">
      <c r="A20" s="45"/>
      <c r="B20" s="103" t="s">
        <v>101</v>
      </c>
      <c r="C20" s="103" t="s">
        <v>124</v>
      </c>
      <c r="D20" s="37" t="s">
        <v>300</v>
      </c>
      <c r="E20" s="37" t="s">
        <v>60</v>
      </c>
      <c r="F20" s="37"/>
      <c r="G20" s="37"/>
      <c r="H20" s="100">
        <f>SUM(H21:H23)</f>
        <v>7013</v>
      </c>
      <c r="I20" s="100">
        <f>SUM(I21:I23)</f>
        <v>0</v>
      </c>
      <c r="J20" s="100">
        <f>SUM(J21:J23)</f>
        <v>7013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SUM(U21:U23)</f>
        <v>0</v>
      </c>
      <c r="V20" s="100">
        <f>SUM(V21:V23)</f>
        <v>696.58</v>
      </c>
      <c r="W20" s="100">
        <f>SUM(W21:W23)</f>
        <v>696.58</v>
      </c>
      <c r="X20" s="100">
        <f>SUM(X21:X23)</f>
        <v>6316.42</v>
      </c>
      <c r="Y20" s="102"/>
      <c r="AE20" s="64"/>
    </row>
    <row r="21" spans="1:31" s="51" customFormat="1" ht="84.95" customHeight="1" x14ac:dyDescent="0.3">
      <c r="A21" s="45"/>
      <c r="B21" s="173" t="s">
        <v>297</v>
      </c>
      <c r="C21" s="174" t="s">
        <v>115</v>
      </c>
      <c r="D21" s="245" t="s">
        <v>298</v>
      </c>
      <c r="E21" s="176" t="s">
        <v>299</v>
      </c>
      <c r="F21" s="177"/>
      <c r="G21" s="178"/>
      <c r="H21" s="179">
        <v>7013</v>
      </c>
      <c r="I21" s="180">
        <v>0</v>
      </c>
      <c r="J21" s="181">
        <f>SUM(H21:I21)</f>
        <v>7013</v>
      </c>
      <c r="K21" s="182">
        <f>IF(H21/15&lt;=SMG,0,I21/2)</f>
        <v>0</v>
      </c>
      <c r="L21" s="182">
        <f t="shared" ref="L21" si="8">H21+K21</f>
        <v>7013</v>
      </c>
      <c r="M21" s="182">
        <f>VLOOKUP(L21,Tarifa1,1)</f>
        <v>6382.81</v>
      </c>
      <c r="N21" s="182">
        <f t="shared" ref="N21" si="9">L21-M21</f>
        <v>630.1899999999996</v>
      </c>
      <c r="O21" s="183">
        <f>VLOOKUP(L21,Tarifa1,3)</f>
        <v>0.1792</v>
      </c>
      <c r="P21" s="182">
        <f t="shared" ref="P21" si="10">N21*O21</f>
        <v>112.93004799999993</v>
      </c>
      <c r="Q21" s="184">
        <f>VLOOKUP(L21,Tarifa1,2)</f>
        <v>583.65</v>
      </c>
      <c r="R21" s="182">
        <f t="shared" ref="R21" si="11">P21+Q21</f>
        <v>696.58004799999992</v>
      </c>
      <c r="S21" s="182">
        <f>VLOOKUP(L21,Credito1,2)</f>
        <v>0</v>
      </c>
      <c r="T21" s="182">
        <f t="shared" ref="T21" si="12">ROUND(R21-S21,2)</f>
        <v>696.58</v>
      </c>
      <c r="U21" s="181">
        <f t="shared" si="7"/>
        <v>0</v>
      </c>
      <c r="V21" s="181">
        <f>IF(H21/15&lt;=SMG,0,IF(T21&lt;0,0,T21))</f>
        <v>696.58</v>
      </c>
      <c r="W21" s="181">
        <f>SUM(V21:V21)</f>
        <v>696.58</v>
      </c>
      <c r="X21" s="181">
        <f>J21+U21-W21</f>
        <v>6316.42</v>
      </c>
      <c r="Y21" s="93"/>
      <c r="AE21" s="64"/>
    </row>
    <row r="22" spans="1:31" s="51" customFormat="1" ht="24" customHeight="1" x14ac:dyDescent="0.25">
      <c r="A22" s="45"/>
      <c r="B22" s="232"/>
      <c r="C22" s="215"/>
      <c r="D22" s="233"/>
      <c r="E22" s="221"/>
      <c r="F22" s="222"/>
      <c r="G22" s="223"/>
      <c r="H22" s="224"/>
      <c r="I22" s="225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94"/>
      <c r="AE22" s="64"/>
    </row>
    <row r="23" spans="1:31" s="51" customFormat="1" ht="24" customHeight="1" x14ac:dyDescent="0.25">
      <c r="A23" s="45"/>
      <c r="B23" s="232"/>
      <c r="C23" s="215"/>
      <c r="D23" s="233"/>
      <c r="E23" s="221"/>
      <c r="F23" s="222"/>
      <c r="G23" s="223"/>
      <c r="H23" s="224"/>
      <c r="I23" s="225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94"/>
      <c r="AE23" s="64"/>
    </row>
    <row r="24" spans="1:31" s="51" customFormat="1" ht="24" customHeight="1" x14ac:dyDescent="0.25">
      <c r="A24" s="45"/>
      <c r="B24" s="232"/>
      <c r="C24" s="215"/>
      <c r="D24" s="233"/>
      <c r="E24" s="221"/>
      <c r="F24" s="222"/>
      <c r="G24" s="223"/>
      <c r="H24" s="224"/>
      <c r="I24" s="225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94"/>
      <c r="AE24" s="64"/>
    </row>
    <row r="25" spans="1:31" s="51" customFormat="1" ht="24" customHeight="1" x14ac:dyDescent="0.25">
      <c r="A25" s="45"/>
      <c r="B25" s="232"/>
      <c r="C25" s="215"/>
      <c r="D25" s="233"/>
      <c r="E25" s="221"/>
      <c r="F25" s="222"/>
      <c r="G25" s="223"/>
      <c r="H25" s="224"/>
      <c r="I25" s="225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94"/>
      <c r="AE25" s="64"/>
    </row>
    <row r="26" spans="1:31" s="51" customFormat="1" ht="24" customHeight="1" x14ac:dyDescent="0.25">
      <c r="A26" s="45"/>
      <c r="B26" s="232"/>
      <c r="C26" s="215"/>
      <c r="D26" s="233"/>
      <c r="E26" s="221"/>
      <c r="F26" s="222"/>
      <c r="G26" s="223"/>
      <c r="H26" s="224"/>
      <c r="I26" s="225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94"/>
      <c r="AE26" s="64"/>
    </row>
    <row r="27" spans="1:31" s="51" customFormat="1" ht="24" customHeight="1" x14ac:dyDescent="0.25">
      <c r="A27" s="45"/>
      <c r="B27" s="232"/>
      <c r="C27" s="215"/>
      <c r="D27" s="233"/>
      <c r="E27" s="221"/>
      <c r="F27" s="222"/>
      <c r="G27" s="223"/>
      <c r="H27" s="224"/>
      <c r="I27" s="225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94"/>
      <c r="AE27" s="64"/>
    </row>
    <row r="28" spans="1:31" s="51" customFormat="1" ht="26.25" customHeight="1" x14ac:dyDescent="0.25">
      <c r="A28" s="45"/>
      <c r="B28" s="272" t="s">
        <v>78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E28" s="64"/>
    </row>
    <row r="29" spans="1:31" s="51" customFormat="1" ht="21.75" customHeight="1" x14ac:dyDescent="0.25">
      <c r="A29" s="45"/>
      <c r="B29" s="272" t="s">
        <v>63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E29" s="64"/>
    </row>
    <row r="30" spans="1:31" s="51" customFormat="1" ht="25.5" customHeight="1" x14ac:dyDescent="0.25">
      <c r="A30" s="45"/>
      <c r="B30" s="263" t="s">
        <v>326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E30" s="64"/>
    </row>
    <row r="31" spans="1:31" s="51" customFormat="1" ht="29.25" customHeight="1" x14ac:dyDescent="0.25">
      <c r="A31" s="231"/>
      <c r="B31" s="232"/>
      <c r="C31" s="215"/>
      <c r="D31" s="233"/>
      <c r="E31" s="221"/>
      <c r="F31" s="222"/>
      <c r="G31" s="223"/>
      <c r="H31" s="224"/>
      <c r="I31" s="225"/>
      <c r="J31" s="226"/>
      <c r="K31" s="227"/>
      <c r="L31" s="227"/>
      <c r="M31" s="227"/>
      <c r="N31" s="227"/>
      <c r="O31" s="228"/>
      <c r="P31" s="227"/>
      <c r="Q31" s="229"/>
      <c r="R31" s="227"/>
      <c r="S31" s="230"/>
      <c r="T31" s="227"/>
      <c r="U31" s="226"/>
      <c r="V31" s="234"/>
      <c r="W31" s="226"/>
      <c r="X31" s="226"/>
      <c r="Y31" s="94"/>
      <c r="AE31" s="64"/>
    </row>
    <row r="32" spans="1:31" s="51" customFormat="1" ht="84.95" customHeight="1" x14ac:dyDescent="0.25">
      <c r="A32" s="45"/>
      <c r="B32" s="103" t="s">
        <v>101</v>
      </c>
      <c r="C32" s="103" t="s">
        <v>124</v>
      </c>
      <c r="D32" s="103" t="s">
        <v>129</v>
      </c>
      <c r="E32" s="37" t="s">
        <v>60</v>
      </c>
      <c r="F32" s="37"/>
      <c r="G32" s="37"/>
      <c r="H32" s="100">
        <f>SUM(H33)</f>
        <v>5435</v>
      </c>
      <c r="I32" s="100">
        <f>SUM(I33)</f>
        <v>0</v>
      </c>
      <c r="J32" s="100">
        <f>SUM(J33)</f>
        <v>5435</v>
      </c>
      <c r="K32" s="37"/>
      <c r="L32" s="37"/>
      <c r="M32" s="37"/>
      <c r="N32" s="37"/>
      <c r="O32" s="37"/>
      <c r="P32" s="37"/>
      <c r="Q32" s="101"/>
      <c r="R32" s="37"/>
      <c r="S32" s="37"/>
      <c r="T32" s="37"/>
      <c r="U32" s="100">
        <f>SUM(U33)</f>
        <v>0</v>
      </c>
      <c r="V32" s="100">
        <f>SUM(V33)</f>
        <v>434.85</v>
      </c>
      <c r="W32" s="100">
        <f>SUM(W33)</f>
        <v>434.85</v>
      </c>
      <c r="X32" s="100">
        <f>SUM(X33)</f>
        <v>5000.1499999999996</v>
      </c>
      <c r="Y32" s="102"/>
      <c r="AE32" s="64"/>
    </row>
    <row r="33" spans="1:31" s="51" customFormat="1" ht="106.5" customHeight="1" x14ac:dyDescent="0.3">
      <c r="A33" s="45" t="s">
        <v>89</v>
      </c>
      <c r="B33" s="173" t="s">
        <v>161</v>
      </c>
      <c r="C33" s="174" t="s">
        <v>115</v>
      </c>
      <c r="D33" s="243" t="s">
        <v>221</v>
      </c>
      <c r="E33" s="176" t="s">
        <v>100</v>
      </c>
      <c r="F33" s="177">
        <v>15</v>
      </c>
      <c r="G33" s="178">
        <f t="shared" si="0"/>
        <v>362.33333333333331</v>
      </c>
      <c r="H33" s="179">
        <v>5435</v>
      </c>
      <c r="I33" s="180">
        <v>0</v>
      </c>
      <c r="J33" s="181">
        <f>SUM(H33:I33)</f>
        <v>5435</v>
      </c>
      <c r="K33" s="182">
        <f>IF(H33/15&lt;=SMG,0,I33/2)</f>
        <v>0</v>
      </c>
      <c r="L33" s="182">
        <f t="shared" ref="L33" si="13">H33+K33</f>
        <v>5435</v>
      </c>
      <c r="M33" s="182">
        <f>VLOOKUP(L33,Tarifa1,1)</f>
        <v>3124.36</v>
      </c>
      <c r="N33" s="182">
        <f t="shared" ref="N33" si="14">L33-M33</f>
        <v>2310.64</v>
      </c>
      <c r="O33" s="183">
        <f>VLOOKUP(L33,Tarifa1,3)</f>
        <v>0.10879999999999999</v>
      </c>
      <c r="P33" s="182">
        <f t="shared" ref="P33" si="15">N33*O33</f>
        <v>251.39763199999996</v>
      </c>
      <c r="Q33" s="184">
        <f>VLOOKUP(L33,Tarifa1,2)</f>
        <v>183.45</v>
      </c>
      <c r="R33" s="182">
        <f t="shared" ref="R33" si="16">P33+Q33</f>
        <v>434.84763199999998</v>
      </c>
      <c r="S33" s="182">
        <f>VLOOKUP(L33,Credito1,2)</f>
        <v>0</v>
      </c>
      <c r="T33" s="182">
        <f t="shared" ref="T33" si="17">ROUND(R33-S33,2)</f>
        <v>434.85</v>
      </c>
      <c r="U33" s="181">
        <f>-IF(T33&gt;0,0,T33)</f>
        <v>0</v>
      </c>
      <c r="V33" s="181">
        <f>IF(H33/15&lt;=SMG,0,IF(T33&lt;0,0,T33))</f>
        <v>434.85</v>
      </c>
      <c r="W33" s="181">
        <f>SUM(V33:V33)</f>
        <v>434.85</v>
      </c>
      <c r="X33" s="181">
        <f>J33+U33-W33</f>
        <v>5000.1499999999996</v>
      </c>
      <c r="Y33" s="93"/>
      <c r="AE33" s="64"/>
    </row>
    <row r="34" spans="1:31" s="51" customFormat="1" ht="84.95" customHeight="1" x14ac:dyDescent="0.25">
      <c r="A34" s="45"/>
      <c r="B34" s="103" t="s">
        <v>101</v>
      </c>
      <c r="C34" s="103" t="s">
        <v>124</v>
      </c>
      <c r="D34" s="103" t="s">
        <v>288</v>
      </c>
      <c r="E34" s="37" t="s">
        <v>60</v>
      </c>
      <c r="F34" s="37"/>
      <c r="G34" s="37"/>
      <c r="H34" s="100">
        <f>SUM(H35)</f>
        <v>5043</v>
      </c>
      <c r="I34" s="100">
        <f>SUM(I35)</f>
        <v>0</v>
      </c>
      <c r="J34" s="100">
        <f>SUM(J35)</f>
        <v>5043</v>
      </c>
      <c r="K34" s="37"/>
      <c r="L34" s="37"/>
      <c r="M34" s="37"/>
      <c r="N34" s="37"/>
      <c r="O34" s="37"/>
      <c r="P34" s="37"/>
      <c r="Q34" s="101"/>
      <c r="R34" s="37"/>
      <c r="S34" s="37"/>
      <c r="T34" s="37"/>
      <c r="U34" s="100">
        <f>SUM(U35)</f>
        <v>0</v>
      </c>
      <c r="V34" s="100">
        <f>SUM(V35)</f>
        <v>392.2</v>
      </c>
      <c r="W34" s="100">
        <f>SUM(W35)</f>
        <v>392.2</v>
      </c>
      <c r="X34" s="100">
        <f>SUM(X35)</f>
        <v>4650.8</v>
      </c>
      <c r="Y34" s="102"/>
      <c r="AE34" s="64"/>
    </row>
    <row r="35" spans="1:31" s="51" customFormat="1" ht="107.25" customHeight="1" x14ac:dyDescent="0.3">
      <c r="A35" s="45"/>
      <c r="B35" s="174" t="s">
        <v>108</v>
      </c>
      <c r="C35" s="174" t="s">
        <v>115</v>
      </c>
      <c r="D35" s="243" t="s">
        <v>98</v>
      </c>
      <c r="E35" s="176" t="s">
        <v>292</v>
      </c>
      <c r="F35" s="177">
        <v>15</v>
      </c>
      <c r="G35" s="178">
        <v>305.35000000000002</v>
      </c>
      <c r="H35" s="179">
        <v>5043</v>
      </c>
      <c r="I35" s="180">
        <v>0</v>
      </c>
      <c r="J35" s="181">
        <f>SUM(H35:I35)</f>
        <v>5043</v>
      </c>
      <c r="K35" s="182">
        <f>IF(H35/15&lt;=SMG,0,I35/2)</f>
        <v>0</v>
      </c>
      <c r="L35" s="182">
        <f t="shared" ref="L35" si="18">H35+K35</f>
        <v>5043</v>
      </c>
      <c r="M35" s="182">
        <f>VLOOKUP(L35,Tarifa1,1)</f>
        <v>3124.36</v>
      </c>
      <c r="N35" s="182">
        <f t="shared" ref="N35" si="19">L35-M35</f>
        <v>1918.6399999999999</v>
      </c>
      <c r="O35" s="183">
        <f>VLOOKUP(L35,Tarifa1,3)</f>
        <v>0.10879999999999999</v>
      </c>
      <c r="P35" s="182">
        <f t="shared" ref="P35" si="20">N35*O35</f>
        <v>208.74803199999997</v>
      </c>
      <c r="Q35" s="184">
        <f>VLOOKUP(L35,Tarifa1,2)</f>
        <v>183.45</v>
      </c>
      <c r="R35" s="182">
        <f t="shared" ref="R35" si="21">P35+Q35</f>
        <v>392.19803199999996</v>
      </c>
      <c r="S35" s="182">
        <f>VLOOKUP(L35,Credito1,2)</f>
        <v>0</v>
      </c>
      <c r="T35" s="182">
        <f t="shared" ref="T35" si="22">ROUND(R35-S35,2)</f>
        <v>392.2</v>
      </c>
      <c r="U35" s="181">
        <f t="shared" ref="U35" si="23">-IF(T35&gt;0,0,T35)</f>
        <v>0</v>
      </c>
      <c r="V35" s="181">
        <f>IF(H35/15&lt;=SMG,0,IF(T35&lt;0,0,T35))</f>
        <v>392.2</v>
      </c>
      <c r="W35" s="181">
        <f>SUM(V35:V35)</f>
        <v>392.2</v>
      </c>
      <c r="X35" s="181">
        <f>J35+U35-W35</f>
        <v>4650.8</v>
      </c>
      <c r="Y35" s="93"/>
      <c r="AE35" s="64"/>
    </row>
    <row r="36" spans="1:31" s="51" customFormat="1" ht="84.95" customHeight="1" x14ac:dyDescent="0.25">
      <c r="A36" s="104"/>
      <c r="B36" s="103" t="s">
        <v>101</v>
      </c>
      <c r="C36" s="103" t="s">
        <v>124</v>
      </c>
      <c r="D36" s="37" t="s">
        <v>148</v>
      </c>
      <c r="E36" s="37" t="s">
        <v>60</v>
      </c>
      <c r="F36" s="37"/>
      <c r="G36" s="37"/>
      <c r="H36" s="100">
        <f>SUM(H37)</f>
        <v>7013</v>
      </c>
      <c r="I36" s="100">
        <f>SUM(I37)</f>
        <v>0</v>
      </c>
      <c r="J36" s="100">
        <f>SUM(J37)</f>
        <v>7013</v>
      </c>
      <c r="K36" s="37"/>
      <c r="L36" s="37"/>
      <c r="M36" s="37"/>
      <c r="N36" s="37"/>
      <c r="O36" s="37"/>
      <c r="P36" s="37"/>
      <c r="Q36" s="101"/>
      <c r="R36" s="37"/>
      <c r="S36" s="37"/>
      <c r="T36" s="37"/>
      <c r="U36" s="100">
        <f>SUM(U37)</f>
        <v>0</v>
      </c>
      <c r="V36" s="100">
        <f>SUM(V37)</f>
        <v>696.58</v>
      </c>
      <c r="W36" s="100">
        <f>SUM(W37)</f>
        <v>696.58</v>
      </c>
      <c r="X36" s="100">
        <f>SUM(X37)</f>
        <v>6316.42</v>
      </c>
      <c r="Y36" s="102"/>
    </row>
    <row r="37" spans="1:31" s="51" customFormat="1" ht="107.25" customHeight="1" x14ac:dyDescent="0.3">
      <c r="A37" s="104"/>
      <c r="B37" s="173" t="s">
        <v>160</v>
      </c>
      <c r="C37" s="174" t="s">
        <v>115</v>
      </c>
      <c r="D37" s="243" t="s">
        <v>151</v>
      </c>
      <c r="E37" s="176" t="s">
        <v>152</v>
      </c>
      <c r="F37" s="177">
        <v>15</v>
      </c>
      <c r="G37" s="178">
        <f>H37/F37</f>
        <v>467.53333333333336</v>
      </c>
      <c r="H37" s="179">
        <v>7013</v>
      </c>
      <c r="I37" s="180">
        <v>0</v>
      </c>
      <c r="J37" s="181">
        <f>SUM(H37:I37)</f>
        <v>7013</v>
      </c>
      <c r="K37" s="182">
        <f>IF(H37/15&lt;=SMG,0,I37/2)</f>
        <v>0</v>
      </c>
      <c r="L37" s="182">
        <f t="shared" ref="L37" si="24">H37+K37</f>
        <v>7013</v>
      </c>
      <c r="M37" s="182">
        <f>VLOOKUP(L37,Tarifa1,1)</f>
        <v>6382.81</v>
      </c>
      <c r="N37" s="182">
        <f t="shared" ref="N37" si="25">L37-M37</f>
        <v>630.1899999999996</v>
      </c>
      <c r="O37" s="183">
        <f>VLOOKUP(L37,Tarifa1,3)</f>
        <v>0.1792</v>
      </c>
      <c r="P37" s="182">
        <f t="shared" ref="P37" si="26">N37*O37</f>
        <v>112.93004799999993</v>
      </c>
      <c r="Q37" s="184">
        <f>VLOOKUP(L37,Tarifa1,2)</f>
        <v>583.65</v>
      </c>
      <c r="R37" s="182">
        <f t="shared" ref="R37" si="27">P37+Q37</f>
        <v>696.58004799999992</v>
      </c>
      <c r="S37" s="182">
        <f>VLOOKUP(L37,Credito1,2)</f>
        <v>0</v>
      </c>
      <c r="T37" s="182">
        <f t="shared" ref="T37" si="28">ROUND(R37-S37,2)</f>
        <v>696.58</v>
      </c>
      <c r="U37" s="181">
        <f t="shared" ref="U37" si="29">-IF(T37&gt;0,0,T37)</f>
        <v>0</v>
      </c>
      <c r="V37" s="181">
        <f>IF(H37/15&lt;=SMG,0,IF(T37&lt;0,0,T37))</f>
        <v>696.58</v>
      </c>
      <c r="W37" s="181">
        <f>SUM(V37:V37)</f>
        <v>696.58</v>
      </c>
      <c r="X37" s="181">
        <f>J37+U37-W37</f>
        <v>6316.42</v>
      </c>
      <c r="Y37" s="93"/>
    </row>
    <row r="38" spans="1:31" s="51" customFormat="1" ht="15" x14ac:dyDescent="0.25">
      <c r="A38" s="104"/>
      <c r="B38" s="104"/>
      <c r="C38" s="104"/>
      <c r="D38" s="104"/>
      <c r="E38" s="104"/>
      <c r="F38" s="104"/>
      <c r="G38" s="104"/>
      <c r="H38" s="105"/>
      <c r="I38" s="105"/>
      <c r="J38" s="105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93"/>
    </row>
    <row r="39" spans="1:31" s="51" customFormat="1" ht="39" customHeight="1" x14ac:dyDescent="0.25">
      <c r="A39" s="292" t="s">
        <v>44</v>
      </c>
      <c r="B39" s="292"/>
      <c r="C39" s="292"/>
      <c r="D39" s="292"/>
      <c r="E39" s="292"/>
      <c r="F39" s="292"/>
      <c r="G39" s="292"/>
      <c r="H39" s="209">
        <f>H8+H11+H13+H16+H32+H36+H34+H20</f>
        <v>66216</v>
      </c>
      <c r="I39" s="209">
        <f>I8+I11+I13+I16+I32+I36+I34+I20</f>
        <v>0</v>
      </c>
      <c r="J39" s="209">
        <f>J8+J11+J13+J16+J32+J36+J34+J20</f>
        <v>66216</v>
      </c>
      <c r="K39" s="210">
        <f t="shared" ref="K39:T39" si="30">SUM(K11:K38)</f>
        <v>0</v>
      </c>
      <c r="L39" s="210">
        <f t="shared" si="30"/>
        <v>59203</v>
      </c>
      <c r="M39" s="210">
        <f t="shared" si="30"/>
        <v>47535.85</v>
      </c>
      <c r="N39" s="210">
        <f t="shared" si="30"/>
        <v>11667.149999999998</v>
      </c>
      <c r="O39" s="210">
        <f t="shared" si="30"/>
        <v>1.44</v>
      </c>
      <c r="P39" s="210">
        <f t="shared" si="30"/>
        <v>1513.1071999999995</v>
      </c>
      <c r="Q39" s="210">
        <f t="shared" si="30"/>
        <v>3835.4999999999995</v>
      </c>
      <c r="R39" s="210">
        <f t="shared" si="30"/>
        <v>5348.6071999999995</v>
      </c>
      <c r="S39" s="210">
        <f t="shared" si="30"/>
        <v>0</v>
      </c>
      <c r="T39" s="210">
        <f t="shared" si="30"/>
        <v>5348.61</v>
      </c>
      <c r="U39" s="209">
        <f>U8+U11+U13+U16+U32+U36+U34+U20</f>
        <v>0</v>
      </c>
      <c r="V39" s="209">
        <f>V8+V11+V13+V16+V32+V36+V34+V20</f>
        <v>6045.19</v>
      </c>
      <c r="W39" s="209">
        <f>W8+W11+W13+W16+W32+W36+W34+W20</f>
        <v>6045.19</v>
      </c>
      <c r="X39" s="209">
        <f>X8+X11+X13+X16+X32+X36+X34+X20</f>
        <v>60170.810000000005</v>
      </c>
      <c r="Y39" s="93"/>
    </row>
    <row r="40" spans="1:31" s="51" customFormat="1" ht="12" x14ac:dyDescent="0.2"/>
    <row r="41" spans="1:31" s="51" customFormat="1" ht="12" x14ac:dyDescent="0.2"/>
    <row r="42" spans="1:31" s="51" customFormat="1" ht="12" x14ac:dyDescent="0.2"/>
    <row r="43" spans="1:31" s="51" customFormat="1" ht="12" x14ac:dyDescent="0.2"/>
    <row r="44" spans="1:31" s="51" customFormat="1" ht="12" x14ac:dyDescent="0.2"/>
    <row r="45" spans="1:31" s="51" customFormat="1" ht="12" x14ac:dyDescent="0.2"/>
  </sheetData>
  <mergeCells count="11">
    <mergeCell ref="A39:G39"/>
    <mergeCell ref="A1:Y1"/>
    <mergeCell ref="A2:Y2"/>
    <mergeCell ref="A3:Y3"/>
    <mergeCell ref="H5:J5"/>
    <mergeCell ref="M5:R5"/>
    <mergeCell ref="V5:W5"/>
    <mergeCell ref="C5:C7"/>
    <mergeCell ref="B28:Z28"/>
    <mergeCell ref="B29:Z29"/>
    <mergeCell ref="B30:Z30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2 D10" xr:uid="{00000000-0002-0000-05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5.140625" hidden="1" customWidth="1"/>
    <col min="13" max="13" width="15.7109375" hidden="1" customWidth="1"/>
    <col min="14" max="14" width="12.28515625" hidden="1" customWidth="1"/>
    <col min="15" max="16" width="13.140625" hidden="1" customWidth="1"/>
    <col min="17" max="17" width="12.85546875" hidden="1" customWidth="1"/>
    <col min="18" max="18" width="12.140625" hidden="1" customWidth="1"/>
    <col min="19" max="19" width="13.140625" hidden="1" customWidth="1"/>
    <col min="20" max="20" width="13.42578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3" t="s">
        <v>1</v>
      </c>
      <c r="I6" s="274"/>
      <c r="J6" s="275"/>
      <c r="K6" s="24" t="s">
        <v>25</v>
      </c>
      <c r="L6" s="25"/>
      <c r="M6" s="276" t="s">
        <v>8</v>
      </c>
      <c r="N6" s="277"/>
      <c r="O6" s="277"/>
      <c r="P6" s="277"/>
      <c r="Q6" s="277"/>
      <c r="R6" s="278"/>
      <c r="S6" s="24" t="s">
        <v>29</v>
      </c>
      <c r="T6" s="24" t="s">
        <v>9</v>
      </c>
      <c r="U6" s="23" t="s">
        <v>52</v>
      </c>
      <c r="V6" s="279" t="s">
        <v>2</v>
      </c>
      <c r="W6" s="280"/>
      <c r="X6" s="23" t="s">
        <v>0</v>
      </c>
      <c r="Y6" s="34"/>
    </row>
    <row r="7" spans="1:25" ht="33.7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306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46</v>
      </c>
      <c r="I8" s="29" t="s">
        <v>58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5" s="4" customFormat="1" ht="54.75" customHeight="1" x14ac:dyDescent="0.25">
      <c r="A9" s="142"/>
      <c r="B9" s="142"/>
      <c r="C9" s="142"/>
      <c r="D9" s="141" t="s">
        <v>112</v>
      </c>
      <c r="E9" s="142" t="s">
        <v>60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131.25" customHeight="1" x14ac:dyDescent="0.3">
      <c r="A10" s="116" t="s">
        <v>83</v>
      </c>
      <c r="B10" s="174" t="s">
        <v>110</v>
      </c>
      <c r="C10" s="174" t="s">
        <v>115</v>
      </c>
      <c r="D10" s="243" t="s">
        <v>99</v>
      </c>
      <c r="E10" s="176" t="s">
        <v>223</v>
      </c>
      <c r="F10" s="177">
        <v>15</v>
      </c>
      <c r="G10" s="178">
        <f>H10/F10</f>
        <v>1110.0666666666666</v>
      </c>
      <c r="H10" s="179">
        <v>16651</v>
      </c>
      <c r="I10" s="180">
        <v>0</v>
      </c>
      <c r="J10" s="181">
        <f>SUM(H10:I10)</f>
        <v>16651</v>
      </c>
      <c r="K10" s="182">
        <f>IF(H10/15&lt;=SMG,0,I10/2)</f>
        <v>0</v>
      </c>
      <c r="L10" s="182">
        <f>H10+K10</f>
        <v>16651</v>
      </c>
      <c r="M10" s="182">
        <f>VLOOKUP(L10,Tarifa1,1)</f>
        <v>15412.81</v>
      </c>
      <c r="N10" s="182">
        <f>L10-M10</f>
        <v>1238.1900000000005</v>
      </c>
      <c r="O10" s="183">
        <f>VLOOKUP(L10,Tarifa1,3)</f>
        <v>0.23519999999999999</v>
      </c>
      <c r="P10" s="182">
        <f>N10*O10</f>
        <v>291.22228800000011</v>
      </c>
      <c r="Q10" s="184">
        <f>VLOOKUP(L10,Tarifa1,2)</f>
        <v>2469.15</v>
      </c>
      <c r="R10" s="182">
        <f>P10+Q10</f>
        <v>2760.372288</v>
      </c>
      <c r="S10" s="182">
        <f>VLOOKUP(L10,Credito1,2)</f>
        <v>0</v>
      </c>
      <c r="T10" s="182">
        <f>ROUND(R10-S10,2)</f>
        <v>2760.37</v>
      </c>
      <c r="U10" s="181">
        <f>-IF(T10&gt;0,0,T10)</f>
        <v>0</v>
      </c>
      <c r="V10" s="181">
        <f>IF(H10/15&lt;=SMG,0,IF(T10&lt;0,0,T10))</f>
        <v>2760.37</v>
      </c>
      <c r="W10" s="181">
        <f>SUM(V10:V10)</f>
        <v>2760.37</v>
      </c>
      <c r="X10" s="181">
        <f>J10+U10-W10</f>
        <v>13890.630000000001</v>
      </c>
      <c r="Y10" s="90"/>
    </row>
    <row r="11" spans="1:25" s="4" customFormat="1" ht="131.25" customHeight="1" x14ac:dyDescent="0.3">
      <c r="A11" s="116" t="s">
        <v>85</v>
      </c>
      <c r="B11" s="174" t="s">
        <v>104</v>
      </c>
      <c r="C11" s="174" t="s">
        <v>115</v>
      </c>
      <c r="D11" s="244" t="s">
        <v>73</v>
      </c>
      <c r="E11" s="176" t="s">
        <v>224</v>
      </c>
      <c r="F11" s="177">
        <v>15</v>
      </c>
      <c r="G11" s="178">
        <f>H11/F11</f>
        <v>704.86666666666667</v>
      </c>
      <c r="H11" s="179">
        <v>10573</v>
      </c>
      <c r="I11" s="180">
        <v>0</v>
      </c>
      <c r="J11" s="181">
        <f>H11</f>
        <v>10573</v>
      </c>
      <c r="K11" s="182">
        <f>IF(H11/15&lt;=SMG,0,I11/2)</f>
        <v>0</v>
      </c>
      <c r="L11" s="182">
        <f t="shared" ref="L11:L12" si="0">H11+K11</f>
        <v>10573</v>
      </c>
      <c r="M11" s="182">
        <f>VLOOKUP(L11,Tarifa1,1)</f>
        <v>7641.91</v>
      </c>
      <c r="N11" s="182">
        <f t="shared" ref="N11:N12" si="1">L11-M11</f>
        <v>2931.09</v>
      </c>
      <c r="O11" s="183">
        <f>VLOOKUP(L11,Tarifa1,3)</f>
        <v>0.21360000000000001</v>
      </c>
      <c r="P11" s="182">
        <f t="shared" ref="P11:P12" si="2">N11*O11</f>
        <v>626.08082400000012</v>
      </c>
      <c r="Q11" s="184">
        <f>VLOOKUP(L11,Tarifa1,2)</f>
        <v>809.25</v>
      </c>
      <c r="R11" s="182">
        <f t="shared" ref="R11:R12" si="3">P11+Q11</f>
        <v>1435.3308240000001</v>
      </c>
      <c r="S11" s="182">
        <f>VLOOKUP(L11,Credito1,2)</f>
        <v>0</v>
      </c>
      <c r="T11" s="182">
        <f t="shared" ref="T11:T12" si="4">ROUND(R11-S11,2)</f>
        <v>1435.33</v>
      </c>
      <c r="U11" s="181">
        <f t="shared" ref="U11:U12" si="5">-IF(T11&gt;0,0,T11)</f>
        <v>0</v>
      </c>
      <c r="V11" s="181">
        <f>IF(H11/15&lt;=SMG,0,IF(T11&lt;0,0,T11))</f>
        <v>1435.33</v>
      </c>
      <c r="W11" s="181">
        <f>SUM(V11:V11)</f>
        <v>1435.33</v>
      </c>
      <c r="X11" s="181">
        <f>J11+U11-W11</f>
        <v>9137.67</v>
      </c>
      <c r="Y11" s="90"/>
    </row>
    <row r="12" spans="1:25" s="4" customFormat="1" ht="131.25" customHeight="1" x14ac:dyDescent="0.3">
      <c r="A12" s="116" t="s">
        <v>86</v>
      </c>
      <c r="B12" s="174" t="s">
        <v>111</v>
      </c>
      <c r="C12" s="174" t="s">
        <v>115</v>
      </c>
      <c r="D12" s="244" t="s">
        <v>96</v>
      </c>
      <c r="E12" s="176" t="s">
        <v>224</v>
      </c>
      <c r="F12" s="177">
        <v>15</v>
      </c>
      <c r="G12" s="178">
        <f>H12/F12</f>
        <v>418.33333333333331</v>
      </c>
      <c r="H12" s="179">
        <v>6275</v>
      </c>
      <c r="I12" s="180">
        <v>0</v>
      </c>
      <c r="J12" s="181">
        <f>SUM(H12:I12)</f>
        <v>6275</v>
      </c>
      <c r="K12" s="182">
        <f>IF(H12/15&lt;=SMG,0,I12/2)</f>
        <v>0</v>
      </c>
      <c r="L12" s="182">
        <f t="shared" si="0"/>
        <v>6275</v>
      </c>
      <c r="M12" s="182">
        <f>VLOOKUP(L12,Tarifa1,1)</f>
        <v>5490.76</v>
      </c>
      <c r="N12" s="182">
        <f t="shared" si="1"/>
        <v>784.23999999999978</v>
      </c>
      <c r="O12" s="183">
        <f>VLOOKUP(L12,Tarifa1,3)</f>
        <v>0.16</v>
      </c>
      <c r="P12" s="182">
        <f t="shared" si="2"/>
        <v>125.47839999999997</v>
      </c>
      <c r="Q12" s="184">
        <f>VLOOKUP(L12,Tarifa1,2)</f>
        <v>441</v>
      </c>
      <c r="R12" s="182">
        <f t="shared" si="3"/>
        <v>566.47839999999997</v>
      </c>
      <c r="S12" s="182">
        <f>VLOOKUP(L12,Credito1,2)</f>
        <v>0</v>
      </c>
      <c r="T12" s="182">
        <f t="shared" si="4"/>
        <v>566.48</v>
      </c>
      <c r="U12" s="181">
        <f t="shared" si="5"/>
        <v>0</v>
      </c>
      <c r="V12" s="181">
        <f>IF(H12/15&lt;=SMG,0,IF(T12&lt;0,0,T12))</f>
        <v>566.48</v>
      </c>
      <c r="W12" s="181">
        <f>SUM(V12:V12)</f>
        <v>566.48</v>
      </c>
      <c r="X12" s="181">
        <f>J12+U12-W12</f>
        <v>5708.52</v>
      </c>
      <c r="Y12" s="90"/>
    </row>
    <row r="13" spans="1:25" s="4" customFormat="1" ht="36" customHeight="1" x14ac:dyDescent="0.25">
      <c r="A13" s="198"/>
      <c r="B13" s="198"/>
      <c r="C13" s="198"/>
      <c r="D13" s="198"/>
      <c r="E13" s="198"/>
      <c r="F13" s="198"/>
      <c r="G13" s="198"/>
      <c r="H13" s="204"/>
      <c r="I13" s="204"/>
      <c r="J13" s="204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</row>
    <row r="14" spans="1:25" s="4" customFormat="1" ht="60" customHeight="1" thickBot="1" x14ac:dyDescent="0.3">
      <c r="A14" s="259" t="s">
        <v>44</v>
      </c>
      <c r="B14" s="260"/>
      <c r="C14" s="260"/>
      <c r="D14" s="260"/>
      <c r="E14" s="260"/>
      <c r="F14" s="260"/>
      <c r="G14" s="261"/>
      <c r="H14" s="185">
        <f>SUM(H10:H13)</f>
        <v>33499</v>
      </c>
      <c r="I14" s="185">
        <f>SUM(I10:I13)</f>
        <v>0</v>
      </c>
      <c r="J14" s="185">
        <f>SUM(J10:J13)</f>
        <v>33499</v>
      </c>
      <c r="K14" s="186">
        <f t="shared" ref="K14:T14" si="6">SUM(K10:K13)</f>
        <v>0</v>
      </c>
      <c r="L14" s="186">
        <f t="shared" si="6"/>
        <v>33499</v>
      </c>
      <c r="M14" s="186">
        <f t="shared" si="6"/>
        <v>28545.480000000003</v>
      </c>
      <c r="N14" s="186">
        <f t="shared" si="6"/>
        <v>4953.5200000000004</v>
      </c>
      <c r="O14" s="186">
        <f t="shared" si="6"/>
        <v>0.60880000000000001</v>
      </c>
      <c r="P14" s="186">
        <f t="shared" si="6"/>
        <v>1042.7815120000002</v>
      </c>
      <c r="Q14" s="186">
        <f t="shared" si="6"/>
        <v>3719.4</v>
      </c>
      <c r="R14" s="186">
        <f t="shared" si="6"/>
        <v>4762.1815120000001</v>
      </c>
      <c r="S14" s="186">
        <f t="shared" si="6"/>
        <v>0</v>
      </c>
      <c r="T14" s="186">
        <f t="shared" si="6"/>
        <v>4762.18</v>
      </c>
      <c r="U14" s="185">
        <f>SUM(U10:U13)</f>
        <v>0</v>
      </c>
      <c r="V14" s="185">
        <f>SUM(V10:V13)</f>
        <v>4762.18</v>
      </c>
      <c r="W14" s="185">
        <f>SUM(W10:W13)</f>
        <v>4762.18</v>
      </c>
      <c r="X14" s="185">
        <f>SUM(X10:X12)</f>
        <v>28736.820000000003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1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4.28515625" customWidth="1"/>
    <col min="10" max="10" width="13.140625" hidden="1" customWidth="1"/>
    <col min="11" max="13" width="12.85546875" hidden="1" customWidth="1"/>
    <col min="14" max="15" width="13.140625" hidden="1" customWidth="1"/>
    <col min="16" max="16" width="10.5703125" hidden="1" customWidth="1"/>
    <col min="17" max="17" width="13" hidden="1" customWidth="1"/>
    <col min="18" max="18" width="13.140625" hidden="1" customWidth="1"/>
    <col min="19" max="19" width="13.85546875" hidden="1" customWidth="1"/>
    <col min="20" max="20" width="9.7109375" customWidth="1"/>
    <col min="21" max="21" width="14.7109375" customWidth="1"/>
    <col min="22" max="22" width="14.5703125" customWidth="1"/>
    <col min="23" max="23" width="15.42578125" customWidth="1"/>
    <col min="24" max="24" width="71.140625" customWidth="1"/>
    <col min="25" max="25" width="0.85546875" customWidth="1"/>
  </cols>
  <sheetData>
    <row r="1" spans="1:25" ht="18" x14ac:dyDescent="0.25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5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3" t="s">
        <v>1</v>
      </c>
      <c r="I6" s="275"/>
      <c r="J6" s="24" t="s">
        <v>25</v>
      </c>
      <c r="K6" s="25"/>
      <c r="L6" s="276" t="s">
        <v>8</v>
      </c>
      <c r="M6" s="277"/>
      <c r="N6" s="277"/>
      <c r="O6" s="277"/>
      <c r="P6" s="277"/>
      <c r="Q6" s="278"/>
      <c r="R6" s="24" t="s">
        <v>29</v>
      </c>
      <c r="S6" s="24" t="s">
        <v>9</v>
      </c>
      <c r="T6" s="23" t="s">
        <v>52</v>
      </c>
      <c r="U6" s="279" t="s">
        <v>2</v>
      </c>
      <c r="V6" s="280"/>
      <c r="W6" s="23" t="s">
        <v>0</v>
      </c>
      <c r="X6" s="34"/>
    </row>
    <row r="7" spans="1:25" ht="33.75" customHeight="1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27</v>
      </c>
      <c r="J7" s="28" t="s">
        <v>26</v>
      </c>
      <c r="K7" s="25" t="s">
        <v>31</v>
      </c>
      <c r="L7" s="25" t="s">
        <v>11</v>
      </c>
      <c r="M7" s="25" t="s">
        <v>33</v>
      </c>
      <c r="N7" s="25" t="s">
        <v>35</v>
      </c>
      <c r="O7" s="25" t="s">
        <v>36</v>
      </c>
      <c r="P7" s="25" t="s">
        <v>13</v>
      </c>
      <c r="Q7" s="25" t="s">
        <v>9</v>
      </c>
      <c r="R7" s="28" t="s">
        <v>39</v>
      </c>
      <c r="S7" s="28" t="s">
        <v>40</v>
      </c>
      <c r="T7" s="26" t="s">
        <v>30</v>
      </c>
      <c r="U7" s="23" t="s">
        <v>306</v>
      </c>
      <c r="V7" s="23" t="s">
        <v>6</v>
      </c>
      <c r="W7" s="26" t="s">
        <v>3</v>
      </c>
      <c r="X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46</v>
      </c>
      <c r="I8" s="29" t="s">
        <v>28</v>
      </c>
      <c r="J8" s="30" t="s">
        <v>42</v>
      </c>
      <c r="K8" s="24" t="s">
        <v>32</v>
      </c>
      <c r="L8" s="24" t="s">
        <v>12</v>
      </c>
      <c r="M8" s="24" t="s">
        <v>34</v>
      </c>
      <c r="N8" s="24" t="s">
        <v>34</v>
      </c>
      <c r="O8" s="24" t="s">
        <v>37</v>
      </c>
      <c r="P8" s="24" t="s">
        <v>14</v>
      </c>
      <c r="Q8" s="24" t="s">
        <v>38</v>
      </c>
      <c r="R8" s="28" t="s">
        <v>18</v>
      </c>
      <c r="S8" s="31" t="s">
        <v>41</v>
      </c>
      <c r="T8" s="29" t="s">
        <v>51</v>
      </c>
      <c r="U8" s="29"/>
      <c r="V8" s="29" t="s">
        <v>43</v>
      </c>
      <c r="W8" s="29" t="s">
        <v>4</v>
      </c>
      <c r="X8" s="35"/>
    </row>
    <row r="9" spans="1:25" ht="15" x14ac:dyDescent="0.25">
      <c r="A9" s="39"/>
      <c r="B9" s="39"/>
      <c r="C9" s="39"/>
      <c r="D9" s="91" t="s">
        <v>59</v>
      </c>
      <c r="E9" s="38" t="s">
        <v>60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9.5" customHeight="1" x14ac:dyDescent="0.3">
      <c r="A10" s="116" t="s">
        <v>83</v>
      </c>
      <c r="B10" s="173" t="s">
        <v>250</v>
      </c>
      <c r="C10" s="174" t="s">
        <v>115</v>
      </c>
      <c r="D10" s="243" t="s">
        <v>233</v>
      </c>
      <c r="E10" s="175" t="s">
        <v>75</v>
      </c>
      <c r="F10" s="177">
        <v>15</v>
      </c>
      <c r="G10" s="211">
        <f>H10/F10</f>
        <v>590</v>
      </c>
      <c r="H10" s="179">
        <v>8850</v>
      </c>
      <c r="I10" s="181">
        <f t="shared" ref="I10:I18" si="0">SUM(H10:H10)</f>
        <v>8850</v>
      </c>
      <c r="J10" s="182">
        <v>0</v>
      </c>
      <c r="K10" s="182">
        <f>I10+J10</f>
        <v>8850</v>
      </c>
      <c r="L10" s="182">
        <f t="shared" ref="L10:L18" si="1">VLOOKUP(K10,Tarifa1,1)</f>
        <v>7641.91</v>
      </c>
      <c r="M10" s="182">
        <f>K10-L10</f>
        <v>1208.0900000000001</v>
      </c>
      <c r="N10" s="183">
        <f t="shared" ref="N10" si="2">VLOOKUP(K10,Tarifa1,3)</f>
        <v>0.21360000000000001</v>
      </c>
      <c r="O10" s="182">
        <f>M10*N10</f>
        <v>258.04802400000005</v>
      </c>
      <c r="P10" s="184">
        <f t="shared" ref="P10:P18" si="3">VLOOKUP(K10,Tarifa1,2)</f>
        <v>809.25</v>
      </c>
      <c r="Q10" s="182">
        <f>O10+P10</f>
        <v>1067.2980240000002</v>
      </c>
      <c r="R10" s="182">
        <f t="shared" ref="R10" si="4">VLOOKUP(K10,Credito1,2)</f>
        <v>0</v>
      </c>
      <c r="S10" s="182">
        <f>ROUND(Q10-R10,2)</f>
        <v>1067.3</v>
      </c>
      <c r="T10" s="181">
        <f t="shared" ref="T10:T18" si="5">-IF(S10&gt;0,0,S10)</f>
        <v>0</v>
      </c>
      <c r="U10" s="181">
        <f t="shared" ref="U10:U18" si="6">IF(H10/15&lt;=SMG,0,IF(S10&lt;0,0,S10))</f>
        <v>1067.3</v>
      </c>
      <c r="V10" s="181">
        <f>SUM(U10:U10)</f>
        <v>1067.3</v>
      </c>
      <c r="W10" s="181">
        <f>I10+T10-V10</f>
        <v>7782.7</v>
      </c>
      <c r="X10" s="33"/>
    </row>
    <row r="11" spans="1:25" ht="79.5" customHeight="1" x14ac:dyDescent="0.3">
      <c r="A11" s="116" t="s">
        <v>84</v>
      </c>
      <c r="B11" s="173" t="s">
        <v>231</v>
      </c>
      <c r="C11" s="174" t="s">
        <v>115</v>
      </c>
      <c r="D11" s="243" t="s">
        <v>234</v>
      </c>
      <c r="E11" s="175" t="s">
        <v>75</v>
      </c>
      <c r="F11" s="177">
        <v>15</v>
      </c>
      <c r="G11" s="211">
        <f t="shared" ref="G11:G18" si="7">H11/F11</f>
        <v>590</v>
      </c>
      <c r="H11" s="179">
        <v>8850</v>
      </c>
      <c r="I11" s="181">
        <f t="shared" si="0"/>
        <v>8850</v>
      </c>
      <c r="J11" s="182">
        <v>0</v>
      </c>
      <c r="K11" s="182">
        <f t="shared" ref="K11:K18" si="8">I11+J11</f>
        <v>8850</v>
      </c>
      <c r="L11" s="182">
        <f t="shared" si="1"/>
        <v>7641.91</v>
      </c>
      <c r="M11" s="182">
        <f t="shared" ref="M11" si="9">K11-L11</f>
        <v>1208.0900000000001</v>
      </c>
      <c r="N11" s="183">
        <f t="shared" ref="N11" si="10">VLOOKUP(K11,Tarifa1,3)</f>
        <v>0.21360000000000001</v>
      </c>
      <c r="O11" s="182">
        <f t="shared" ref="O11" si="11">M11*N11</f>
        <v>258.04802400000005</v>
      </c>
      <c r="P11" s="184">
        <f t="shared" si="3"/>
        <v>809.25</v>
      </c>
      <c r="Q11" s="182">
        <f t="shared" ref="Q11:Q18" si="12">O11+P11</f>
        <v>1067.2980240000002</v>
      </c>
      <c r="R11" s="182">
        <f t="shared" ref="R11:R18" si="13">VLOOKUP(K11,Credito1,2)</f>
        <v>0</v>
      </c>
      <c r="S11" s="182">
        <f t="shared" ref="S11:S18" si="14">ROUND(Q11-R11,2)</f>
        <v>1067.3</v>
      </c>
      <c r="T11" s="181">
        <f t="shared" si="5"/>
        <v>0</v>
      </c>
      <c r="U11" s="181">
        <f t="shared" si="6"/>
        <v>1067.3</v>
      </c>
      <c r="V11" s="181">
        <f>SUM(U11:U11)</f>
        <v>1067.3</v>
      </c>
      <c r="W11" s="181">
        <f>I11+T11-V11</f>
        <v>7782.7</v>
      </c>
      <c r="X11" s="33"/>
    </row>
    <row r="12" spans="1:25" ht="79.5" customHeight="1" x14ac:dyDescent="0.3">
      <c r="A12" s="116" t="s">
        <v>85</v>
      </c>
      <c r="B12" s="173" t="s">
        <v>232</v>
      </c>
      <c r="C12" s="174" t="s">
        <v>115</v>
      </c>
      <c r="D12" s="243" t="s">
        <v>235</v>
      </c>
      <c r="E12" s="175" t="s">
        <v>75</v>
      </c>
      <c r="F12" s="177">
        <v>15</v>
      </c>
      <c r="G12" s="211">
        <f t="shared" si="7"/>
        <v>590</v>
      </c>
      <c r="H12" s="179">
        <v>8850</v>
      </c>
      <c r="I12" s="181">
        <f t="shared" si="0"/>
        <v>8850</v>
      </c>
      <c r="J12" s="182">
        <v>0</v>
      </c>
      <c r="K12" s="182">
        <f t="shared" si="8"/>
        <v>8850</v>
      </c>
      <c r="L12" s="182">
        <f t="shared" si="1"/>
        <v>7641.91</v>
      </c>
      <c r="M12" s="182">
        <f t="shared" ref="M12:M18" si="15">K12-L12</f>
        <v>1208.0900000000001</v>
      </c>
      <c r="N12" s="183">
        <f t="shared" ref="N12:N18" si="16">VLOOKUP(K12,Tarifa1,3)</f>
        <v>0.21360000000000001</v>
      </c>
      <c r="O12" s="182">
        <f t="shared" ref="O12:O18" si="17">M12*N12</f>
        <v>258.04802400000005</v>
      </c>
      <c r="P12" s="184">
        <f t="shared" si="3"/>
        <v>809.25</v>
      </c>
      <c r="Q12" s="182">
        <f t="shared" si="12"/>
        <v>1067.2980240000002</v>
      </c>
      <c r="R12" s="182">
        <f t="shared" si="13"/>
        <v>0</v>
      </c>
      <c r="S12" s="182">
        <f t="shared" si="14"/>
        <v>1067.3</v>
      </c>
      <c r="T12" s="181">
        <f t="shared" si="5"/>
        <v>0</v>
      </c>
      <c r="U12" s="181">
        <f t="shared" si="6"/>
        <v>1067.3</v>
      </c>
      <c r="V12" s="181">
        <f>SUM(U12:U12)</f>
        <v>1067.3</v>
      </c>
      <c r="W12" s="181">
        <f>I12+T12-V12</f>
        <v>7782.7</v>
      </c>
      <c r="X12" s="33"/>
    </row>
    <row r="13" spans="1:25" ht="79.5" customHeight="1" x14ac:dyDescent="0.3">
      <c r="A13" s="116" t="s">
        <v>86</v>
      </c>
      <c r="B13" s="173" t="s">
        <v>251</v>
      </c>
      <c r="C13" s="174" t="s">
        <v>115</v>
      </c>
      <c r="D13" s="244" t="s">
        <v>236</v>
      </c>
      <c r="E13" s="175" t="s">
        <v>75</v>
      </c>
      <c r="F13" s="177">
        <v>10</v>
      </c>
      <c r="G13" s="211">
        <f t="shared" si="7"/>
        <v>885</v>
      </c>
      <c r="H13" s="179">
        <v>8850</v>
      </c>
      <c r="I13" s="181">
        <f t="shared" ref="I13" si="18">SUM(H13:H13)</f>
        <v>8850</v>
      </c>
      <c r="J13" s="182">
        <v>0</v>
      </c>
      <c r="K13" s="182">
        <f t="shared" ref="K13" si="19">I13+J13</f>
        <v>8850</v>
      </c>
      <c r="L13" s="182">
        <f t="shared" si="1"/>
        <v>7641.91</v>
      </c>
      <c r="M13" s="182">
        <f t="shared" si="15"/>
        <v>1208.0900000000001</v>
      </c>
      <c r="N13" s="183">
        <f t="shared" si="16"/>
        <v>0.21360000000000001</v>
      </c>
      <c r="O13" s="182">
        <f t="shared" si="17"/>
        <v>258.04802400000005</v>
      </c>
      <c r="P13" s="184">
        <f t="shared" si="3"/>
        <v>809.25</v>
      </c>
      <c r="Q13" s="182">
        <f t="shared" ref="Q13" si="20">O13+P13</f>
        <v>1067.2980240000002</v>
      </c>
      <c r="R13" s="182">
        <f t="shared" ref="R13" si="21">VLOOKUP(K13,Credito1,2)</f>
        <v>0</v>
      </c>
      <c r="S13" s="182">
        <f t="shared" ref="S13" si="22">ROUND(Q13-R13,2)</f>
        <v>1067.3</v>
      </c>
      <c r="T13" s="181">
        <f t="shared" si="5"/>
        <v>0</v>
      </c>
      <c r="U13" s="181">
        <f t="shared" si="6"/>
        <v>1067.3</v>
      </c>
      <c r="V13" s="181">
        <f>SUM(U13:U13)</f>
        <v>1067.3</v>
      </c>
      <c r="W13" s="181">
        <f>I13+T13-V13</f>
        <v>7782.7</v>
      </c>
      <c r="X13" s="33"/>
    </row>
    <row r="14" spans="1:25" ht="79.5" customHeight="1" x14ac:dyDescent="0.3">
      <c r="A14" s="116" t="s">
        <v>87</v>
      </c>
      <c r="B14" s="173" t="s">
        <v>252</v>
      </c>
      <c r="C14" s="174" t="s">
        <v>115</v>
      </c>
      <c r="D14" s="245" t="s">
        <v>237</v>
      </c>
      <c r="E14" s="188" t="s">
        <v>75</v>
      </c>
      <c r="F14" s="189">
        <v>15</v>
      </c>
      <c r="G14" s="212">
        <f t="shared" si="7"/>
        <v>590</v>
      </c>
      <c r="H14" s="179">
        <v>8850</v>
      </c>
      <c r="I14" s="181">
        <f t="shared" ref="I14" si="23">SUM(H14:H14)</f>
        <v>8850</v>
      </c>
      <c r="J14" s="182">
        <v>0</v>
      </c>
      <c r="K14" s="182">
        <f t="shared" si="8"/>
        <v>8850</v>
      </c>
      <c r="L14" s="182">
        <f t="shared" si="1"/>
        <v>7641.91</v>
      </c>
      <c r="M14" s="182">
        <f t="shared" si="15"/>
        <v>1208.0900000000001</v>
      </c>
      <c r="N14" s="183">
        <f t="shared" si="16"/>
        <v>0.21360000000000001</v>
      </c>
      <c r="O14" s="182">
        <f t="shared" si="17"/>
        <v>258.04802400000005</v>
      </c>
      <c r="P14" s="184">
        <f t="shared" si="3"/>
        <v>809.25</v>
      </c>
      <c r="Q14" s="182">
        <f t="shared" si="12"/>
        <v>1067.2980240000002</v>
      </c>
      <c r="R14" s="182">
        <f t="shared" si="13"/>
        <v>0</v>
      </c>
      <c r="S14" s="182">
        <f t="shared" si="14"/>
        <v>1067.3</v>
      </c>
      <c r="T14" s="181">
        <f t="shared" ref="T14" si="24">-IF(S14&gt;0,0,S14)</f>
        <v>0</v>
      </c>
      <c r="U14" s="181">
        <f t="shared" si="6"/>
        <v>1067.3</v>
      </c>
      <c r="V14" s="181">
        <f>SUM(U14:U14)</f>
        <v>1067.3</v>
      </c>
      <c r="W14" s="181">
        <f>I14+T14-V14</f>
        <v>7782.7</v>
      </c>
      <c r="X14" s="33"/>
    </row>
    <row r="15" spans="1:25" ht="79.5" customHeight="1" x14ac:dyDescent="0.3">
      <c r="A15" s="116" t="s">
        <v>88</v>
      </c>
      <c r="B15" s="173" t="s">
        <v>253</v>
      </c>
      <c r="C15" s="174" t="s">
        <v>115</v>
      </c>
      <c r="D15" s="243" t="s">
        <v>238</v>
      </c>
      <c r="E15" s="175" t="s">
        <v>75</v>
      </c>
      <c r="F15" s="177">
        <v>15</v>
      </c>
      <c r="G15" s="211">
        <f t="shared" si="7"/>
        <v>590</v>
      </c>
      <c r="H15" s="179">
        <v>8850</v>
      </c>
      <c r="I15" s="181">
        <f t="shared" si="0"/>
        <v>8850</v>
      </c>
      <c r="J15" s="182">
        <v>0</v>
      </c>
      <c r="K15" s="182">
        <f t="shared" si="8"/>
        <v>8850</v>
      </c>
      <c r="L15" s="182">
        <f t="shared" si="1"/>
        <v>7641.91</v>
      </c>
      <c r="M15" s="182">
        <f t="shared" si="15"/>
        <v>1208.0900000000001</v>
      </c>
      <c r="N15" s="183">
        <f t="shared" si="16"/>
        <v>0.21360000000000001</v>
      </c>
      <c r="O15" s="182">
        <f t="shared" si="17"/>
        <v>258.04802400000005</v>
      </c>
      <c r="P15" s="184">
        <f t="shared" si="3"/>
        <v>809.25</v>
      </c>
      <c r="Q15" s="182">
        <f t="shared" si="12"/>
        <v>1067.2980240000002</v>
      </c>
      <c r="R15" s="182">
        <f t="shared" si="13"/>
        <v>0</v>
      </c>
      <c r="S15" s="182">
        <f t="shared" si="14"/>
        <v>1067.3</v>
      </c>
      <c r="T15" s="181">
        <f t="shared" si="5"/>
        <v>0</v>
      </c>
      <c r="U15" s="181">
        <f t="shared" si="6"/>
        <v>1067.3</v>
      </c>
      <c r="V15" s="181">
        <f>SUM(U15:U15)</f>
        <v>1067.3</v>
      </c>
      <c r="W15" s="181">
        <f>I15+T15-V15</f>
        <v>7782.7</v>
      </c>
      <c r="X15" s="33"/>
    </row>
    <row r="16" spans="1:25" ht="79.5" customHeight="1" x14ac:dyDescent="0.3">
      <c r="A16" s="116" t="s">
        <v>89</v>
      </c>
      <c r="B16" s="173" t="s">
        <v>239</v>
      </c>
      <c r="C16" s="174" t="s">
        <v>115</v>
      </c>
      <c r="D16" s="243" t="s">
        <v>240</v>
      </c>
      <c r="E16" s="175" t="s">
        <v>75</v>
      </c>
      <c r="F16" s="177">
        <v>15</v>
      </c>
      <c r="G16" s="211">
        <f t="shared" si="7"/>
        <v>590</v>
      </c>
      <c r="H16" s="179">
        <v>8850</v>
      </c>
      <c r="I16" s="181">
        <f t="shared" si="0"/>
        <v>8850</v>
      </c>
      <c r="J16" s="182">
        <v>0</v>
      </c>
      <c r="K16" s="182">
        <f t="shared" si="8"/>
        <v>8850</v>
      </c>
      <c r="L16" s="182">
        <f t="shared" si="1"/>
        <v>7641.91</v>
      </c>
      <c r="M16" s="182">
        <f t="shared" si="15"/>
        <v>1208.0900000000001</v>
      </c>
      <c r="N16" s="183">
        <f t="shared" si="16"/>
        <v>0.21360000000000001</v>
      </c>
      <c r="O16" s="182">
        <f t="shared" si="17"/>
        <v>258.04802400000005</v>
      </c>
      <c r="P16" s="184">
        <f t="shared" si="3"/>
        <v>809.25</v>
      </c>
      <c r="Q16" s="182">
        <f t="shared" si="12"/>
        <v>1067.2980240000002</v>
      </c>
      <c r="R16" s="182">
        <f t="shared" si="13"/>
        <v>0</v>
      </c>
      <c r="S16" s="182">
        <f t="shared" si="14"/>
        <v>1067.3</v>
      </c>
      <c r="T16" s="181">
        <f t="shared" si="5"/>
        <v>0</v>
      </c>
      <c r="U16" s="181">
        <f t="shared" si="6"/>
        <v>1067.3</v>
      </c>
      <c r="V16" s="181">
        <f>SUM(U16:U16)</f>
        <v>1067.3</v>
      </c>
      <c r="W16" s="181">
        <f>I16+T16-V16</f>
        <v>7782.7</v>
      </c>
      <c r="X16" s="33"/>
    </row>
    <row r="17" spans="1:24" ht="79.5" customHeight="1" x14ac:dyDescent="0.3">
      <c r="A17" s="116" t="s">
        <v>90</v>
      </c>
      <c r="B17" s="173" t="s">
        <v>254</v>
      </c>
      <c r="C17" s="174" t="s">
        <v>115</v>
      </c>
      <c r="D17" s="243" t="s">
        <v>241</v>
      </c>
      <c r="E17" s="175" t="s">
        <v>75</v>
      </c>
      <c r="F17" s="177">
        <v>15</v>
      </c>
      <c r="G17" s="211">
        <f t="shared" si="7"/>
        <v>590</v>
      </c>
      <c r="H17" s="179">
        <v>8850</v>
      </c>
      <c r="I17" s="181">
        <f t="shared" si="0"/>
        <v>8850</v>
      </c>
      <c r="J17" s="182">
        <v>0</v>
      </c>
      <c r="K17" s="182">
        <f t="shared" si="8"/>
        <v>8850</v>
      </c>
      <c r="L17" s="182">
        <f t="shared" si="1"/>
        <v>7641.91</v>
      </c>
      <c r="M17" s="182">
        <f t="shared" si="15"/>
        <v>1208.0900000000001</v>
      </c>
      <c r="N17" s="183">
        <f t="shared" si="16"/>
        <v>0.21360000000000001</v>
      </c>
      <c r="O17" s="182">
        <f t="shared" si="17"/>
        <v>258.04802400000005</v>
      </c>
      <c r="P17" s="184">
        <f t="shared" si="3"/>
        <v>809.25</v>
      </c>
      <c r="Q17" s="182">
        <f t="shared" si="12"/>
        <v>1067.2980240000002</v>
      </c>
      <c r="R17" s="182">
        <f t="shared" si="13"/>
        <v>0</v>
      </c>
      <c r="S17" s="182">
        <f t="shared" si="14"/>
        <v>1067.3</v>
      </c>
      <c r="T17" s="181">
        <f t="shared" si="5"/>
        <v>0</v>
      </c>
      <c r="U17" s="181">
        <f t="shared" si="6"/>
        <v>1067.3</v>
      </c>
      <c r="V17" s="181">
        <f>SUM(U17:U17)</f>
        <v>1067.3</v>
      </c>
      <c r="W17" s="181">
        <f>I17+T17-V17</f>
        <v>7782.7</v>
      </c>
      <c r="X17" s="33"/>
    </row>
    <row r="18" spans="1:24" ht="79.5" customHeight="1" x14ac:dyDescent="0.3">
      <c r="A18" s="116" t="s">
        <v>91</v>
      </c>
      <c r="B18" s="173" t="s">
        <v>255</v>
      </c>
      <c r="C18" s="174" t="s">
        <v>115</v>
      </c>
      <c r="D18" s="243" t="s">
        <v>262</v>
      </c>
      <c r="E18" s="175" t="s">
        <v>75</v>
      </c>
      <c r="F18" s="177">
        <v>15</v>
      </c>
      <c r="G18" s="211">
        <f t="shared" si="7"/>
        <v>590</v>
      </c>
      <c r="H18" s="179">
        <v>8850</v>
      </c>
      <c r="I18" s="181">
        <f t="shared" si="0"/>
        <v>8850</v>
      </c>
      <c r="J18" s="182">
        <v>0</v>
      </c>
      <c r="K18" s="182">
        <f t="shared" si="8"/>
        <v>8850</v>
      </c>
      <c r="L18" s="182">
        <f t="shared" si="1"/>
        <v>7641.91</v>
      </c>
      <c r="M18" s="182">
        <f t="shared" si="15"/>
        <v>1208.0900000000001</v>
      </c>
      <c r="N18" s="183">
        <f t="shared" si="16"/>
        <v>0.21360000000000001</v>
      </c>
      <c r="O18" s="182">
        <f t="shared" si="17"/>
        <v>258.04802400000005</v>
      </c>
      <c r="P18" s="184">
        <f t="shared" si="3"/>
        <v>809.25</v>
      </c>
      <c r="Q18" s="182">
        <f t="shared" si="12"/>
        <v>1067.2980240000002</v>
      </c>
      <c r="R18" s="182">
        <f t="shared" si="13"/>
        <v>0</v>
      </c>
      <c r="S18" s="182">
        <f t="shared" si="14"/>
        <v>1067.3</v>
      </c>
      <c r="T18" s="181">
        <f t="shared" si="5"/>
        <v>0</v>
      </c>
      <c r="U18" s="181">
        <f t="shared" si="6"/>
        <v>1067.3</v>
      </c>
      <c r="V18" s="181">
        <f>SUM(U18:U18)</f>
        <v>1067.3</v>
      </c>
      <c r="W18" s="181">
        <f>I18+T18-V18</f>
        <v>7782.7</v>
      </c>
      <c r="X18" s="33"/>
    </row>
    <row r="19" spans="1:24" ht="21.75" customHeight="1" x14ac:dyDescent="0.25">
      <c r="A19" s="198"/>
      <c r="B19" s="198"/>
      <c r="C19" s="198"/>
      <c r="D19" s="198"/>
      <c r="E19" s="198"/>
      <c r="F19" s="198"/>
      <c r="G19" s="198"/>
      <c r="H19" s="204"/>
      <c r="I19" s="204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</row>
    <row r="20" spans="1:24" ht="40.5" customHeight="1" thickBot="1" x14ac:dyDescent="0.3">
      <c r="A20" s="259" t="s">
        <v>44</v>
      </c>
      <c r="B20" s="260"/>
      <c r="C20" s="260"/>
      <c r="D20" s="260"/>
      <c r="E20" s="260"/>
      <c r="F20" s="260"/>
      <c r="G20" s="261"/>
      <c r="H20" s="185">
        <f>SUM(H10:H19)</f>
        <v>79650</v>
      </c>
      <c r="I20" s="185">
        <f>SUM(I10:I19)</f>
        <v>79650</v>
      </c>
      <c r="J20" s="186">
        <f t="shared" ref="J20:S20" si="25">SUM(J10:J19)</f>
        <v>0</v>
      </c>
      <c r="K20" s="186">
        <f t="shared" si="25"/>
        <v>79650</v>
      </c>
      <c r="L20" s="186">
        <f t="shared" si="25"/>
        <v>68777.190000000017</v>
      </c>
      <c r="M20" s="186">
        <f t="shared" si="25"/>
        <v>10872.810000000001</v>
      </c>
      <c r="N20" s="186">
        <f t="shared" si="25"/>
        <v>1.9224000000000001</v>
      </c>
      <c r="O20" s="186">
        <f t="shared" si="25"/>
        <v>2322.4322160000011</v>
      </c>
      <c r="P20" s="186">
        <f t="shared" si="25"/>
        <v>7283.25</v>
      </c>
      <c r="Q20" s="186">
        <f t="shared" si="25"/>
        <v>9605.6822159999992</v>
      </c>
      <c r="R20" s="186">
        <f t="shared" si="25"/>
        <v>0</v>
      </c>
      <c r="S20" s="186">
        <f t="shared" si="25"/>
        <v>9605.6999999999989</v>
      </c>
      <c r="T20" s="185">
        <f>SUM(T10:T19)</f>
        <v>0</v>
      </c>
      <c r="U20" s="185">
        <f>SUM(U10:U19)</f>
        <v>9605.6999999999989</v>
      </c>
      <c r="V20" s="185">
        <f>SUM(V10:V19)</f>
        <v>9605.6999999999989</v>
      </c>
      <c r="W20" s="185">
        <f>SUM(W10:W19)</f>
        <v>70044.299999999988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4.85546875" hidden="1" customWidth="1"/>
    <col min="12" max="12" width="14.7109375" hidden="1" customWidth="1"/>
    <col min="13" max="13" width="13" hidden="1" customWidth="1"/>
    <col min="14" max="14" width="11.42578125" hidden="1" customWidth="1"/>
    <col min="15" max="15" width="13.28515625" hidden="1" customWidth="1"/>
    <col min="16" max="17" width="12.5703125" hidden="1" customWidth="1"/>
    <col min="18" max="18" width="11.42578125" hidden="1" customWidth="1"/>
    <col min="19" max="19" width="12.8554687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2" t="s">
        <v>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3" t="s">
        <v>326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22</v>
      </c>
      <c r="F7" s="23" t="s">
        <v>5</v>
      </c>
      <c r="G7" s="273" t="s">
        <v>1</v>
      </c>
      <c r="H7" s="274"/>
      <c r="I7" s="275"/>
      <c r="J7" s="24" t="s">
        <v>25</v>
      </c>
      <c r="K7" s="25"/>
      <c r="L7" s="276" t="s">
        <v>8</v>
      </c>
      <c r="M7" s="277"/>
      <c r="N7" s="277"/>
      <c r="O7" s="277"/>
      <c r="P7" s="277"/>
      <c r="Q7" s="278"/>
      <c r="R7" s="24" t="s">
        <v>29</v>
      </c>
      <c r="S7" s="24" t="s">
        <v>9</v>
      </c>
      <c r="T7" s="23" t="s">
        <v>52</v>
      </c>
      <c r="U7" s="279" t="s">
        <v>2</v>
      </c>
      <c r="V7" s="280"/>
      <c r="W7" s="23" t="s">
        <v>0</v>
      </c>
      <c r="X7" s="34"/>
    </row>
    <row r="8" spans="1:25" ht="22.5" x14ac:dyDescent="0.2">
      <c r="A8" s="44" t="s">
        <v>101</v>
      </c>
      <c r="B8" s="44" t="s">
        <v>116</v>
      </c>
      <c r="C8" s="26" t="s">
        <v>21</v>
      </c>
      <c r="D8" s="26"/>
      <c r="E8" s="27" t="s">
        <v>23</v>
      </c>
      <c r="F8" s="26" t="s">
        <v>24</v>
      </c>
      <c r="G8" s="23" t="s">
        <v>5</v>
      </c>
      <c r="H8" s="23" t="s">
        <v>57</v>
      </c>
      <c r="I8" s="23" t="s">
        <v>27</v>
      </c>
      <c r="J8" s="28" t="s">
        <v>26</v>
      </c>
      <c r="K8" s="25" t="s">
        <v>31</v>
      </c>
      <c r="L8" s="25" t="s">
        <v>11</v>
      </c>
      <c r="M8" s="25" t="s">
        <v>33</v>
      </c>
      <c r="N8" s="25" t="s">
        <v>35</v>
      </c>
      <c r="O8" s="25" t="s">
        <v>36</v>
      </c>
      <c r="P8" s="25" t="s">
        <v>13</v>
      </c>
      <c r="Q8" s="25" t="s">
        <v>9</v>
      </c>
      <c r="R8" s="28" t="s">
        <v>39</v>
      </c>
      <c r="S8" s="28" t="s">
        <v>40</v>
      </c>
      <c r="T8" s="26" t="s">
        <v>30</v>
      </c>
      <c r="U8" s="23" t="s">
        <v>306</v>
      </c>
      <c r="V8" s="23" t="s">
        <v>6</v>
      </c>
      <c r="W8" s="26" t="s">
        <v>3</v>
      </c>
      <c r="X8" s="36" t="s">
        <v>56</v>
      </c>
    </row>
    <row r="9" spans="1:25" x14ac:dyDescent="0.2">
      <c r="A9" s="29"/>
      <c r="B9" s="29"/>
      <c r="C9" s="29"/>
      <c r="D9" s="29"/>
      <c r="E9" s="29"/>
      <c r="F9" s="29"/>
      <c r="G9" s="29" t="s">
        <v>46</v>
      </c>
      <c r="H9" s="29" t="s">
        <v>58</v>
      </c>
      <c r="I9" s="29" t="s">
        <v>28</v>
      </c>
      <c r="J9" s="30" t="s">
        <v>42</v>
      </c>
      <c r="K9" s="24" t="s">
        <v>32</v>
      </c>
      <c r="L9" s="24" t="s">
        <v>12</v>
      </c>
      <c r="M9" s="24" t="s">
        <v>34</v>
      </c>
      <c r="N9" s="24" t="s">
        <v>34</v>
      </c>
      <c r="O9" s="24" t="s">
        <v>37</v>
      </c>
      <c r="P9" s="24" t="s">
        <v>14</v>
      </c>
      <c r="Q9" s="24" t="s">
        <v>38</v>
      </c>
      <c r="R9" s="28" t="s">
        <v>18</v>
      </c>
      <c r="S9" s="31" t="s">
        <v>41</v>
      </c>
      <c r="T9" s="29" t="s">
        <v>51</v>
      </c>
      <c r="U9" s="29"/>
      <c r="V9" s="29" t="s">
        <v>43</v>
      </c>
      <c r="W9" s="29" t="s">
        <v>4</v>
      </c>
      <c r="X9" s="35"/>
    </row>
    <row r="10" spans="1:25" ht="15" x14ac:dyDescent="0.25">
      <c r="A10" s="39"/>
      <c r="B10" s="39"/>
      <c r="C10" s="91" t="s">
        <v>74</v>
      </c>
      <c r="D10" s="38" t="s">
        <v>60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29" customHeight="1" x14ac:dyDescent="0.25">
      <c r="A11" s="173" t="s">
        <v>219</v>
      </c>
      <c r="B11" s="174" t="s">
        <v>115</v>
      </c>
      <c r="C11" s="176" t="s">
        <v>220</v>
      </c>
      <c r="D11" s="176" t="s">
        <v>271</v>
      </c>
      <c r="E11" s="177">
        <v>15</v>
      </c>
      <c r="F11" s="178">
        <f>G11/E11</f>
        <v>990.6</v>
      </c>
      <c r="G11" s="179">
        <v>14859</v>
      </c>
      <c r="H11" s="180">
        <v>0</v>
      </c>
      <c r="I11" s="181">
        <f>SUM(G11:H11)</f>
        <v>14859</v>
      </c>
      <c r="J11" s="182">
        <f>H11/2</f>
        <v>0</v>
      </c>
      <c r="K11" s="182">
        <f>G11+J11</f>
        <v>14859</v>
      </c>
      <c r="L11" s="182">
        <f>VLOOKUP(K11,Tarifa1,1)</f>
        <v>7641.91</v>
      </c>
      <c r="M11" s="182">
        <f>K11-L11</f>
        <v>7217.09</v>
      </c>
      <c r="N11" s="183">
        <f t="shared" ref="N11" si="0">VLOOKUP(K11,Tarifa1,3)</f>
        <v>0.21360000000000001</v>
      </c>
      <c r="O11" s="182">
        <f>M11*N11</f>
        <v>1541.5704240000002</v>
      </c>
      <c r="P11" s="184">
        <f>VLOOKUP(K11,Tarifa1,2)</f>
        <v>809.25</v>
      </c>
      <c r="Q11" s="182">
        <f>O11+P11</f>
        <v>2350.8204240000005</v>
      </c>
      <c r="R11" s="182">
        <f t="shared" ref="R11" si="1">VLOOKUP(K11,Credito1,2)</f>
        <v>0</v>
      </c>
      <c r="S11" s="182">
        <f>ROUND(Q11-R11,2)</f>
        <v>2350.8200000000002</v>
      </c>
      <c r="T11" s="181">
        <f t="shared" ref="T11" si="2">-IF(S11&gt;0,0,S11)</f>
        <v>0</v>
      </c>
      <c r="U11" s="181">
        <f>IF(G11/15&lt;=SMG,0,IF(S11&lt;0,0,S11))</f>
        <v>2350.8200000000002</v>
      </c>
      <c r="V11" s="181">
        <f>SUM(U11:U11)</f>
        <v>2350.8200000000002</v>
      </c>
      <c r="W11" s="181">
        <f>I11+T11-V11</f>
        <v>12508.18</v>
      </c>
      <c r="X11" s="93"/>
    </row>
    <row r="12" spans="1:25" ht="18" x14ac:dyDescent="0.25">
      <c r="A12" s="198"/>
      <c r="B12" s="198"/>
      <c r="C12" s="198"/>
      <c r="D12" s="198"/>
      <c r="E12" s="199"/>
      <c r="F12" s="198"/>
      <c r="G12" s="200"/>
      <c r="H12" s="200"/>
      <c r="I12" s="200"/>
      <c r="J12" s="201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</row>
    <row r="13" spans="1:25" ht="41.25" customHeight="1" thickBot="1" x14ac:dyDescent="0.3">
      <c r="A13" s="260"/>
      <c r="B13" s="260"/>
      <c r="C13" s="260"/>
      <c r="D13" s="260"/>
      <c r="E13" s="260"/>
      <c r="F13" s="261"/>
      <c r="G13" s="185">
        <f t="shared" ref="G13:W13" si="3">SUM(G11:G12)</f>
        <v>14859</v>
      </c>
      <c r="H13" s="185">
        <f t="shared" si="3"/>
        <v>0</v>
      </c>
      <c r="I13" s="185">
        <f t="shared" si="3"/>
        <v>14859</v>
      </c>
      <c r="J13" s="186">
        <f t="shared" si="3"/>
        <v>0</v>
      </c>
      <c r="K13" s="186">
        <f t="shared" si="3"/>
        <v>14859</v>
      </c>
      <c r="L13" s="186">
        <f t="shared" si="3"/>
        <v>7641.91</v>
      </c>
      <c r="M13" s="186">
        <f t="shared" si="3"/>
        <v>7217.09</v>
      </c>
      <c r="N13" s="186">
        <f t="shared" si="3"/>
        <v>0.21360000000000001</v>
      </c>
      <c r="O13" s="186">
        <f t="shared" si="3"/>
        <v>1541.5704240000002</v>
      </c>
      <c r="P13" s="186">
        <f t="shared" si="3"/>
        <v>809.25</v>
      </c>
      <c r="Q13" s="186">
        <f t="shared" si="3"/>
        <v>2350.8204240000005</v>
      </c>
      <c r="R13" s="186">
        <f t="shared" si="3"/>
        <v>0</v>
      </c>
      <c r="S13" s="186">
        <f t="shared" si="3"/>
        <v>2350.8200000000002</v>
      </c>
      <c r="T13" s="185">
        <f t="shared" si="3"/>
        <v>0</v>
      </c>
      <c r="U13" s="185">
        <f t="shared" si="3"/>
        <v>2350.8200000000002</v>
      </c>
      <c r="V13" s="185">
        <f t="shared" si="3"/>
        <v>2350.8200000000002</v>
      </c>
      <c r="W13" s="185">
        <f t="shared" si="3"/>
        <v>12508.18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2023-02-28T17:48:12Z</cp:lastPrinted>
  <dcterms:created xsi:type="dcterms:W3CDTF">2000-05-05T04:08:27Z</dcterms:created>
  <dcterms:modified xsi:type="dcterms:W3CDTF">2023-09-15T15:43:16Z</dcterms:modified>
</cp:coreProperties>
</file>