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880230FD-8DFE-4300-97DA-78CDA5928C36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definedNames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20" l="1"/>
  <c r="L13" i="120" s="1"/>
  <c r="J13" i="120"/>
  <c r="K13" i="132"/>
  <c r="L13" i="132" s="1"/>
  <c r="J13" i="132"/>
  <c r="K12" i="132"/>
  <c r="L12" i="132" s="1"/>
  <c r="J12" i="132"/>
  <c r="K11" i="132"/>
  <c r="L11" i="132" s="1"/>
  <c r="J11" i="132"/>
  <c r="K10" i="132"/>
  <c r="L10" i="132" s="1"/>
  <c r="S10" i="132" s="1"/>
  <c r="J10" i="132"/>
  <c r="K12" i="134"/>
  <c r="L12" i="134" s="1"/>
  <c r="J12" i="134"/>
  <c r="K11" i="119"/>
  <c r="L11" i="119" s="1"/>
  <c r="J11" i="119"/>
  <c r="K10" i="119"/>
  <c r="L10" i="119" s="1"/>
  <c r="J10" i="119"/>
  <c r="S13" i="120" l="1"/>
  <c r="O13" i="120"/>
  <c r="N13" i="120"/>
  <c r="P13" i="120" s="1"/>
  <c r="Q13" i="120"/>
  <c r="M13" i="120"/>
  <c r="S13" i="132"/>
  <c r="O13" i="132"/>
  <c r="N13" i="132"/>
  <c r="P13" i="132" s="1"/>
  <c r="Q13" i="132"/>
  <c r="M13" i="132"/>
  <c r="Q12" i="132"/>
  <c r="M12" i="132"/>
  <c r="N12" i="132" s="1"/>
  <c r="P12" i="132" s="1"/>
  <c r="R12" i="132" s="1"/>
  <c r="T12" i="132" s="1"/>
  <c r="S12" i="132"/>
  <c r="O12" i="132"/>
  <c r="S11" i="132"/>
  <c r="O11" i="132"/>
  <c r="Q11" i="132"/>
  <c r="M11" i="132"/>
  <c r="N11" i="132" s="1"/>
  <c r="M10" i="132"/>
  <c r="N10" i="132" s="1"/>
  <c r="Q10" i="132"/>
  <c r="O10" i="132"/>
  <c r="S12" i="134"/>
  <c r="O12" i="134"/>
  <c r="Q12" i="134"/>
  <c r="M12" i="134"/>
  <c r="N12" i="134" s="1"/>
  <c r="P12" i="134" s="1"/>
  <c r="Q11" i="119"/>
  <c r="M11" i="119"/>
  <c r="N11" i="119" s="1"/>
  <c r="S11" i="119"/>
  <c r="O11" i="119"/>
  <c r="S10" i="119"/>
  <c r="O10" i="119"/>
  <c r="M10" i="119"/>
  <c r="N10" i="119" s="1"/>
  <c r="P10" i="119" s="1"/>
  <c r="R10" i="119" s="1"/>
  <c r="T10" i="119" s="1"/>
  <c r="Q10" i="119"/>
  <c r="R13" i="132" l="1"/>
  <c r="T13" i="132" s="1"/>
  <c r="V13" i="132" s="1"/>
  <c r="W13" i="132" s="1"/>
  <c r="R12" i="134"/>
  <c r="T12" i="134" s="1"/>
  <c r="U12" i="134" s="1"/>
  <c r="P11" i="132"/>
  <c r="R11" i="132" s="1"/>
  <c r="T11" i="132" s="1"/>
  <c r="V11" i="132" s="1"/>
  <c r="W11" i="132" s="1"/>
  <c r="R13" i="120"/>
  <c r="T13" i="120" s="1"/>
  <c r="U13" i="120" s="1"/>
  <c r="P11" i="119"/>
  <c r="R11" i="119" s="1"/>
  <c r="T11" i="119" s="1"/>
  <c r="U11" i="119" s="1"/>
  <c r="V12" i="132"/>
  <c r="W12" i="132" s="1"/>
  <c r="U12" i="132"/>
  <c r="U11" i="132"/>
  <c r="P10" i="132"/>
  <c r="R10" i="132" s="1"/>
  <c r="T10" i="132" s="1"/>
  <c r="V12" i="134"/>
  <c r="W12" i="134" s="1"/>
  <c r="V10" i="119"/>
  <c r="W10" i="119" s="1"/>
  <c r="U10" i="119"/>
  <c r="U13" i="132" l="1"/>
  <c r="X13" i="132" s="1"/>
  <c r="V13" i="120"/>
  <c r="W13" i="120" s="1"/>
  <c r="X13" i="120" s="1"/>
  <c r="V11" i="119"/>
  <c r="W11" i="119" s="1"/>
  <c r="X11" i="119" s="1"/>
  <c r="X10" i="119"/>
  <c r="X12" i="134"/>
  <c r="X12" i="132"/>
  <c r="X11" i="132"/>
  <c r="V10" i="132"/>
  <c r="W10" i="132" s="1"/>
  <c r="U10" i="132"/>
  <c r="X10" i="132" l="1"/>
  <c r="K13" i="133" l="1"/>
  <c r="L13" i="133" s="1"/>
  <c r="J13" i="133"/>
  <c r="Q13" i="133" l="1"/>
  <c r="M13" i="133"/>
  <c r="N13" i="133" s="1"/>
  <c r="S13" i="133"/>
  <c r="O13" i="133"/>
  <c r="I22" i="135"/>
  <c r="J22" i="135" s="1"/>
  <c r="H22" i="135"/>
  <c r="K10" i="133"/>
  <c r="L10" i="133" s="1"/>
  <c r="J10" i="133"/>
  <c r="P13" i="133" l="1"/>
  <c r="R13" i="133" s="1"/>
  <c r="T13" i="133" s="1"/>
  <c r="O22" i="135"/>
  <c r="K22" i="135"/>
  <c r="L22" i="135" s="1"/>
  <c r="Q22" i="135"/>
  <c r="M22" i="135"/>
  <c r="O10" i="133"/>
  <c r="S10" i="133"/>
  <c r="M10" i="133"/>
  <c r="N10" i="133" s="1"/>
  <c r="Q10" i="133"/>
  <c r="K34" i="120"/>
  <c r="L34" i="120" s="1"/>
  <c r="J34" i="120"/>
  <c r="K33" i="120"/>
  <c r="L33" i="120" s="1"/>
  <c r="J33" i="120"/>
  <c r="N22" i="135" l="1"/>
  <c r="P22" i="135" s="1"/>
  <c r="R22" i="135" s="1"/>
  <c r="V13" i="133"/>
  <c r="W13" i="133" s="1"/>
  <c r="U13" i="133"/>
  <c r="P10" i="133"/>
  <c r="R10" i="133" s="1"/>
  <c r="T10" i="133" s="1"/>
  <c r="V10" i="133" s="1"/>
  <c r="W10" i="133" s="1"/>
  <c r="Q34" i="120"/>
  <c r="S34" i="120"/>
  <c r="O34" i="120"/>
  <c r="M34" i="120"/>
  <c r="N34" i="120" s="1"/>
  <c r="P34" i="120" s="1"/>
  <c r="S33" i="120"/>
  <c r="O33" i="120"/>
  <c r="Q33" i="120"/>
  <c r="M33" i="120"/>
  <c r="N33" i="120" s="1"/>
  <c r="I21" i="135"/>
  <c r="J21" i="135" s="1"/>
  <c r="H21" i="135"/>
  <c r="K11" i="133"/>
  <c r="L11" i="133" s="1"/>
  <c r="J11" i="133"/>
  <c r="G11" i="133"/>
  <c r="S22" i="135" l="1"/>
  <c r="T22" i="135"/>
  <c r="U22" i="135" s="1"/>
  <c r="V22" i="135" s="1"/>
  <c r="P33" i="120"/>
  <c r="R33" i="120" s="1"/>
  <c r="T33" i="120" s="1"/>
  <c r="V33" i="120" s="1"/>
  <c r="W33" i="120" s="1"/>
  <c r="R34" i="120"/>
  <c r="T34" i="120" s="1"/>
  <c r="V34" i="120" s="1"/>
  <c r="W34" i="120" s="1"/>
  <c r="X13" i="133"/>
  <c r="U10" i="133"/>
  <c r="X10" i="133" s="1"/>
  <c r="Q21" i="135"/>
  <c r="M21" i="135"/>
  <c r="O21" i="135"/>
  <c r="K21" i="135"/>
  <c r="L21" i="135" s="1"/>
  <c r="S11" i="133"/>
  <c r="O11" i="133"/>
  <c r="Q11" i="133"/>
  <c r="M11" i="133"/>
  <c r="N11" i="133" s="1"/>
  <c r="U34" i="120" l="1"/>
  <c r="U33" i="120"/>
  <c r="X33" i="120" s="1"/>
  <c r="N21" i="135"/>
  <c r="P21" i="135" s="1"/>
  <c r="R21" i="135" s="1"/>
  <c r="T21" i="135" s="1"/>
  <c r="U21" i="135" s="1"/>
  <c r="P11" i="133"/>
  <c r="R11" i="133" s="1"/>
  <c r="T11" i="133" s="1"/>
  <c r="V11" i="133" s="1"/>
  <c r="W11" i="133" s="1"/>
  <c r="X34" i="120"/>
  <c r="K27" i="121"/>
  <c r="L27" i="121" s="1"/>
  <c r="J27" i="121"/>
  <c r="S21" i="135" l="1"/>
  <c r="U11" i="133"/>
  <c r="X11" i="133" s="1"/>
  <c r="V21" i="135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2" i="133" l="1"/>
  <c r="L12" i="133" s="1"/>
  <c r="K14" i="133"/>
  <c r="L14" i="133" s="1"/>
  <c r="K15" i="133"/>
  <c r="L15" i="133" s="1"/>
  <c r="M15" i="133" s="1"/>
  <c r="K16" i="133"/>
  <c r="L16" i="133" s="1"/>
  <c r="I10" i="135"/>
  <c r="J10" i="135" s="1"/>
  <c r="I11" i="135"/>
  <c r="I12" i="135"/>
  <c r="I13" i="135"/>
  <c r="J13" i="135" s="1"/>
  <c r="K13" i="135" s="1"/>
  <c r="I14" i="135"/>
  <c r="I15" i="135"/>
  <c r="I16" i="135"/>
  <c r="J16" i="135" s="1"/>
  <c r="I17" i="135"/>
  <c r="J17" i="135" s="1"/>
  <c r="K17" i="135" s="1"/>
  <c r="I18" i="135"/>
  <c r="J18" i="135" s="1"/>
  <c r="I19" i="135"/>
  <c r="I20" i="135"/>
  <c r="J20" i="135" s="1"/>
  <c r="I9" i="135"/>
  <c r="J9" i="135" s="1"/>
  <c r="K11" i="118"/>
  <c r="K12" i="118"/>
  <c r="K10" i="118"/>
  <c r="L10" i="118" s="1"/>
  <c r="S10" i="118" s="1"/>
  <c r="K33" i="123"/>
  <c r="L33" i="123" s="1"/>
  <c r="K31" i="123"/>
  <c r="K29" i="123"/>
  <c r="L29" i="123" s="1"/>
  <c r="K27" i="123"/>
  <c r="L27" i="123" s="1"/>
  <c r="K22" i="123"/>
  <c r="L22" i="123" s="1"/>
  <c r="K21" i="123"/>
  <c r="L21" i="123" s="1"/>
  <c r="K18" i="123"/>
  <c r="K19" i="123"/>
  <c r="L19" i="123" s="1"/>
  <c r="K17" i="123"/>
  <c r="L17" i="123" s="1"/>
  <c r="K15" i="123"/>
  <c r="K13" i="123"/>
  <c r="K11" i="123"/>
  <c r="L11" i="123" s="1"/>
  <c r="K10" i="123"/>
  <c r="L10" i="123" s="1"/>
  <c r="K35" i="121"/>
  <c r="L35" i="121" s="1"/>
  <c r="K33" i="121"/>
  <c r="K32" i="121"/>
  <c r="L32" i="121" s="1"/>
  <c r="K30" i="121"/>
  <c r="K29" i="12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5" i="120"/>
  <c r="L35" i="120" s="1"/>
  <c r="M35" i="120" s="1"/>
  <c r="K36" i="120"/>
  <c r="L36" i="120" s="1"/>
  <c r="K10" i="120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K19" i="120"/>
  <c r="L19" i="120" s="1"/>
  <c r="M19" i="120" s="1"/>
  <c r="K20" i="120"/>
  <c r="L20" i="120" s="1"/>
  <c r="K21" i="120"/>
  <c r="L21" i="120" s="1"/>
  <c r="M21" i="120" s="1"/>
  <c r="K9" i="120"/>
  <c r="L9" i="120" s="1"/>
  <c r="K10" i="134"/>
  <c r="L10" i="134" s="1"/>
  <c r="K10" i="127"/>
  <c r="L10" i="127" s="1"/>
  <c r="S10" i="127" s="1"/>
  <c r="K34" i="119"/>
  <c r="L34" i="119" s="1"/>
  <c r="K32" i="119"/>
  <c r="L32" i="119" s="1"/>
  <c r="K31" i="119"/>
  <c r="L31" i="119" s="1"/>
  <c r="K21" i="119"/>
  <c r="L21" i="119" s="1"/>
  <c r="K19" i="119"/>
  <c r="K18" i="119"/>
  <c r="L18" i="119" s="1"/>
  <c r="K16" i="119"/>
  <c r="L16" i="119" s="1"/>
  <c r="K14" i="119"/>
  <c r="L14" i="119" s="1"/>
  <c r="K12" i="119"/>
  <c r="L12" i="119" s="1"/>
  <c r="J19" i="135"/>
  <c r="K19" i="135" s="1"/>
  <c r="J14" i="135"/>
  <c r="J12" i="135"/>
  <c r="J11" i="135"/>
  <c r="K11" i="135" s="1"/>
  <c r="L11" i="118"/>
  <c r="L31" i="123"/>
  <c r="L18" i="123"/>
  <c r="L13" i="123"/>
  <c r="L29" i="121"/>
  <c r="J15" i="135"/>
  <c r="K15" i="135" s="1"/>
  <c r="L12" i="118"/>
  <c r="M12" i="118" s="1"/>
  <c r="L15" i="123"/>
  <c r="S15" i="123" s="1"/>
  <c r="L33" i="121"/>
  <c r="L30" i="121"/>
  <c r="L10" i="120"/>
  <c r="L19" i="119"/>
  <c r="Q26" i="121" l="1"/>
  <c r="O12" i="133"/>
  <c r="S12" i="133"/>
  <c r="M12" i="133"/>
  <c r="N12" i="133" s="1"/>
  <c r="Q12" i="133"/>
  <c r="O14" i="133"/>
  <c r="S14" i="133"/>
  <c r="N14" i="133"/>
  <c r="M14" i="133"/>
  <c r="Q14" i="133"/>
  <c r="O16" i="133"/>
  <c r="S16" i="133"/>
  <c r="M16" i="133"/>
  <c r="N16" i="133" s="1"/>
  <c r="Q16" i="133"/>
  <c r="S15" i="133"/>
  <c r="O15" i="133"/>
  <c r="N15" i="133"/>
  <c r="Q15" i="133"/>
  <c r="O11" i="118"/>
  <c r="M11" i="118"/>
  <c r="N11" i="118" s="1"/>
  <c r="P11" i="118" s="1"/>
  <c r="O36" i="120"/>
  <c r="M36" i="120"/>
  <c r="N36" i="120" s="1"/>
  <c r="Q36" i="120"/>
  <c r="Q11" i="118"/>
  <c r="M26" i="121"/>
  <c r="N26" i="121" s="1"/>
  <c r="M20" i="135"/>
  <c r="Q20" i="135"/>
  <c r="K20" i="135"/>
  <c r="L20" i="135" s="1"/>
  <c r="O20" i="135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N14" i="135" s="1"/>
  <c r="O14" i="135"/>
  <c r="M18" i="135"/>
  <c r="Q18" i="135"/>
  <c r="K18" i="135"/>
  <c r="L18" i="135" s="1"/>
  <c r="O18" i="135"/>
  <c r="M10" i="135"/>
  <c r="Q10" i="135"/>
  <c r="O10" i="135"/>
  <c r="K10" i="135"/>
  <c r="L10" i="135" s="1"/>
  <c r="Q19" i="135"/>
  <c r="M19" i="135"/>
  <c r="Q17" i="135"/>
  <c r="M15" i="135"/>
  <c r="Q13" i="135"/>
  <c r="L19" i="135"/>
  <c r="L17" i="135"/>
  <c r="L15" i="135"/>
  <c r="L13" i="135"/>
  <c r="L11" i="135"/>
  <c r="M17" i="135"/>
  <c r="Q15" i="135"/>
  <c r="M13" i="135"/>
  <c r="Q11" i="135"/>
  <c r="M11" i="135"/>
  <c r="O19" i="135"/>
  <c r="O17" i="135"/>
  <c r="O15" i="135"/>
  <c r="O13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3" i="123"/>
  <c r="M33" i="123"/>
  <c r="N33" i="123" s="1"/>
  <c r="S33" i="123"/>
  <c r="O33" i="123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5" i="120"/>
  <c r="O35" i="120"/>
  <c r="N35" i="120"/>
  <c r="S36" i="120"/>
  <c r="Q35" i="120"/>
  <c r="O12" i="120"/>
  <c r="S12" i="120"/>
  <c r="M12" i="120"/>
  <c r="N12" i="120" s="1"/>
  <c r="Q12" i="120"/>
  <c r="O16" i="120"/>
  <c r="S16" i="120"/>
  <c r="M16" i="120"/>
  <c r="N16" i="120" s="1"/>
  <c r="Q16" i="120"/>
  <c r="O20" i="120"/>
  <c r="S20" i="120"/>
  <c r="M20" i="120"/>
  <c r="N20" i="120" s="1"/>
  <c r="Q20" i="120"/>
  <c r="O14" i="120"/>
  <c r="S14" i="120"/>
  <c r="M14" i="120"/>
  <c r="N14" i="120" s="1"/>
  <c r="Q14" i="120"/>
  <c r="O18" i="120"/>
  <c r="S18" i="120"/>
  <c r="M18" i="120"/>
  <c r="N18" i="120" s="1"/>
  <c r="Q18" i="120"/>
  <c r="O10" i="120"/>
  <c r="S10" i="120"/>
  <c r="M10" i="120"/>
  <c r="N10" i="120" s="1"/>
  <c r="Q10" i="120"/>
  <c r="S21" i="120"/>
  <c r="O21" i="120"/>
  <c r="S19" i="120"/>
  <c r="O19" i="120"/>
  <c r="S17" i="120"/>
  <c r="O17" i="120"/>
  <c r="S15" i="120"/>
  <c r="O15" i="120"/>
  <c r="S11" i="120"/>
  <c r="O11" i="120"/>
  <c r="N21" i="120"/>
  <c r="N19" i="120"/>
  <c r="N17" i="120"/>
  <c r="N15" i="120"/>
  <c r="P15" i="120" s="1"/>
  <c r="N11" i="120"/>
  <c r="Q21" i="120"/>
  <c r="Q19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P10" i="134" s="1"/>
  <c r="S10" i="134"/>
  <c r="Q10" i="134"/>
  <c r="M10" i="127"/>
  <c r="N10" i="127" s="1"/>
  <c r="Q10" i="127"/>
  <c r="O10" i="127"/>
  <c r="S34" i="119"/>
  <c r="O34" i="119"/>
  <c r="Q34" i="119"/>
  <c r="M34" i="119"/>
  <c r="N34" i="119" s="1"/>
  <c r="S32" i="119"/>
  <c r="O32" i="119"/>
  <c r="Q32" i="119"/>
  <c r="M32" i="119"/>
  <c r="N32" i="119" s="1"/>
  <c r="O31" i="119"/>
  <c r="S31" i="119"/>
  <c r="Q31" i="119"/>
  <c r="M31" i="119"/>
  <c r="N31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P27" i="123" l="1"/>
  <c r="R27" i="123" s="1"/>
  <c r="T27" i="123" s="1"/>
  <c r="P14" i="133"/>
  <c r="R14" i="133" s="1"/>
  <c r="T14" i="133" s="1"/>
  <c r="P12" i="133"/>
  <c r="R12" i="133" s="1"/>
  <c r="T12" i="133" s="1"/>
  <c r="P15" i="133"/>
  <c r="R15" i="133" s="1"/>
  <c r="T15" i="133" s="1"/>
  <c r="P14" i="135"/>
  <c r="R14" i="135" s="1"/>
  <c r="P16" i="133"/>
  <c r="R16" i="133" s="1"/>
  <c r="T16" i="133" s="1"/>
  <c r="R11" i="118"/>
  <c r="T11" i="118" s="1"/>
  <c r="P22" i="123"/>
  <c r="R22" i="123" s="1"/>
  <c r="T22" i="123" s="1"/>
  <c r="P18" i="123"/>
  <c r="R18" i="123" s="1"/>
  <c r="T18" i="123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6" i="120"/>
  <c r="R36" i="120" s="1"/>
  <c r="T36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4" i="119"/>
  <c r="R14" i="119" s="1"/>
  <c r="T14" i="119" s="1"/>
  <c r="P16" i="119"/>
  <c r="R16" i="119" s="1"/>
  <c r="T16" i="119" s="1"/>
  <c r="P18" i="119"/>
  <c r="R18" i="119" s="1"/>
  <c r="T18" i="119" s="1"/>
  <c r="P32" i="119"/>
  <c r="R32" i="119" s="1"/>
  <c r="T32" i="119" s="1"/>
  <c r="P31" i="119"/>
  <c r="R31" i="119" s="1"/>
  <c r="T31" i="119" s="1"/>
  <c r="N10" i="135"/>
  <c r="P10" i="135" s="1"/>
  <c r="R10" i="135" s="1"/>
  <c r="R10" i="134"/>
  <c r="T10" i="134" s="1"/>
  <c r="P10" i="120"/>
  <c r="R10" i="120" s="1"/>
  <c r="T10" i="120" s="1"/>
  <c r="P18" i="120"/>
  <c r="R18" i="120" s="1"/>
  <c r="T18" i="120" s="1"/>
  <c r="P19" i="123"/>
  <c r="R19" i="123" s="1"/>
  <c r="T19" i="123" s="1"/>
  <c r="P21" i="123"/>
  <c r="R21" i="123" s="1"/>
  <c r="T21" i="123" s="1"/>
  <c r="P29" i="123"/>
  <c r="R29" i="123" s="1"/>
  <c r="T29" i="123" s="1"/>
  <c r="N18" i="135"/>
  <c r="P18" i="135" s="1"/>
  <c r="R18" i="135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N20" i="135"/>
  <c r="P20" i="135" s="1"/>
  <c r="R20" i="135" s="1"/>
  <c r="P9" i="120"/>
  <c r="R9" i="120" s="1"/>
  <c r="T9" i="120" s="1"/>
  <c r="P11" i="120"/>
  <c r="R11" i="120" s="1"/>
  <c r="T11" i="120" s="1"/>
  <c r="P19" i="120"/>
  <c r="R19" i="120" s="1"/>
  <c r="T19" i="120" s="1"/>
  <c r="P20" i="120"/>
  <c r="R20" i="120" s="1"/>
  <c r="T20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5" i="120"/>
  <c r="R35" i="120" s="1"/>
  <c r="T35" i="120" s="1"/>
  <c r="P10" i="121"/>
  <c r="R10" i="121" s="1"/>
  <c r="T10" i="121" s="1"/>
  <c r="P31" i="123"/>
  <c r="R31" i="123" s="1"/>
  <c r="T31" i="123" s="1"/>
  <c r="P33" i="123"/>
  <c r="R33" i="123" s="1"/>
  <c r="T33" i="123" s="1"/>
  <c r="N19" i="135"/>
  <c r="P19" i="135" s="1"/>
  <c r="R19" i="135" s="1"/>
  <c r="N12" i="135"/>
  <c r="P12" i="135" s="1"/>
  <c r="R12" i="135" s="1"/>
  <c r="N11" i="135"/>
  <c r="P11" i="135" s="1"/>
  <c r="R11" i="135" s="1"/>
  <c r="N13" i="135"/>
  <c r="P13" i="135" s="1"/>
  <c r="R13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21" i="120"/>
  <c r="R21" i="120" s="1"/>
  <c r="T21" i="120" s="1"/>
  <c r="R15" i="120"/>
  <c r="T15" i="120" s="1"/>
  <c r="P21" i="119"/>
  <c r="R21" i="119" s="1"/>
  <c r="T21" i="119" s="1"/>
  <c r="P10" i="127"/>
  <c r="R10" i="127" s="1"/>
  <c r="T10" i="127" s="1"/>
  <c r="P19" i="119"/>
  <c r="R19" i="119" s="1"/>
  <c r="T19" i="119" s="1"/>
  <c r="P34" i="119"/>
  <c r="R34" i="119" s="1"/>
  <c r="T34" i="119" s="1"/>
  <c r="P12" i="119"/>
  <c r="R12" i="119" s="1"/>
  <c r="T12" i="119" s="1"/>
  <c r="V12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H20" i="135"/>
  <c r="J21" i="120" l="1"/>
  <c r="S20" i="135" l="1"/>
  <c r="H19" i="135"/>
  <c r="T20" i="135" l="1"/>
  <c r="U20" i="135" s="1"/>
  <c r="V20" i="135" s="1"/>
  <c r="V21" i="120"/>
  <c r="W21" i="120" s="1"/>
  <c r="J16" i="133"/>
  <c r="U21" i="120" l="1"/>
  <c r="X21" i="120" s="1"/>
  <c r="J15" i="121"/>
  <c r="V16" i="133" l="1"/>
  <c r="W16" i="133" s="1"/>
  <c r="T19" i="135"/>
  <c r="U19" i="135" s="1"/>
  <c r="S19" i="135"/>
  <c r="J18" i="123"/>
  <c r="V19" i="135" l="1"/>
  <c r="U16" i="133"/>
  <c r="X16" i="133" s="1"/>
  <c r="U18" i="123" l="1"/>
  <c r="U15" i="121"/>
  <c r="V15" i="121"/>
  <c r="W15" i="121" s="1"/>
  <c r="I33" i="119"/>
  <c r="H33" i="119"/>
  <c r="J27" i="123"/>
  <c r="J34" i="119"/>
  <c r="J33" i="119" s="1"/>
  <c r="J15" i="133"/>
  <c r="G15" i="133"/>
  <c r="V18" i="123" l="1"/>
  <c r="W18" i="123" s="1"/>
  <c r="X18" i="123" s="1"/>
  <c r="X15" i="121"/>
  <c r="V34" i="119" l="1"/>
  <c r="V27" i="123"/>
  <c r="W27" i="123" s="1"/>
  <c r="V15" i="133"/>
  <c r="W15" i="133" s="1"/>
  <c r="J19" i="120"/>
  <c r="G19" i="120"/>
  <c r="J13" i="121"/>
  <c r="J14" i="121"/>
  <c r="U34" i="119" l="1"/>
  <c r="U33" i="119" s="1"/>
  <c r="U27" i="123"/>
  <c r="X27" i="123" s="1"/>
  <c r="U15" i="133"/>
  <c r="X15" i="133" s="1"/>
  <c r="W34" i="119"/>
  <c r="W33" i="119" s="1"/>
  <c r="V33" i="119"/>
  <c r="V13" i="121"/>
  <c r="W13" i="121" s="1"/>
  <c r="U13" i="121"/>
  <c r="J9" i="120"/>
  <c r="J16" i="121"/>
  <c r="U19" i="120" l="1"/>
  <c r="X13" i="121"/>
  <c r="X34" i="119"/>
  <c r="X33" i="119" s="1"/>
  <c r="U14" i="121"/>
  <c r="V14" i="121"/>
  <c r="W14" i="121" s="1"/>
  <c r="V19" i="120" l="1"/>
  <c r="W19" i="120" s="1"/>
  <c r="X19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8" i="135" l="1"/>
  <c r="H17" i="135"/>
  <c r="S18" i="135" l="1"/>
  <c r="T17" i="135"/>
  <c r="U17" i="135" s="1"/>
  <c r="S17" i="135" l="1"/>
  <c r="V17" i="135" s="1"/>
  <c r="T18" i="135"/>
  <c r="U18" i="135" s="1"/>
  <c r="V18" i="135" s="1"/>
  <c r="K10" i="124"/>
  <c r="L10" i="124" s="1"/>
  <c r="I31" i="121"/>
  <c r="H31" i="121"/>
  <c r="O10" i="124" l="1"/>
  <c r="M10" i="124"/>
  <c r="N10" i="124" s="1"/>
  <c r="P10" i="124" s="1"/>
  <c r="S10" i="124"/>
  <c r="Q10" i="124"/>
  <c r="K31" i="121"/>
  <c r="L31" i="121"/>
  <c r="R10" i="124" l="1"/>
  <c r="T10" i="124" s="1"/>
  <c r="M31" i="121"/>
  <c r="Q31" i="121"/>
  <c r="S31" i="121"/>
  <c r="N31" i="121" l="1"/>
  <c r="J33" i="121" l="1"/>
  <c r="F23" i="135" l="1"/>
  <c r="G23" i="135"/>
  <c r="V33" i="121" l="1"/>
  <c r="W33" i="121" s="1"/>
  <c r="U33" i="121"/>
  <c r="H16" i="135"/>
  <c r="J16" i="120"/>
  <c r="X33" i="121" l="1"/>
  <c r="J14" i="133"/>
  <c r="J12" i="133" l="1"/>
  <c r="J19" i="121" l="1"/>
  <c r="J15" i="120"/>
  <c r="J15" i="123" l="1"/>
  <c r="I16" i="123" l="1"/>
  <c r="O23" i="135" l="1"/>
  <c r="K23" i="135"/>
  <c r="I23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3" i="135" l="1"/>
  <c r="J23" i="135"/>
  <c r="J21" i="123"/>
  <c r="L23" i="135" l="1"/>
  <c r="J10" i="123"/>
  <c r="I18" i="131" l="1"/>
  <c r="K18" i="131" s="1"/>
  <c r="I17" i="131"/>
  <c r="K17" i="131" s="1"/>
  <c r="I16" i="131"/>
  <c r="K16" i="131" s="1"/>
  <c r="I15" i="131"/>
  <c r="K15" i="131" s="1"/>
  <c r="I13" i="131"/>
  <c r="K13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O12" i="131" s="1"/>
  <c r="Q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P13" i="131"/>
  <c r="L13" i="131"/>
  <c r="M13" i="131" s="1"/>
  <c r="N13" i="131"/>
  <c r="R13" i="131"/>
  <c r="R10" i="131"/>
  <c r="L10" i="131"/>
  <c r="M10" i="131" s="1"/>
  <c r="P10" i="131"/>
  <c r="N10" i="131"/>
  <c r="L15" i="131"/>
  <c r="M15" i="131" s="1"/>
  <c r="N15" i="131"/>
  <c r="P15" i="131"/>
  <c r="R15" i="131"/>
  <c r="J13" i="123"/>
  <c r="I37" i="120"/>
  <c r="G18" i="120"/>
  <c r="S12" i="131" l="1"/>
  <c r="O10" i="131"/>
  <c r="Q10" i="131" s="1"/>
  <c r="O13" i="131"/>
  <c r="Q13" i="131" s="1"/>
  <c r="S13" i="131" s="1"/>
  <c r="O18" i="131"/>
  <c r="Q18" i="131" s="1"/>
  <c r="S18" i="131" s="1"/>
  <c r="O11" i="131"/>
  <c r="O15" i="131"/>
  <c r="Q15" i="131" s="1"/>
  <c r="S15" i="131" s="1"/>
  <c r="O16" i="131"/>
  <c r="Q16" i="131" s="1"/>
  <c r="S16" i="131" s="1"/>
  <c r="S10" i="131"/>
  <c r="Q11" i="131"/>
  <c r="S11" i="131" s="1"/>
  <c r="O17" i="131"/>
  <c r="Q17" i="131" s="1"/>
  <c r="S17" i="131" s="1"/>
  <c r="J18" i="120"/>
  <c r="I9" i="121" l="1"/>
  <c r="I30" i="119"/>
  <c r="H30" i="119"/>
  <c r="I20" i="123" l="1"/>
  <c r="J14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5" i="120"/>
  <c r="G35" i="120"/>
  <c r="U10" i="120" l="1"/>
  <c r="X10" i="120" s="1"/>
  <c r="J11" i="121"/>
  <c r="G20" i="120"/>
  <c r="J20" i="120"/>
  <c r="J18" i="119" l="1"/>
  <c r="J14" i="119" l="1"/>
  <c r="J32" i="119" l="1"/>
  <c r="H28" i="121"/>
  <c r="H20" i="123"/>
  <c r="H16" i="123"/>
  <c r="H9" i="121" l="1"/>
  <c r="J29" i="121" l="1"/>
  <c r="J28" i="121" s="1"/>
  <c r="G17" i="120" l="1"/>
  <c r="J17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4" i="133" l="1"/>
  <c r="Q17" i="133"/>
  <c r="M17" i="133"/>
  <c r="K17" i="133"/>
  <c r="I17" i="133"/>
  <c r="U32" i="123" l="1"/>
  <c r="J32" i="123"/>
  <c r="G16" i="133"/>
  <c r="H17" i="133"/>
  <c r="N17" i="133" l="1"/>
  <c r="V32" i="123"/>
  <c r="J17" i="133"/>
  <c r="L17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4" i="121"/>
  <c r="K37" i="121"/>
  <c r="K37" i="120"/>
  <c r="J12" i="120"/>
  <c r="J11" i="120"/>
  <c r="J37" i="121" l="1"/>
  <c r="L12" i="127"/>
  <c r="L12" i="124"/>
  <c r="H14" i="118"/>
  <c r="L35" i="123"/>
  <c r="L37" i="121"/>
  <c r="L14" i="118" l="1"/>
  <c r="K36" i="119" l="1"/>
  <c r="J31" i="119"/>
  <c r="J30" i="119" s="1"/>
  <c r="J16" i="119"/>
  <c r="J15" i="119" l="1"/>
  <c r="J9" i="119"/>
  <c r="J21" i="119"/>
  <c r="J20" i="119" s="1"/>
  <c r="J36" i="119" l="1"/>
  <c r="L36" i="119"/>
  <c r="O12" i="124" l="1"/>
  <c r="Q12" i="127"/>
  <c r="Q12" i="124"/>
  <c r="O12" i="127"/>
  <c r="S12" i="127"/>
  <c r="S14" i="135" l="1"/>
  <c r="S11" i="135"/>
  <c r="U21" i="123"/>
  <c r="T13" i="131"/>
  <c r="S12" i="135"/>
  <c r="V13" i="123"/>
  <c r="U18" i="131"/>
  <c r="V18" i="131" s="1"/>
  <c r="Q23" i="135"/>
  <c r="V10" i="124"/>
  <c r="W10" i="124" s="1"/>
  <c r="U10" i="124"/>
  <c r="S12" i="124"/>
  <c r="U22" i="123"/>
  <c r="V22" i="123"/>
  <c r="W22" i="123" s="1"/>
  <c r="V29" i="121"/>
  <c r="U29" i="121"/>
  <c r="U35" i="120"/>
  <c r="V35" i="120"/>
  <c r="W35" i="120" s="1"/>
  <c r="S14" i="134"/>
  <c r="U12" i="133"/>
  <c r="V12" i="133"/>
  <c r="W12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4" i="133"/>
  <c r="W14" i="133" s="1"/>
  <c r="U14" i="133"/>
  <c r="V16" i="120"/>
  <c r="W16" i="120" s="1"/>
  <c r="U16" i="120"/>
  <c r="V20" i="120"/>
  <c r="W20" i="120" s="1"/>
  <c r="T15" i="131"/>
  <c r="U17" i="123"/>
  <c r="V17" i="123"/>
  <c r="W17" i="123" s="1"/>
  <c r="U36" i="120"/>
  <c r="V36" i="120"/>
  <c r="W36" i="120" s="1"/>
  <c r="V15" i="120"/>
  <c r="W15" i="120" s="1"/>
  <c r="U15" i="120"/>
  <c r="T16" i="135"/>
  <c r="U16" i="135" s="1"/>
  <c r="S16" i="135"/>
  <c r="U18" i="120"/>
  <c r="V18" i="120"/>
  <c r="W18" i="120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3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2" i="119"/>
  <c r="W32" i="119" s="1"/>
  <c r="U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7" i="133"/>
  <c r="V31" i="123"/>
  <c r="U31" i="123"/>
  <c r="U11" i="118"/>
  <c r="O17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7" i="120"/>
  <c r="O35" i="123"/>
  <c r="S36" i="119"/>
  <c r="S35" i="123"/>
  <c r="Q37" i="121"/>
  <c r="M37" i="120"/>
  <c r="M35" i="123"/>
  <c r="S14" i="118"/>
  <c r="O36" i="119"/>
  <c r="Q14" i="118"/>
  <c r="V12" i="120"/>
  <c r="W12" i="120" s="1"/>
  <c r="M12" i="127"/>
  <c r="M12" i="124"/>
  <c r="Q35" i="123"/>
  <c r="S37" i="121"/>
  <c r="M36" i="119"/>
  <c r="Q36" i="119"/>
  <c r="O14" i="118"/>
  <c r="M14" i="118"/>
  <c r="M37" i="121"/>
  <c r="T14" i="135" l="1"/>
  <c r="U14" i="135" s="1"/>
  <c r="V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20" i="120"/>
  <c r="X20" i="120" s="1"/>
  <c r="X17" i="123"/>
  <c r="T12" i="131"/>
  <c r="W12" i="131" s="1"/>
  <c r="X10" i="124"/>
  <c r="X12" i="133"/>
  <c r="X35" i="120"/>
  <c r="X22" i="123"/>
  <c r="X11" i="121"/>
  <c r="X26" i="121"/>
  <c r="X10" i="121"/>
  <c r="W16" i="131"/>
  <c r="W10" i="131"/>
  <c r="X17" i="120"/>
  <c r="W11" i="131"/>
  <c r="X14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X18" i="120"/>
  <c r="U14" i="123"/>
  <c r="U20" i="123"/>
  <c r="V16" i="135"/>
  <c r="W15" i="123"/>
  <c r="W14" i="123" s="1"/>
  <c r="V14" i="123"/>
  <c r="N23" i="135"/>
  <c r="V13" i="135"/>
  <c r="X32" i="119"/>
  <c r="P31" i="121"/>
  <c r="U16" i="123"/>
  <c r="X19" i="121"/>
  <c r="W16" i="123"/>
  <c r="V16" i="123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7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N35" i="123"/>
  <c r="U12" i="120"/>
  <c r="N36" i="119"/>
  <c r="U21" i="119"/>
  <c r="U20" i="119" s="1"/>
  <c r="V21" i="119"/>
  <c r="U15" i="119"/>
  <c r="N37" i="121"/>
  <c r="N12" i="127"/>
  <c r="U31" i="119"/>
  <c r="U30" i="119" s="1"/>
  <c r="V31" i="119"/>
  <c r="V30" i="119" s="1"/>
  <c r="N14" i="118"/>
  <c r="N12" i="124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3" i="135"/>
  <c r="X13" i="123"/>
  <c r="X12" i="123" s="1"/>
  <c r="X16" i="123"/>
  <c r="R31" i="121"/>
  <c r="W9" i="121"/>
  <c r="W11" i="120"/>
  <c r="X9" i="121"/>
  <c r="U11" i="120"/>
  <c r="R17" i="133"/>
  <c r="X31" i="123"/>
  <c r="X30" i="123" s="1"/>
  <c r="X28" i="123"/>
  <c r="U13" i="119"/>
  <c r="W17" i="119"/>
  <c r="T15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1" i="119"/>
  <c r="W30" i="119" s="1"/>
  <c r="X12" i="120"/>
  <c r="P12" i="124"/>
  <c r="P14" i="118"/>
  <c r="P12" i="127"/>
  <c r="P37" i="121"/>
  <c r="P35" i="123"/>
  <c r="P36" i="119"/>
  <c r="X10" i="134" l="1"/>
  <c r="X9" i="134" s="1"/>
  <c r="X14" i="134" s="1"/>
  <c r="T9" i="135"/>
  <c r="S9" i="135"/>
  <c r="R23" i="135"/>
  <c r="T31" i="121"/>
  <c r="V32" i="121"/>
  <c r="U32" i="121"/>
  <c r="X11" i="120"/>
  <c r="T17" i="133"/>
  <c r="X17" i="119"/>
  <c r="X35" i="121"/>
  <c r="X34" i="121" s="1"/>
  <c r="V15" i="132"/>
  <c r="W15" i="132"/>
  <c r="U15" i="132"/>
  <c r="S20" i="131"/>
  <c r="X13" i="119"/>
  <c r="X15" i="119"/>
  <c r="X21" i="119"/>
  <c r="X20" i="119" s="1"/>
  <c r="X31" i="119"/>
  <c r="X30" i="119" s="1"/>
  <c r="R37" i="121"/>
  <c r="R35" i="123"/>
  <c r="R12" i="127"/>
  <c r="R14" i="118"/>
  <c r="R36" i="119"/>
  <c r="R12" i="124"/>
  <c r="S23" i="135" l="1"/>
  <c r="T23" i="135"/>
  <c r="U9" i="135"/>
  <c r="U23" i="135" s="1"/>
  <c r="V31" i="121"/>
  <c r="V37" i="121" s="1"/>
  <c r="W32" i="121"/>
  <c r="W31" i="121" s="1"/>
  <c r="U31" i="121"/>
  <c r="U37" i="121" s="1"/>
  <c r="W17" i="133"/>
  <c r="V17" i="133"/>
  <c r="U17" i="133"/>
  <c r="X15" i="132"/>
  <c r="V20" i="131"/>
  <c r="U20" i="131"/>
  <c r="T20" i="131"/>
  <c r="U10" i="127"/>
  <c r="V10" i="127"/>
  <c r="T12" i="127"/>
  <c r="V9" i="119"/>
  <c r="V36" i="119" s="1"/>
  <c r="T36" i="119"/>
  <c r="U9" i="119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3" i="135" s="1"/>
  <c r="X32" i="121"/>
  <c r="X31" i="121" s="1"/>
  <c r="X17" i="133"/>
  <c r="W20" i="131"/>
  <c r="W37" i="121"/>
  <c r="V12" i="124"/>
  <c r="W12" i="124"/>
  <c r="U12" i="127"/>
  <c r="V12" i="127"/>
  <c r="W10" i="127"/>
  <c r="W12" i="127" s="1"/>
  <c r="U12" i="124"/>
  <c r="W9" i="119"/>
  <c r="W36" i="119" s="1"/>
  <c r="W9" i="123"/>
  <c r="W35" i="123" s="1"/>
  <c r="W10" i="118"/>
  <c r="W14" i="118" s="1"/>
  <c r="X12" i="124" l="1"/>
  <c r="X37" i="121"/>
  <c r="X10" i="127"/>
  <c r="X12" i="127" s="1"/>
  <c r="X9" i="119"/>
  <c r="X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<sst xmlns="http://schemas.openxmlformats.org/spreadsheetml/2006/main" count="1310" uniqueCount="381">
  <si>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</si>
  <si>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</si>
  <si>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</si>
  <si>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</si>
  <si>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</si>
  <si>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</si>
  <si>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</si>
  <si>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</si>
  <si>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</si>
  <si>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</si>
  <si>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</si>
  <si>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</si>
  <si>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</si>
  <si>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</si>
  <si>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</si>
  <si>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</si>
  <si>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</si>
  <si>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</si>
  <si>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</si>
  <si>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</si>
  <si>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</si>
  <si>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</si>
  <si>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</si>
  <si>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</si>
  <si>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</si>
  <si>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</si>
  <si>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</si>
  <si>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</si>
  <si>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</si>
  <si>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</si>
  <si>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</si>
  <si>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</si>
  <si>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</si>
  <si>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</si>
  <si>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</si>
  <si>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</si>
  <si>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</si>
  <si>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</si>
  <si>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</si>
  <si>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</si>
  <si>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</si>
  <si>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</si>
  <si>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</si>
  <si>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</si>
  <si>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</si>
  <si>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</si>
  <si>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</si>
  <si>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</si>
  <si>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</si>
  <si>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</si>
  <si>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</si>
  <si>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</si>
  <si>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</si>
  <si>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</si>
  <si>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</si>
  <si>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</si>
  <si>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</si>
  <si>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</si>
  <si>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</si>
  <si>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</si>
  <si>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</si>
  <si>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</si>
  <si>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</si>
  <si>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</si>
  <si>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</si>
  <si>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</si>
  <si>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</si>
  <si>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</si>
  <si>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</si>
  <si>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</si>
  <si>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</si>
  <si>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</si>
  <si>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</si>
  <si>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</si>
  <si>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</si>
  <si>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</si>
  <si>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</si>
  <si>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</si>
  <si>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</si>
  <si>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</si>
  <si>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</si>
  <si>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</si>
  <si>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</si>
  <si>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</si>
  <si>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</si>
  <si>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</si>
  <si>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</si>
  <si>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</si>
  <si>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</si>
  <si>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</si>
  <si>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</si>
  <si>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</si>
  <si>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</si>
  <si>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</si>
  <si>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</si>
  <si>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</si>
  <si>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</si>
  <si>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</si>
  <si>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</si>
  <si>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</si>
  <si>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</si>
  <si>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</si>
  <si>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</si>
  <si>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</si>
  <si>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</si>
  <si>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</si>
  <si>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</si>
  <si>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</si>
  <si>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</si>
  <si>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</si>
  <si>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</si>
  <si>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</si>
  <si>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</si>
  <si>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</si>
  <si>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</si>
  <si>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</si>
  <si>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</si>
  <si>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</si>
  <si>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</si>
  <si>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</si>
  <si>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</si>
  <si>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</si>
  <si>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</si>
  <si>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</si>
  <si>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</si>
  <si>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</si>
  <si>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</si>
  <si>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</si>
  <si>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</si>
  <si>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</si>
  <si>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</si>
  <si>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</si>
  <si>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</si>
  <si>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</si>
  <si>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</si>
  <si>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</si>
  <si>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</si>
  <si>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</si>
  <si>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</si>
  <si>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</si>
  <si>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</si>
  <si>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</si>
  <si>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</si>
  <si>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</si>
  <si>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</si>
  <si>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</si>
  <si>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</si>
  <si>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</si>
  <si>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</si>
  <si>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</si>
  <si>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</si>
  <si>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</si>
  <si>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</si>
  <si>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</si>
  <si>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</si>
  <si>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</si>
  <si>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</si>
  <si>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</si>
  <si>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</si>
  <si>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</si>
  <si>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</si>
  <si>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</si>
  <si>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</si>
  <si>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</si>
  <si>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</si>
  <si>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</si>
  <si>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</si>
  <si>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</si>
  <si>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</si>
  <si>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</si>
  <si>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</si>
  <si>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</si>
  <si>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</si>
  <si>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</si>
  <si>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</si>
  <si>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</si>
  <si>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</si>
  <si>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</si>
  <si>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</si>
  <si>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</si>
  <si>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</si>
  <si>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</si>
  <si>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</si>
  <si>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</si>
  <si>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</si>
  <si>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</si>
  <si>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</si>
  <si>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</si>
  <si>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</si>
  <si>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</si>
  <si>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</si>
  <si>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</si>
  <si>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</si>
  <si>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</si>
  <si>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</si>
  <si>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</si>
  <si>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</si>
  <si>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</si>
  <si>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</si>
  <si>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</si>
  <si>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</si>
  <si>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</si>
  <si>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</si>
  <si>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</si>
  <si>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</si>
  <si>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</si>
  <si>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</si>
  <si>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</si>
  <si>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</si>
  <si>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</si>
  <si>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</si>
  <si>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</si>
  <si>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</si>
  <si>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</si>
  <si>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</si>
  <si>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</si>
  <si>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</si>
  <si>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</si>
  <si>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</si>
  <si>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</si>
  <si>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</si>
  <si>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</si>
  <si>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</si>
  <si>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</si>
  <si>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</si>
  <si>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</si>
  <si>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</si>
  <si>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</si>
  <si>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</si>
  <si>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</si>
  <si>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</si>
  <si>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</si>
  <si>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</si>
  <si>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</si>
  <si>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</si>
  <si>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</si>
  <si>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</si>
  <si>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</si>
  <si>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</si>
  <si>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</si>
  <si>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</si>
  <si>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</si>
  <si>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</si>
  <si>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</si>
  <si>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</si>
  <si>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</si>
  <si>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</si>
  <si>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</si>
  <si>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</si>
  <si>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</si>
  <si>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</si>
  <si>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</si>
  <si>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</si>
  <si>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</si>
  <si>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</si>
  <si>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</si>
  <si>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</si>
  <si>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</si>
  <si>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</si>
  <si>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</si>
  <si>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</si>
  <si>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</si>
  <si>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</si>
  <si>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</si>
  <si>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</si>
  <si>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</si>
  <si>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</si>
  <si>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</si>
  <si>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</si>
  <si>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</si>
  <si>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</si>
  <si>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</si>
  <si>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</si>
  <si>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</si>
  <si>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</si>
  <si>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</si>
  <si>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</si>
  <si>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</si>
  <si>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</si>
  <si>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</si>
  <si>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</si>
  <si>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</si>
  <si>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</si>
  <si>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</si>
  <si>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</si>
  <si>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</si>
  <si>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</si>
  <si>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</si>
  <si>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</si>
  <si>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</si>
  <si>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</si>
  <si>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</si>
  <si>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</si>
  <si>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</si>
  <si>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</si>
  <si>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</si>
  <si>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</si>
  <si>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</si>
  <si>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</si>
  <si>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</si>
  <si>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</si>
  <si>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</si>
  <si>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</si>
  <si>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</si>
  <si>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</si>
  <si>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</si>
  <si>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</si>
  <si>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</si>
  <si>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</si>
  <si>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</si>
  <si>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</si>
  <si>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</si>
  <si>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</si>
  <si>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</si>
  <si>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</si>
  <si>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</si>
  <si>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</si>
  <si>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</si>
  <si>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</si>
  <si>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</si>
  <si>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</si>
  <si>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</si>
  <si>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</si>
  <si>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</si>
  <si>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</si>
  <si>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</si>
  <si>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</si>
  <si>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</si>
  <si>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</si>
  <si>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</si>
  <si>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</si>
  <si>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</si>
  <si>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</si>
  <si>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243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</si>
  <si>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</si>
  <si>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</si>
  <si>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</si>
  <si>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</si>
  <si>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</si>
  <si>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</si>
  <si>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</si>
  <si>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</si>
  <si>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</si>
  <si>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</si>
  <si>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</si>
  <si>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</si>
  <si>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</si>
  <si>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</si>
  <si>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</si>
  <si>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</si>
  <si>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</si>
  <si>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</si>
  <si>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</si>
  <si>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</si>
  <si>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</si>
  <si>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</si>
  <si>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</si>
  <si>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253</t>
  </si>
  <si>
    <t>254</t>
  </si>
  <si>
    <t>244</t>
  </si>
  <si>
    <t>258</t>
  </si>
  <si>
    <t>259</t>
  </si>
  <si>
    <t>MEDICO MUNICIPAL</t>
  </si>
  <si>
    <t>LUIS EDUARDO SEDANO ORTIZ</t>
  </si>
  <si>
    <t>TITULAR DEL ORGANO INTERNO DE CONTROL</t>
  </si>
  <si>
    <t>PRESIDENTE MUNICIPAL INTERINO</t>
  </si>
  <si>
    <t>GUILLERMINA GARCIA VASTRO</t>
  </si>
  <si>
    <t>ROGELIO RAMIREZ CONTRERAS</t>
  </si>
  <si>
    <t>SECRETARIO GENERAL INTERINO</t>
  </si>
  <si>
    <t>262</t>
  </si>
  <si>
    <t>ERIDANI OROZCO VILLALOBOS</t>
  </si>
  <si>
    <t>JUEZ MUNICIPAL INTERINO</t>
  </si>
  <si>
    <t>DIAS</t>
  </si>
  <si>
    <t>OFELIA RODRIGUEZ AVELAR</t>
  </si>
  <si>
    <t>263</t>
  </si>
  <si>
    <t>261</t>
  </si>
  <si>
    <t>R E G I D O R              S U P L E N T E</t>
  </si>
  <si>
    <t xml:space="preserve">                                          C. GUILLERMINA GARCIA CASTRO</t>
  </si>
  <si>
    <t xml:space="preserve">                                                PRESIDENTE MUNICIPAL INTERINO</t>
  </si>
  <si>
    <t xml:space="preserve">                                                       ______________________________________</t>
  </si>
  <si>
    <t>SUELDO  DEL 16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</si>
</sst>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8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165" fontId="30" fillId="3" borderId="4" xfId="2" applyNumberFormat="1" applyFont="1" applyFill="1" applyBorder="1" applyAlignment="1" applyProtection="1">
      <alignment horizontal="right"/>
    </xf>
    <xf numFmtId="43" fontId="18" fillId="0" borderId="3" xfId="2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2" t="s">
        <v>352</v>
      </c>
    </row>
    <row r="3" spans="1:9" x14ac:dyDescent="0.2">
      <c r="B3" s="8" t="s">
        <v>49</v>
      </c>
      <c r="C3" s="7"/>
      <c r="D3" s="7"/>
      <c r="E3" s="7"/>
      <c r="F3" s="7"/>
      <c r="G3" s="7"/>
      <c r="I3" s="291">
        <v>141.69999999999999</v>
      </c>
    </row>
    <row r="4" spans="1:9" x14ac:dyDescent="0.2">
      <c r="B4" s="19" t="s">
        <v>350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305" t="s">
        <v>11</v>
      </c>
      <c r="C7" s="305"/>
      <c r="D7" s="305"/>
      <c r="E7" s="7"/>
      <c r="F7" s="298" t="s">
        <v>50</v>
      </c>
      <c r="G7" s="299"/>
      <c r="I7" s="292" t="s">
        <v>353</v>
      </c>
    </row>
    <row r="8" spans="1:9" ht="14.25" customHeight="1" x14ac:dyDescent="0.2">
      <c r="B8" s="302" t="s">
        <v>10</v>
      </c>
      <c r="C8" s="302"/>
      <c r="D8" s="302"/>
      <c r="E8" s="7"/>
      <c r="F8" s="303" t="s">
        <v>51</v>
      </c>
      <c r="G8" s="304"/>
      <c r="I8" s="291">
        <v>89.62</v>
      </c>
    </row>
    <row r="9" spans="1:9" ht="8.25" customHeight="1" x14ac:dyDescent="0.2">
      <c r="B9" s="306"/>
      <c r="C9" s="306"/>
      <c r="D9" s="306"/>
      <c r="E9" s="7"/>
      <c r="F9" s="300"/>
      <c r="G9" s="30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351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98" t="s">
        <v>55</v>
      </c>
      <c r="G32" s="299"/>
    </row>
    <row r="33" spans="2:7" x14ac:dyDescent="0.2">
      <c r="E33" s="7"/>
      <c r="F33" s="303" t="s">
        <v>56</v>
      </c>
      <c r="G33" s="304"/>
    </row>
    <row r="34" spans="2:7" ht="5.25" customHeight="1" x14ac:dyDescent="0.2">
      <c r="E34" s="7"/>
      <c r="F34" s="300"/>
      <c r="G34" s="301"/>
    </row>
    <row r="35" spans="2:7" x14ac:dyDescent="0.2">
      <c r="B35" s="305" t="s">
        <v>11</v>
      </c>
      <c r="C35" s="305"/>
      <c r="D35" s="305"/>
      <c r="E35" s="7"/>
      <c r="F35" s="9" t="s">
        <v>17</v>
      </c>
      <c r="G35" s="9" t="s">
        <v>18</v>
      </c>
    </row>
    <row r="36" spans="2:7" x14ac:dyDescent="0.2">
      <c r="B36" s="302" t="s">
        <v>10</v>
      </c>
      <c r="C36" s="302"/>
      <c r="D36" s="302"/>
      <c r="E36" s="7"/>
      <c r="F36" s="9"/>
      <c r="G36" s="9" t="s">
        <v>19</v>
      </c>
    </row>
    <row r="37" spans="2:7" x14ac:dyDescent="0.2">
      <c r="B37" s="306"/>
      <c r="C37" s="306"/>
      <c r="D37" s="30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29" t="s">
        <v>84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0"/>
    </row>
    <row r="10" spans="1:25" s="186" customFormat="1" ht="88.5" customHeight="1" x14ac:dyDescent="0.2">
      <c r="A10" s="60" t="s">
        <v>97</v>
      </c>
      <c r="B10" s="136" t="s">
        <v>251</v>
      </c>
      <c r="C10" s="62" t="s">
        <v>139</v>
      </c>
      <c r="D10" s="164" t="s">
        <v>213</v>
      </c>
      <c r="E10" s="164" t="s">
        <v>63</v>
      </c>
      <c r="F10" s="165">
        <v>15</v>
      </c>
      <c r="G10" s="166">
        <f>H10/F10</f>
        <v>933.73333333333335</v>
      </c>
      <c r="H10" s="167">
        <v>14006</v>
      </c>
      <c r="I10" s="168">
        <v>0</v>
      </c>
      <c r="J10" s="169">
        <f>SUM(H10:I10)</f>
        <v>14006</v>
      </c>
      <c r="K10" s="170">
        <f>I10/2</f>
        <v>0</v>
      </c>
      <c r="L10" s="170">
        <f>H10+K10</f>
        <v>14006</v>
      </c>
      <c r="M10" s="170">
        <f t="shared" ref="M10" si="0">VLOOKUP(L10,Tarifa1,1)</f>
        <v>13316.71</v>
      </c>
      <c r="N10" s="170">
        <f>L10-M10</f>
        <v>689.29000000000087</v>
      </c>
      <c r="O10" s="171">
        <f t="shared" ref="O10" si="1">VLOOKUP(L10,Tarifa1,3)</f>
        <v>0.23519999999999999</v>
      </c>
      <c r="P10" s="170">
        <f>N10*O10</f>
        <v>162.12100800000019</v>
      </c>
      <c r="Q10" s="172">
        <f t="shared" ref="Q10" si="2">VLOOKUP(L10,Tarifa1,2)</f>
        <v>2133.3000000000002</v>
      </c>
      <c r="R10" s="170">
        <f>P10+Q10</f>
        <v>2295.4210080000003</v>
      </c>
      <c r="S10" s="170">
        <f t="shared" ref="S10" si="3">VLOOKUP(L10,Credito1,2)</f>
        <v>0</v>
      </c>
      <c r="T10" s="170">
        <f>R10-S10</f>
        <v>2295.4210080000003</v>
      </c>
      <c r="U10" s="169">
        <f>-IF(T10&gt;0,0,T10)</f>
        <v>0</v>
      </c>
      <c r="V10" s="169">
        <f>IF(T10&lt;0,0,T10)</f>
        <v>2295.4210080000003</v>
      </c>
      <c r="W10" s="169">
        <f>SUM(V10:V10)</f>
        <v>2295.4210080000003</v>
      </c>
      <c r="X10" s="169">
        <f>J10+U10-W10</f>
        <v>11710.578991999999</v>
      </c>
      <c r="Y10" s="185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4">SUM(H10:H11)</f>
        <v>14006</v>
      </c>
      <c r="I12" s="39">
        <f t="shared" si="4"/>
        <v>0</v>
      </c>
      <c r="J12" s="39">
        <f t="shared" si="4"/>
        <v>14006</v>
      </c>
      <c r="K12" s="40">
        <f t="shared" si="4"/>
        <v>0</v>
      </c>
      <c r="L12" s="40">
        <f t="shared" si="4"/>
        <v>14006</v>
      </c>
      <c r="M12" s="40">
        <f t="shared" si="4"/>
        <v>13316.71</v>
      </c>
      <c r="N12" s="40">
        <f t="shared" si="4"/>
        <v>689.29000000000087</v>
      </c>
      <c r="O12" s="40">
        <f t="shared" si="4"/>
        <v>0.23519999999999999</v>
      </c>
      <c r="P12" s="40">
        <f t="shared" si="4"/>
        <v>162.12100800000019</v>
      </c>
      <c r="Q12" s="40">
        <f t="shared" si="4"/>
        <v>2133.3000000000002</v>
      </c>
      <c r="R12" s="40">
        <f t="shared" si="4"/>
        <v>2295.4210080000003</v>
      </c>
      <c r="S12" s="40">
        <f t="shared" si="4"/>
        <v>0</v>
      </c>
      <c r="T12" s="40">
        <f t="shared" si="4"/>
        <v>2295.4210080000003</v>
      </c>
      <c r="U12" s="39">
        <f t="shared" si="4"/>
        <v>0</v>
      </c>
      <c r="V12" s="39">
        <f t="shared" si="4"/>
        <v>2295.4210080000003</v>
      </c>
      <c r="W12" s="39">
        <f t="shared" si="4"/>
        <v>2295.4210080000003</v>
      </c>
      <c r="X12" s="39">
        <f t="shared" si="4"/>
        <v>11710.578991999999</v>
      </c>
    </row>
    <row r="13" spans="1:25" ht="13.5" thickTop="1" x14ac:dyDescent="0.2"/>
    <row r="23" spans="4:37" ht="14.25" x14ac:dyDescent="0.2">
      <c r="D23" s="186" t="s">
        <v>261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 t="s">
        <v>262</v>
      </c>
      <c r="W23" s="186"/>
      <c r="X23" s="186"/>
      <c r="Y23" s="186"/>
    </row>
    <row r="24" spans="4:37" ht="15" x14ac:dyDescent="0.25">
      <c r="D24" s="78" t="s">
        <v>377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91" t="s">
        <v>228</v>
      </c>
      <c r="W24" s="186"/>
      <c r="X24" s="186"/>
      <c r="Y24" s="186"/>
    </row>
    <row r="25" spans="4:37" ht="15" x14ac:dyDescent="0.25">
      <c r="D25" s="78" t="s">
        <v>378</v>
      </c>
      <c r="E25" s="191"/>
      <c r="F25" s="191"/>
      <c r="G25" s="191"/>
      <c r="H25" s="191"/>
      <c r="I25" s="191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91" t="s">
        <v>95</v>
      </c>
      <c r="W25" s="191"/>
      <c r="X25" s="191"/>
      <c r="Y25" s="191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2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98</v>
      </c>
      <c r="B10" s="62" t="s">
        <v>143</v>
      </c>
      <c r="C10" s="62" t="s">
        <v>139</v>
      </c>
      <c r="D10" s="174" t="s">
        <v>144</v>
      </c>
      <c r="E10" s="164" t="s">
        <v>142</v>
      </c>
      <c r="F10" s="165">
        <v>0</v>
      </c>
      <c r="G10" s="166" t="e">
        <f>H10/F10</f>
        <v>#DIV/0!</v>
      </c>
      <c r="H10" s="167">
        <v>4092.62</v>
      </c>
      <c r="I10" s="168">
        <v>0</v>
      </c>
      <c r="J10" s="169">
        <f>SUM(H10:I10)</f>
        <v>4092.62</v>
      </c>
      <c r="K10" s="170">
        <f t="shared" ref="K10" si="0">IF(H10/15&lt;=SMG,0,I10/2)</f>
        <v>0</v>
      </c>
      <c r="L10" s="170">
        <f t="shared" ref="L10" si="1">H10+K10</f>
        <v>4092.62</v>
      </c>
      <c r="M10" s="170">
        <f t="shared" ref="M10" si="2">VLOOKUP(L10,Tarifa1,1)</f>
        <v>2699.41</v>
      </c>
      <c r="N10" s="170">
        <f t="shared" ref="N10" si="3">L10-M10</f>
        <v>1393.21</v>
      </c>
      <c r="O10" s="171">
        <f t="shared" ref="O10" si="4">VLOOKUP(L10,Tarifa1,3)</f>
        <v>0.10879999999999999</v>
      </c>
      <c r="P10" s="170">
        <f t="shared" ref="P10" si="5">N10*O10</f>
        <v>151.58124799999999</v>
      </c>
      <c r="Q10" s="172">
        <f t="shared" ref="Q10" si="6">VLOOKUP(L10,Tarifa1,2)</f>
        <v>158.55000000000001</v>
      </c>
      <c r="R10" s="170">
        <f t="shared" ref="R10" si="7">P10+Q10</f>
        <v>310.13124800000003</v>
      </c>
      <c r="S10" s="290">
        <f t="shared" ref="S10" si="8">VLOOKUP(L10,Credito1,2)</f>
        <v>0</v>
      </c>
      <c r="T10" s="170">
        <f t="shared" ref="T10" si="9">ROUND(R10-S10,2)</f>
        <v>310.13</v>
      </c>
      <c r="U10" s="169">
        <f t="shared" ref="U10" si="10">-IF(T10&gt;0,0,T10)</f>
        <v>0</v>
      </c>
      <c r="V10" s="169">
        <f>IF(T10&lt;0,0,T10)</f>
        <v>310.13</v>
      </c>
      <c r="W10" s="169">
        <f>SUM(V10:V10)</f>
        <v>310.13</v>
      </c>
      <c r="X10" s="169">
        <f>J10+U10-W10</f>
        <v>3782.49</v>
      </c>
      <c r="Y10" s="185"/>
    </row>
    <row r="11" spans="1:25" s="186" customFormat="1" ht="69.95" customHeight="1" x14ac:dyDescent="0.2">
      <c r="A11" s="60" t="s">
        <v>99</v>
      </c>
      <c r="B11" s="62" t="s">
        <v>145</v>
      </c>
      <c r="C11" s="62" t="s">
        <v>139</v>
      </c>
      <c r="D11" s="174" t="s">
        <v>146</v>
      </c>
      <c r="E11" s="164" t="s">
        <v>142</v>
      </c>
      <c r="F11" s="165">
        <v>15</v>
      </c>
      <c r="G11" s="166">
        <v>208.2</v>
      </c>
      <c r="H11" s="167">
        <v>4092.62</v>
      </c>
      <c r="I11" s="168">
        <v>0</v>
      </c>
      <c r="J11" s="169">
        <f>SUM(H11:I11)</f>
        <v>4092.62</v>
      </c>
      <c r="K11" s="170">
        <f t="shared" ref="K11:K13" si="11">IF(H11/15&lt;=SMG,0,I11/2)</f>
        <v>0</v>
      </c>
      <c r="L11" s="170">
        <f t="shared" ref="L11:L13" si="12">H11+K11</f>
        <v>4092.62</v>
      </c>
      <c r="M11" s="170">
        <f t="shared" ref="M11:M13" si="13">VLOOKUP(L11,Tarifa1,1)</f>
        <v>2699.41</v>
      </c>
      <c r="N11" s="170">
        <f t="shared" ref="N11:N13" si="14">L11-M11</f>
        <v>1393.21</v>
      </c>
      <c r="O11" s="171">
        <f t="shared" ref="O11:O13" si="15">VLOOKUP(L11,Tarifa1,3)</f>
        <v>0.10879999999999999</v>
      </c>
      <c r="P11" s="170">
        <f t="shared" ref="P11:P13" si="16">N11*O11</f>
        <v>151.58124799999999</v>
      </c>
      <c r="Q11" s="172">
        <f t="shared" ref="Q11:Q13" si="17">VLOOKUP(L11,Tarifa1,2)</f>
        <v>158.55000000000001</v>
      </c>
      <c r="R11" s="170">
        <f t="shared" ref="R11:R13" si="18">P11+Q11</f>
        <v>310.13124800000003</v>
      </c>
      <c r="S11" s="290">
        <f t="shared" ref="S11:S13" si="19">VLOOKUP(L11,Credito1,2)</f>
        <v>0</v>
      </c>
      <c r="T11" s="170">
        <f t="shared" ref="T11:T13" si="20">ROUND(R11-S11,2)</f>
        <v>310.13</v>
      </c>
      <c r="U11" s="169">
        <f t="shared" ref="U11:U13" si="21">-IF(T11&gt;0,0,T11)</f>
        <v>0</v>
      </c>
      <c r="V11" s="169">
        <f>IF(T11&lt;0,0,T11)</f>
        <v>310.13</v>
      </c>
      <c r="W11" s="169">
        <f>SUM(V11:V11)</f>
        <v>310.13</v>
      </c>
      <c r="X11" s="169">
        <f>J11+U11-W11</f>
        <v>3782.49</v>
      </c>
      <c r="Y11" s="185"/>
    </row>
    <row r="12" spans="1:25" s="186" customFormat="1" ht="69.95" customHeight="1" x14ac:dyDescent="0.2">
      <c r="A12" s="123"/>
      <c r="B12" s="208" t="s">
        <v>255</v>
      </c>
      <c r="C12" s="62" t="s">
        <v>139</v>
      </c>
      <c r="D12" s="209" t="s">
        <v>215</v>
      </c>
      <c r="E12" s="164" t="s">
        <v>142</v>
      </c>
      <c r="F12" s="165">
        <v>15</v>
      </c>
      <c r="G12" s="166">
        <v>208.2</v>
      </c>
      <c r="H12" s="167">
        <v>4092.62</v>
      </c>
      <c r="I12" s="168">
        <v>0</v>
      </c>
      <c r="J12" s="169">
        <f>SUM(H12:I12)</f>
        <v>4092.62</v>
      </c>
      <c r="K12" s="170">
        <f t="shared" si="11"/>
        <v>0</v>
      </c>
      <c r="L12" s="170">
        <f t="shared" si="12"/>
        <v>4092.62</v>
      </c>
      <c r="M12" s="170">
        <f t="shared" si="13"/>
        <v>2699.41</v>
      </c>
      <c r="N12" s="170">
        <f t="shared" si="14"/>
        <v>1393.21</v>
      </c>
      <c r="O12" s="171">
        <f t="shared" si="15"/>
        <v>0.10879999999999999</v>
      </c>
      <c r="P12" s="170">
        <f t="shared" si="16"/>
        <v>151.58124799999999</v>
      </c>
      <c r="Q12" s="172">
        <f t="shared" si="17"/>
        <v>158.55000000000001</v>
      </c>
      <c r="R12" s="170">
        <f t="shared" si="18"/>
        <v>310.13124800000003</v>
      </c>
      <c r="S12" s="290">
        <f t="shared" si="19"/>
        <v>0</v>
      </c>
      <c r="T12" s="170">
        <f t="shared" si="20"/>
        <v>310.13</v>
      </c>
      <c r="U12" s="169">
        <f t="shared" si="21"/>
        <v>0</v>
      </c>
      <c r="V12" s="169">
        <f>IF(T12&lt;0,0,T12)</f>
        <v>310.13</v>
      </c>
      <c r="W12" s="169">
        <f>SUM(V12:V12)</f>
        <v>310.13</v>
      </c>
      <c r="X12" s="169">
        <f>J12+U12-W12</f>
        <v>3782.49</v>
      </c>
      <c r="Y12" s="185"/>
    </row>
    <row r="13" spans="1:25" s="186" customFormat="1" ht="69.95" customHeight="1" x14ac:dyDescent="0.2">
      <c r="A13" s="200"/>
      <c r="B13" s="210">
        <v>188</v>
      </c>
      <c r="C13" s="62" t="s">
        <v>139</v>
      </c>
      <c r="D13" s="211" t="s">
        <v>260</v>
      </c>
      <c r="E13" s="164" t="s">
        <v>142</v>
      </c>
      <c r="F13" s="165">
        <v>15</v>
      </c>
      <c r="G13" s="166">
        <v>208.2</v>
      </c>
      <c r="H13" s="167">
        <v>4092.62</v>
      </c>
      <c r="I13" s="168">
        <v>0</v>
      </c>
      <c r="J13" s="169">
        <f>SUM(H13:I13)</f>
        <v>4092.62</v>
      </c>
      <c r="K13" s="170">
        <f t="shared" si="11"/>
        <v>0</v>
      </c>
      <c r="L13" s="170">
        <f t="shared" si="12"/>
        <v>4092.62</v>
      </c>
      <c r="M13" s="170">
        <f t="shared" si="13"/>
        <v>2699.41</v>
      </c>
      <c r="N13" s="170">
        <f t="shared" si="14"/>
        <v>1393.21</v>
      </c>
      <c r="O13" s="171">
        <f t="shared" si="15"/>
        <v>0.10879999999999999</v>
      </c>
      <c r="P13" s="170">
        <f t="shared" si="16"/>
        <v>151.58124799999999</v>
      </c>
      <c r="Q13" s="172">
        <f t="shared" si="17"/>
        <v>158.55000000000001</v>
      </c>
      <c r="R13" s="170">
        <f t="shared" si="18"/>
        <v>310.13124800000003</v>
      </c>
      <c r="S13" s="290">
        <f t="shared" si="19"/>
        <v>0</v>
      </c>
      <c r="T13" s="170">
        <f t="shared" si="20"/>
        <v>310.13</v>
      </c>
      <c r="U13" s="169">
        <f t="shared" si="21"/>
        <v>0</v>
      </c>
      <c r="V13" s="169">
        <f>IF(T13&lt;0,0,T13)</f>
        <v>310.13</v>
      </c>
      <c r="W13" s="169">
        <f>SUM(V13:V13)</f>
        <v>310.13</v>
      </c>
      <c r="X13" s="169">
        <f>J13+U13-W13</f>
        <v>3782.49</v>
      </c>
      <c r="Y13" s="185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7" t="s">
        <v>45</v>
      </c>
      <c r="B15" s="308"/>
      <c r="C15" s="308"/>
      <c r="D15" s="308"/>
      <c r="E15" s="308"/>
      <c r="F15" s="308"/>
      <c r="G15" s="309"/>
      <c r="H15" s="39">
        <f>SUM(H10:H14)</f>
        <v>16370.48</v>
      </c>
      <c r="I15" s="39">
        <f>SUM(I10:I14)</f>
        <v>0</v>
      </c>
      <c r="J15" s="39">
        <f>SUM(J10:J14)</f>
        <v>16370.48</v>
      </c>
      <c r="K15" s="40">
        <f t="shared" ref="K15:T15" si="22">SUM(K10:K14)</f>
        <v>0</v>
      </c>
      <c r="L15" s="40">
        <f t="shared" si="22"/>
        <v>16370.48</v>
      </c>
      <c r="M15" s="40">
        <f t="shared" si="22"/>
        <v>10797.64</v>
      </c>
      <c r="N15" s="40">
        <f t="shared" si="22"/>
        <v>5572.84</v>
      </c>
      <c r="O15" s="40">
        <f t="shared" si="22"/>
        <v>0.43519999999999998</v>
      </c>
      <c r="P15" s="40">
        <f t="shared" si="22"/>
        <v>606.32499199999995</v>
      </c>
      <c r="Q15" s="40">
        <f t="shared" si="22"/>
        <v>634.20000000000005</v>
      </c>
      <c r="R15" s="40">
        <f t="shared" si="22"/>
        <v>1240.5249920000001</v>
      </c>
      <c r="S15" s="40">
        <f t="shared" si="22"/>
        <v>0</v>
      </c>
      <c r="T15" s="40">
        <f t="shared" si="22"/>
        <v>1240.52</v>
      </c>
      <c r="U15" s="39">
        <f>SUM(U10:U14)</f>
        <v>0</v>
      </c>
      <c r="V15" s="39">
        <f>SUM(V10:V14)</f>
        <v>1240.52</v>
      </c>
      <c r="W15" s="39">
        <f>SUM(W10:W14)</f>
        <v>1240.52</v>
      </c>
      <c r="X15" s="39">
        <f>SUM(X10:X14)</f>
        <v>15129.96</v>
      </c>
    </row>
    <row r="16" spans="1:25" ht="13.5" thickTop="1" x14ac:dyDescent="0.2"/>
    <row r="24" spans="4:25" x14ac:dyDescent="0.2">
      <c r="D24" s="4" t="s">
        <v>230</v>
      </c>
      <c r="V24" s="4" t="s">
        <v>223</v>
      </c>
    </row>
    <row r="25" spans="4:25" x14ac:dyDescent="0.2">
      <c r="D25" s="78" t="s">
        <v>377</v>
      </c>
      <c r="H25" s="4"/>
      <c r="V25" s="78" t="s">
        <v>231</v>
      </c>
    </row>
    <row r="26" spans="4:25" x14ac:dyDescent="0.2">
      <c r="D26" s="78" t="s">
        <v>378</v>
      </c>
      <c r="E26" s="51"/>
      <c r="F26" s="51"/>
      <c r="G26" s="51"/>
      <c r="H26" s="51"/>
      <c r="I26" s="51"/>
      <c r="V26" s="51" t="s">
        <v>229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1"/>
  <sheetViews>
    <sheetView topLeftCell="B13" zoomScale="80" zoomScaleNormal="80" workbookViewId="0">
      <selection activeCell="U13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10" t="s">
        <v>90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4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4"/>
    </row>
    <row r="3" spans="1:25" ht="15" x14ac:dyDescent="0.2">
      <c r="A3" s="50" t="s">
        <v>314</v>
      </c>
      <c r="B3" s="311" t="s">
        <v>380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21" t="s">
        <v>1</v>
      </c>
      <c r="G5" s="322"/>
      <c r="H5" s="323"/>
      <c r="I5" s="24" t="s">
        <v>26</v>
      </c>
      <c r="J5" s="25"/>
      <c r="K5" s="324" t="s">
        <v>9</v>
      </c>
      <c r="L5" s="325"/>
      <c r="M5" s="325"/>
      <c r="N5" s="325"/>
      <c r="O5" s="325"/>
      <c r="P5" s="326"/>
      <c r="Q5" s="24" t="s">
        <v>30</v>
      </c>
      <c r="R5" s="24" t="s">
        <v>10</v>
      </c>
      <c r="S5" s="23" t="s">
        <v>54</v>
      </c>
      <c r="T5" s="327" t="s">
        <v>2</v>
      </c>
      <c r="U5" s="328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118</v>
      </c>
      <c r="C6" s="61" t="s">
        <v>140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163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65.099999999999994" customHeight="1" x14ac:dyDescent="0.2">
      <c r="A9" s="233" t="s">
        <v>97</v>
      </c>
      <c r="B9" s="234" t="s">
        <v>180</v>
      </c>
      <c r="C9" s="234" t="s">
        <v>139</v>
      </c>
      <c r="D9" s="235" t="s">
        <v>71</v>
      </c>
      <c r="E9" s="236">
        <v>15</v>
      </c>
      <c r="F9" s="237">
        <v>9702</v>
      </c>
      <c r="G9" s="238">
        <v>0</v>
      </c>
      <c r="H9" s="239">
        <f t="shared" ref="H9:H15" si="0">SUM(F9:G9)</f>
        <v>9702</v>
      </c>
      <c r="I9" s="240">
        <f t="shared" ref="I9:I20" si="1">IF(F9/15&lt;=SMG,0,G9/2)</f>
        <v>0</v>
      </c>
      <c r="J9" s="240">
        <f t="shared" ref="J9" si="2">F9+I9</f>
        <v>9702</v>
      </c>
      <c r="K9" s="240">
        <f t="shared" ref="K9:K20" si="3">VLOOKUP(J9,Tarifa1,1)</f>
        <v>6602.71</v>
      </c>
      <c r="L9" s="240">
        <f t="shared" ref="L9" si="4">J9-K9</f>
        <v>3099.29</v>
      </c>
      <c r="M9" s="241">
        <f t="shared" ref="M9:M20" si="5">VLOOKUP(J9,Tarifa1,3)</f>
        <v>0.21360000000000001</v>
      </c>
      <c r="N9" s="240">
        <f t="shared" ref="N9" si="6">L9*M9</f>
        <v>662.00834400000008</v>
      </c>
      <c r="O9" s="242">
        <f t="shared" ref="O9:O20" si="7">VLOOKUP(J9,Tarifa1,2)</f>
        <v>699.3</v>
      </c>
      <c r="P9" s="240">
        <f t="shared" ref="P9" si="8">N9+O9</f>
        <v>1361.308344</v>
      </c>
      <c r="Q9" s="240">
        <f t="shared" ref="Q9:Q20" si="9">VLOOKUP(J9,Credito1,2)</f>
        <v>0</v>
      </c>
      <c r="R9" s="240">
        <f t="shared" ref="R9" si="10">ROUND(P9-Q9,2)</f>
        <v>1361.31</v>
      </c>
      <c r="S9" s="239">
        <f t="shared" ref="S9:S11" si="11">-IF(R9&gt;0,0,R9)</f>
        <v>0</v>
      </c>
      <c r="T9" s="239">
        <f t="shared" ref="T9:T11" si="12">IF(R9&lt;0,0,R9)</f>
        <v>1361.31</v>
      </c>
      <c r="U9" s="239">
        <f>SUM(T9:T9)</f>
        <v>1361.31</v>
      </c>
      <c r="V9" s="239">
        <f>H9+S9-U9</f>
        <v>8340.69</v>
      </c>
      <c r="W9" s="119"/>
      <c r="X9" s="4"/>
    </row>
    <row r="10" spans="1:25" s="186" customFormat="1" ht="65.099999999999994" customHeight="1" x14ac:dyDescent="0.2">
      <c r="A10" s="233"/>
      <c r="B10" s="234" t="s">
        <v>294</v>
      </c>
      <c r="C10" s="234" t="s">
        <v>139</v>
      </c>
      <c r="D10" s="235" t="s">
        <v>92</v>
      </c>
      <c r="E10" s="236">
        <v>15</v>
      </c>
      <c r="F10" s="237">
        <v>7926</v>
      </c>
      <c r="G10" s="238">
        <v>0</v>
      </c>
      <c r="H10" s="239">
        <f t="shared" si="0"/>
        <v>7926</v>
      </c>
      <c r="I10" s="240">
        <f t="shared" si="1"/>
        <v>0</v>
      </c>
      <c r="J10" s="240">
        <f t="shared" ref="J10:J20" si="13">F10+I10</f>
        <v>7926</v>
      </c>
      <c r="K10" s="240">
        <f t="shared" si="3"/>
        <v>6602.71</v>
      </c>
      <c r="L10" s="240">
        <f t="shared" ref="L10:L20" si="14">J10-K10</f>
        <v>1323.29</v>
      </c>
      <c r="M10" s="241">
        <f t="shared" si="5"/>
        <v>0.21360000000000001</v>
      </c>
      <c r="N10" s="240">
        <f t="shared" ref="N10:N20" si="15">L10*M10</f>
        <v>282.65474399999999</v>
      </c>
      <c r="O10" s="242">
        <f t="shared" si="7"/>
        <v>699.3</v>
      </c>
      <c r="P10" s="240">
        <f t="shared" ref="P10:P20" si="16">N10+O10</f>
        <v>981.95474399999989</v>
      </c>
      <c r="Q10" s="240">
        <f t="shared" si="9"/>
        <v>0</v>
      </c>
      <c r="R10" s="240">
        <f t="shared" ref="R10:R20" si="17">ROUND(P10-Q10,2)</f>
        <v>981.95</v>
      </c>
      <c r="S10" s="239">
        <f t="shared" si="11"/>
        <v>0</v>
      </c>
      <c r="T10" s="239">
        <f t="shared" si="12"/>
        <v>981.95</v>
      </c>
      <c r="U10" s="239">
        <f>SUM(T10:T10)</f>
        <v>981.95</v>
      </c>
      <c r="V10" s="239">
        <f>H10+S10-U10</f>
        <v>6944.05</v>
      </c>
      <c r="W10" s="119"/>
      <c r="X10" s="4"/>
    </row>
    <row r="11" spans="1:25" s="186" customFormat="1" ht="65.099999999999994" customHeight="1" x14ac:dyDescent="0.2">
      <c r="A11" s="233"/>
      <c r="B11" s="234" t="s">
        <v>313</v>
      </c>
      <c r="C11" s="234" t="s">
        <v>139</v>
      </c>
      <c r="D11" s="235" t="s">
        <v>92</v>
      </c>
      <c r="E11" s="236">
        <v>15</v>
      </c>
      <c r="F11" s="237">
        <v>7926</v>
      </c>
      <c r="G11" s="238">
        <v>0</v>
      </c>
      <c r="H11" s="239">
        <f t="shared" si="0"/>
        <v>7926</v>
      </c>
      <c r="I11" s="240">
        <f t="shared" si="1"/>
        <v>0</v>
      </c>
      <c r="J11" s="240">
        <f t="shared" si="13"/>
        <v>7926</v>
      </c>
      <c r="K11" s="240">
        <f t="shared" si="3"/>
        <v>6602.71</v>
      </c>
      <c r="L11" s="240">
        <f t="shared" si="14"/>
        <v>1323.29</v>
      </c>
      <c r="M11" s="241">
        <f t="shared" si="5"/>
        <v>0.21360000000000001</v>
      </c>
      <c r="N11" s="240">
        <f t="shared" si="15"/>
        <v>282.65474399999999</v>
      </c>
      <c r="O11" s="242">
        <f t="shared" si="7"/>
        <v>699.3</v>
      </c>
      <c r="P11" s="240">
        <f t="shared" si="16"/>
        <v>981.95474399999989</v>
      </c>
      <c r="Q11" s="240">
        <f t="shared" si="9"/>
        <v>0</v>
      </c>
      <c r="R11" s="240">
        <f t="shared" si="17"/>
        <v>981.95</v>
      </c>
      <c r="S11" s="239">
        <f t="shared" si="11"/>
        <v>0</v>
      </c>
      <c r="T11" s="239">
        <f t="shared" si="12"/>
        <v>981.95</v>
      </c>
      <c r="U11" s="239">
        <f>SUM(T11:T11)</f>
        <v>981.95</v>
      </c>
      <c r="V11" s="239">
        <f>H11+S11-U11</f>
        <v>6944.05</v>
      </c>
      <c r="W11" s="119"/>
      <c r="X11" s="4"/>
    </row>
    <row r="12" spans="1:25" s="186" customFormat="1" ht="65.099999999999994" customHeight="1" x14ac:dyDescent="0.2">
      <c r="A12" s="264"/>
      <c r="B12" s="234" t="s">
        <v>124</v>
      </c>
      <c r="C12" s="234" t="s">
        <v>139</v>
      </c>
      <c r="D12" s="235" t="s">
        <v>93</v>
      </c>
      <c r="E12" s="236">
        <v>15</v>
      </c>
      <c r="F12" s="237">
        <v>7185.5</v>
      </c>
      <c r="G12" s="238">
        <v>0</v>
      </c>
      <c r="H12" s="239">
        <f t="shared" si="0"/>
        <v>7185.5</v>
      </c>
      <c r="I12" s="240">
        <f t="shared" si="1"/>
        <v>0</v>
      </c>
      <c r="J12" s="240">
        <f t="shared" si="13"/>
        <v>7185.5</v>
      </c>
      <c r="K12" s="240">
        <f t="shared" si="3"/>
        <v>6602.71</v>
      </c>
      <c r="L12" s="240">
        <f t="shared" si="14"/>
        <v>582.79</v>
      </c>
      <c r="M12" s="241">
        <f t="shared" si="5"/>
        <v>0.21360000000000001</v>
      </c>
      <c r="N12" s="240">
        <f t="shared" si="15"/>
        <v>124.48394399999999</v>
      </c>
      <c r="O12" s="242">
        <f t="shared" si="7"/>
        <v>699.3</v>
      </c>
      <c r="P12" s="240">
        <f t="shared" si="16"/>
        <v>823.78394399999991</v>
      </c>
      <c r="Q12" s="240">
        <f t="shared" si="9"/>
        <v>0</v>
      </c>
      <c r="R12" s="240">
        <f t="shared" si="17"/>
        <v>823.78</v>
      </c>
      <c r="S12" s="239">
        <f t="shared" ref="S12:S15" si="18">-IF(R12&gt;0,0,R12)</f>
        <v>0</v>
      </c>
      <c r="T12" s="239">
        <f t="shared" ref="T12:T15" si="19">IF(R12&lt;0,0,R12)</f>
        <v>823.78</v>
      </c>
      <c r="U12" s="239">
        <f>SUM(T12:T12)</f>
        <v>823.78</v>
      </c>
      <c r="V12" s="239">
        <f>H12+S12-U12</f>
        <v>6361.72</v>
      </c>
      <c r="W12" s="120"/>
      <c r="X12" s="4"/>
    </row>
    <row r="13" spans="1:25" s="186" customFormat="1" ht="65.099999999999994" customHeight="1" x14ac:dyDescent="0.2">
      <c r="A13" s="264"/>
      <c r="B13" s="234" t="s">
        <v>282</v>
      </c>
      <c r="C13" s="234" t="s">
        <v>139</v>
      </c>
      <c r="D13" s="235" t="s">
        <v>93</v>
      </c>
      <c r="E13" s="236">
        <v>15</v>
      </c>
      <c r="F13" s="237">
        <v>7185.5</v>
      </c>
      <c r="G13" s="238">
        <v>0</v>
      </c>
      <c r="H13" s="239">
        <f t="shared" si="0"/>
        <v>7185.5</v>
      </c>
      <c r="I13" s="240">
        <f t="shared" si="1"/>
        <v>0</v>
      </c>
      <c r="J13" s="240">
        <f t="shared" si="13"/>
        <v>7185.5</v>
      </c>
      <c r="K13" s="240">
        <f t="shared" si="3"/>
        <v>6602.71</v>
      </c>
      <c r="L13" s="240">
        <f t="shared" si="14"/>
        <v>582.79</v>
      </c>
      <c r="M13" s="241">
        <f t="shared" si="5"/>
        <v>0.21360000000000001</v>
      </c>
      <c r="N13" s="240">
        <f t="shared" si="15"/>
        <v>124.48394399999999</v>
      </c>
      <c r="O13" s="242">
        <f t="shared" si="7"/>
        <v>699.3</v>
      </c>
      <c r="P13" s="240">
        <f t="shared" si="16"/>
        <v>823.78394399999991</v>
      </c>
      <c r="Q13" s="240">
        <f t="shared" si="9"/>
        <v>0</v>
      </c>
      <c r="R13" s="240">
        <f t="shared" si="17"/>
        <v>823.78</v>
      </c>
      <c r="S13" s="239">
        <f t="shared" si="18"/>
        <v>0</v>
      </c>
      <c r="T13" s="239">
        <f t="shared" si="19"/>
        <v>823.78</v>
      </c>
      <c r="U13" s="239">
        <f>SUM(T13:T13)</f>
        <v>823.78</v>
      </c>
      <c r="V13" s="239">
        <f>H13+S13-U13</f>
        <v>6361.72</v>
      </c>
      <c r="W13" s="120"/>
      <c r="X13" s="4"/>
    </row>
    <row r="14" spans="1:25" s="186" customFormat="1" ht="65.099999999999994" customHeight="1" x14ac:dyDescent="0.2">
      <c r="A14" s="264"/>
      <c r="B14" s="234" t="s">
        <v>293</v>
      </c>
      <c r="C14" s="234" t="s">
        <v>139</v>
      </c>
      <c r="D14" s="235" t="s">
        <v>93</v>
      </c>
      <c r="E14" s="236">
        <v>15</v>
      </c>
      <c r="F14" s="237">
        <v>7185.5</v>
      </c>
      <c r="G14" s="238">
        <v>0</v>
      </c>
      <c r="H14" s="239">
        <f t="shared" si="0"/>
        <v>7185.5</v>
      </c>
      <c r="I14" s="240">
        <f t="shared" si="1"/>
        <v>0</v>
      </c>
      <c r="J14" s="240">
        <f t="shared" si="13"/>
        <v>7185.5</v>
      </c>
      <c r="K14" s="240">
        <f t="shared" si="3"/>
        <v>6602.71</v>
      </c>
      <c r="L14" s="240">
        <f t="shared" si="14"/>
        <v>582.79</v>
      </c>
      <c r="M14" s="241">
        <f t="shared" si="5"/>
        <v>0.21360000000000001</v>
      </c>
      <c r="N14" s="240">
        <f t="shared" si="15"/>
        <v>124.48394399999999</v>
      </c>
      <c r="O14" s="242">
        <f t="shared" si="7"/>
        <v>699.3</v>
      </c>
      <c r="P14" s="240">
        <f t="shared" si="16"/>
        <v>823.78394399999991</v>
      </c>
      <c r="Q14" s="240">
        <f t="shared" si="9"/>
        <v>0</v>
      </c>
      <c r="R14" s="240">
        <f t="shared" si="17"/>
        <v>823.78</v>
      </c>
      <c r="S14" s="239">
        <f t="shared" si="18"/>
        <v>0</v>
      </c>
      <c r="T14" s="239">
        <f t="shared" si="19"/>
        <v>823.78</v>
      </c>
      <c r="U14" s="239">
        <f>SUM(T14:T14)</f>
        <v>823.78</v>
      </c>
      <c r="V14" s="239">
        <f>H14+S14-U14</f>
        <v>6361.72</v>
      </c>
      <c r="W14" s="120"/>
      <c r="X14" s="4"/>
    </row>
    <row r="15" spans="1:25" ht="65.099999999999994" customHeight="1" x14ac:dyDescent="0.2">
      <c r="A15" s="264"/>
      <c r="B15" s="234" t="s">
        <v>303</v>
      </c>
      <c r="C15" s="234" t="s">
        <v>139</v>
      </c>
      <c r="D15" s="235" t="s">
        <v>93</v>
      </c>
      <c r="E15" s="236">
        <v>15</v>
      </c>
      <c r="F15" s="237">
        <v>7185.5</v>
      </c>
      <c r="G15" s="238">
        <v>0</v>
      </c>
      <c r="H15" s="239">
        <f t="shared" si="0"/>
        <v>7185.5</v>
      </c>
      <c r="I15" s="240">
        <f t="shared" si="1"/>
        <v>0</v>
      </c>
      <c r="J15" s="240">
        <f t="shared" si="13"/>
        <v>7185.5</v>
      </c>
      <c r="K15" s="240">
        <f t="shared" si="3"/>
        <v>6602.71</v>
      </c>
      <c r="L15" s="240">
        <f t="shared" si="14"/>
        <v>582.79</v>
      </c>
      <c r="M15" s="241">
        <f t="shared" si="5"/>
        <v>0.21360000000000001</v>
      </c>
      <c r="N15" s="240">
        <f t="shared" si="15"/>
        <v>124.48394399999999</v>
      </c>
      <c r="O15" s="242">
        <f t="shared" si="7"/>
        <v>699.3</v>
      </c>
      <c r="P15" s="240">
        <f t="shared" si="16"/>
        <v>823.78394399999991</v>
      </c>
      <c r="Q15" s="240">
        <f t="shared" si="9"/>
        <v>0</v>
      </c>
      <c r="R15" s="240">
        <f t="shared" si="17"/>
        <v>823.78</v>
      </c>
      <c r="S15" s="239">
        <f t="shared" si="18"/>
        <v>0</v>
      </c>
      <c r="T15" s="239">
        <f t="shared" si="19"/>
        <v>823.78</v>
      </c>
      <c r="U15" s="239">
        <f>SUM(T15:T15)</f>
        <v>823.78</v>
      </c>
      <c r="V15" s="239">
        <f>H15+S15-U15</f>
        <v>6361.72</v>
      </c>
      <c r="W15" s="120"/>
      <c r="X15" s="4"/>
    </row>
    <row r="16" spans="1:25" ht="65.099999999999994" customHeight="1" x14ac:dyDescent="0.2">
      <c r="A16" s="264"/>
      <c r="B16" s="234" t="s">
        <v>324</v>
      </c>
      <c r="C16" s="234" t="s">
        <v>139</v>
      </c>
      <c r="D16" s="235" t="s">
        <v>93</v>
      </c>
      <c r="E16" s="265">
        <v>15</v>
      </c>
      <c r="F16" s="237">
        <v>7185.5</v>
      </c>
      <c r="G16" s="238">
        <v>0</v>
      </c>
      <c r="H16" s="239">
        <f t="shared" ref="H16" si="20">SUM(F16:G16)</f>
        <v>7185.5</v>
      </c>
      <c r="I16" s="240">
        <f t="shared" si="1"/>
        <v>0</v>
      </c>
      <c r="J16" s="240">
        <f t="shared" si="13"/>
        <v>7185.5</v>
      </c>
      <c r="K16" s="240">
        <f t="shared" si="3"/>
        <v>6602.71</v>
      </c>
      <c r="L16" s="240">
        <f t="shared" si="14"/>
        <v>582.79</v>
      </c>
      <c r="M16" s="241">
        <f t="shared" si="5"/>
        <v>0.21360000000000001</v>
      </c>
      <c r="N16" s="240">
        <f t="shared" si="15"/>
        <v>124.48394399999999</v>
      </c>
      <c r="O16" s="242">
        <f t="shared" si="7"/>
        <v>699.3</v>
      </c>
      <c r="P16" s="240">
        <f t="shared" si="16"/>
        <v>823.78394399999991</v>
      </c>
      <c r="Q16" s="240">
        <f t="shared" si="9"/>
        <v>0</v>
      </c>
      <c r="R16" s="240">
        <f t="shared" si="17"/>
        <v>823.78</v>
      </c>
      <c r="S16" s="239">
        <f t="shared" ref="S16" si="21">-IF(R16&gt;0,0,R16)</f>
        <v>0</v>
      </c>
      <c r="T16" s="239">
        <f t="shared" ref="T16" si="22">IF(R16&lt;0,0,R16)</f>
        <v>823.78</v>
      </c>
      <c r="U16" s="239">
        <f>SUM(T16:T16)</f>
        <v>823.78</v>
      </c>
      <c r="V16" s="239">
        <f>H16+S16-U16</f>
        <v>6361.72</v>
      </c>
      <c r="W16" s="120"/>
      <c r="X16" s="4"/>
    </row>
    <row r="17" spans="1:36" ht="65.099999999999994" customHeight="1" x14ac:dyDescent="0.2">
      <c r="A17" s="264"/>
      <c r="B17" s="234" t="s">
        <v>332</v>
      </c>
      <c r="C17" s="234" t="s">
        <v>139</v>
      </c>
      <c r="D17" s="235" t="s">
        <v>93</v>
      </c>
      <c r="E17" s="236">
        <v>15</v>
      </c>
      <c r="F17" s="237">
        <v>7185.5</v>
      </c>
      <c r="G17" s="238">
        <v>0</v>
      </c>
      <c r="H17" s="239">
        <f t="shared" ref="H17:H18" si="23">SUM(F17:G17)</f>
        <v>7185.5</v>
      </c>
      <c r="I17" s="240">
        <f t="shared" si="1"/>
        <v>0</v>
      </c>
      <c r="J17" s="240">
        <f t="shared" si="13"/>
        <v>7185.5</v>
      </c>
      <c r="K17" s="240">
        <f t="shared" si="3"/>
        <v>6602.71</v>
      </c>
      <c r="L17" s="240">
        <f t="shared" si="14"/>
        <v>582.79</v>
      </c>
      <c r="M17" s="241">
        <f t="shared" si="5"/>
        <v>0.21360000000000001</v>
      </c>
      <c r="N17" s="240">
        <f t="shared" si="15"/>
        <v>124.48394399999999</v>
      </c>
      <c r="O17" s="242">
        <f t="shared" si="7"/>
        <v>699.3</v>
      </c>
      <c r="P17" s="240">
        <f t="shared" si="16"/>
        <v>823.78394399999991</v>
      </c>
      <c r="Q17" s="240">
        <f t="shared" si="9"/>
        <v>0</v>
      </c>
      <c r="R17" s="240">
        <f t="shared" si="17"/>
        <v>823.78</v>
      </c>
      <c r="S17" s="239">
        <f t="shared" ref="S17:S21" si="24">-IF(R17&gt;0,0,R17)</f>
        <v>0</v>
      </c>
      <c r="T17" s="239">
        <f t="shared" ref="T17:T21" si="25">IF(R17&lt;0,0,R17)</f>
        <v>823.78</v>
      </c>
      <c r="U17" s="239">
        <f>SUM(T17:T17)</f>
        <v>823.78</v>
      </c>
      <c r="V17" s="239">
        <f>H17+S17-U17</f>
        <v>6361.72</v>
      </c>
      <c r="W17" s="120"/>
      <c r="X17" s="4"/>
    </row>
    <row r="18" spans="1:36" ht="65.099999999999994" customHeight="1" x14ac:dyDescent="0.2">
      <c r="A18" s="264"/>
      <c r="B18" s="234" t="s">
        <v>333</v>
      </c>
      <c r="C18" s="234" t="s">
        <v>139</v>
      </c>
      <c r="D18" s="235" t="s">
        <v>93</v>
      </c>
      <c r="E18" s="236">
        <v>15</v>
      </c>
      <c r="F18" s="237">
        <v>7185.5</v>
      </c>
      <c r="G18" s="238">
        <v>0</v>
      </c>
      <c r="H18" s="239">
        <f t="shared" si="23"/>
        <v>7185.5</v>
      </c>
      <c r="I18" s="240">
        <f t="shared" si="1"/>
        <v>0</v>
      </c>
      <c r="J18" s="240">
        <f t="shared" si="13"/>
        <v>7185.5</v>
      </c>
      <c r="K18" s="240">
        <f t="shared" si="3"/>
        <v>6602.71</v>
      </c>
      <c r="L18" s="240">
        <f t="shared" si="14"/>
        <v>582.79</v>
      </c>
      <c r="M18" s="241">
        <f t="shared" si="5"/>
        <v>0.21360000000000001</v>
      </c>
      <c r="N18" s="240">
        <f t="shared" si="15"/>
        <v>124.48394399999999</v>
      </c>
      <c r="O18" s="242">
        <f t="shared" si="7"/>
        <v>699.3</v>
      </c>
      <c r="P18" s="240">
        <f t="shared" si="16"/>
        <v>823.78394399999991</v>
      </c>
      <c r="Q18" s="240">
        <f t="shared" si="9"/>
        <v>0</v>
      </c>
      <c r="R18" s="240">
        <f t="shared" si="17"/>
        <v>823.78</v>
      </c>
      <c r="S18" s="239">
        <f t="shared" si="24"/>
        <v>0</v>
      </c>
      <c r="T18" s="239">
        <f t="shared" si="25"/>
        <v>823.78</v>
      </c>
      <c r="U18" s="239">
        <f>SUM(T18:T18)</f>
        <v>823.78</v>
      </c>
      <c r="V18" s="239">
        <f>H18+S18-U18</f>
        <v>6361.72</v>
      </c>
      <c r="W18" s="120"/>
      <c r="X18" s="4"/>
    </row>
    <row r="19" spans="1:36" ht="65.099999999999994" customHeight="1" x14ac:dyDescent="0.2">
      <c r="A19" s="264"/>
      <c r="B19" s="234" t="s">
        <v>359</v>
      </c>
      <c r="C19" s="234" t="s">
        <v>139</v>
      </c>
      <c r="D19" s="235" t="s">
        <v>93</v>
      </c>
      <c r="E19" s="236">
        <v>15</v>
      </c>
      <c r="F19" s="237">
        <v>7185.5</v>
      </c>
      <c r="G19" s="238">
        <v>0</v>
      </c>
      <c r="H19" s="239">
        <f t="shared" ref="H19" si="26">SUM(F19:G19)</f>
        <v>7185.5</v>
      </c>
      <c r="I19" s="240">
        <f t="shared" si="1"/>
        <v>0</v>
      </c>
      <c r="J19" s="240">
        <f t="shared" si="13"/>
        <v>7185.5</v>
      </c>
      <c r="K19" s="240">
        <f t="shared" si="3"/>
        <v>6602.71</v>
      </c>
      <c r="L19" s="240">
        <f t="shared" si="14"/>
        <v>582.79</v>
      </c>
      <c r="M19" s="241">
        <f t="shared" si="5"/>
        <v>0.21360000000000001</v>
      </c>
      <c r="N19" s="240">
        <f t="shared" si="15"/>
        <v>124.48394399999999</v>
      </c>
      <c r="O19" s="242">
        <f t="shared" si="7"/>
        <v>699.3</v>
      </c>
      <c r="P19" s="240">
        <f t="shared" si="16"/>
        <v>823.78394399999991</v>
      </c>
      <c r="Q19" s="240">
        <f t="shared" si="9"/>
        <v>0</v>
      </c>
      <c r="R19" s="240">
        <f t="shared" si="17"/>
        <v>823.78</v>
      </c>
      <c r="S19" s="239">
        <f t="shared" si="24"/>
        <v>0</v>
      </c>
      <c r="T19" s="239">
        <f t="shared" si="25"/>
        <v>823.78</v>
      </c>
      <c r="U19" s="239">
        <f>SUM(T19:T19)</f>
        <v>823.78</v>
      </c>
      <c r="V19" s="239">
        <f>H19+S19-U19</f>
        <v>6361.72</v>
      </c>
      <c r="W19" s="120"/>
      <c r="X19" s="4"/>
    </row>
    <row r="20" spans="1:36" ht="65.099999999999994" customHeight="1" x14ac:dyDescent="0.2">
      <c r="A20" s="264"/>
      <c r="B20" s="234" t="s">
        <v>357</v>
      </c>
      <c r="C20" s="234" t="s">
        <v>139</v>
      </c>
      <c r="D20" s="235" t="s">
        <v>93</v>
      </c>
      <c r="E20" s="236">
        <v>15</v>
      </c>
      <c r="F20" s="237">
        <v>7185.5</v>
      </c>
      <c r="G20" s="238">
        <v>0</v>
      </c>
      <c r="H20" s="239">
        <f t="shared" ref="H20:H22" si="27">SUM(F20:G20)</f>
        <v>7185.5</v>
      </c>
      <c r="I20" s="240">
        <f t="shared" si="1"/>
        <v>0</v>
      </c>
      <c r="J20" s="240">
        <f t="shared" si="13"/>
        <v>7185.5</v>
      </c>
      <c r="K20" s="240">
        <f t="shared" si="3"/>
        <v>6602.71</v>
      </c>
      <c r="L20" s="240">
        <f t="shared" si="14"/>
        <v>582.79</v>
      </c>
      <c r="M20" s="241">
        <f t="shared" si="5"/>
        <v>0.21360000000000001</v>
      </c>
      <c r="N20" s="240">
        <f t="shared" si="15"/>
        <v>124.48394399999999</v>
      </c>
      <c r="O20" s="242">
        <f t="shared" si="7"/>
        <v>699.3</v>
      </c>
      <c r="P20" s="240">
        <f t="shared" si="16"/>
        <v>823.78394399999991</v>
      </c>
      <c r="Q20" s="240">
        <f t="shared" si="9"/>
        <v>0</v>
      </c>
      <c r="R20" s="240">
        <f t="shared" si="17"/>
        <v>823.78</v>
      </c>
      <c r="S20" s="239">
        <f t="shared" si="24"/>
        <v>0</v>
      </c>
      <c r="T20" s="239">
        <f t="shared" si="25"/>
        <v>823.78</v>
      </c>
      <c r="U20" s="239">
        <f>SUM(T20:T20)</f>
        <v>823.78</v>
      </c>
      <c r="V20" s="239">
        <f>H20+S20-U20</f>
        <v>6361.72</v>
      </c>
      <c r="W20" s="120"/>
      <c r="X20" s="4"/>
    </row>
    <row r="21" spans="1:36" ht="65.099999999999994" customHeight="1" x14ac:dyDescent="0.2">
      <c r="A21" s="264"/>
      <c r="B21" s="234" t="s">
        <v>358</v>
      </c>
      <c r="C21" s="234" t="s">
        <v>139</v>
      </c>
      <c r="D21" s="235" t="s">
        <v>93</v>
      </c>
      <c r="E21" s="236">
        <v>15</v>
      </c>
      <c r="F21" s="237">
        <v>7185.5</v>
      </c>
      <c r="G21" s="238">
        <v>0</v>
      </c>
      <c r="H21" s="239">
        <f t="shared" si="27"/>
        <v>7185.5</v>
      </c>
      <c r="I21" s="240">
        <f t="shared" ref="I21:I22" si="28">IF(F21/15&lt;=SMG,0,G21/2)</f>
        <v>0</v>
      </c>
      <c r="J21" s="240">
        <f t="shared" ref="J21:J22" si="29">F21+I21</f>
        <v>7185.5</v>
      </c>
      <c r="K21" s="240">
        <f t="shared" ref="K21:K22" si="30">VLOOKUP(J21,Tarifa1,1)</f>
        <v>6602.71</v>
      </c>
      <c r="L21" s="240">
        <f t="shared" ref="L21:L22" si="31">J21-K21</f>
        <v>582.79</v>
      </c>
      <c r="M21" s="241">
        <f t="shared" ref="M21:M22" si="32">VLOOKUP(J21,Tarifa1,3)</f>
        <v>0.21360000000000001</v>
      </c>
      <c r="N21" s="240">
        <f t="shared" ref="N21:N22" si="33">L21*M21</f>
        <v>124.48394399999999</v>
      </c>
      <c r="O21" s="242">
        <f t="shared" ref="O21:O22" si="34">VLOOKUP(J21,Tarifa1,2)</f>
        <v>699.3</v>
      </c>
      <c r="P21" s="240">
        <f t="shared" ref="P21:P22" si="35">N21+O21</f>
        <v>823.78394399999991</v>
      </c>
      <c r="Q21" s="240">
        <f t="shared" ref="Q21:Q22" si="36">VLOOKUP(J21,Credito1,2)</f>
        <v>0</v>
      </c>
      <c r="R21" s="240">
        <f t="shared" ref="R21:R22" si="37">ROUND(P21-Q21,2)</f>
        <v>823.78</v>
      </c>
      <c r="S21" s="239">
        <f t="shared" si="24"/>
        <v>0</v>
      </c>
      <c r="T21" s="239">
        <f t="shared" si="25"/>
        <v>823.78</v>
      </c>
      <c r="U21" s="239">
        <f>SUM(T21:T21)</f>
        <v>823.78</v>
      </c>
      <c r="V21" s="239">
        <f>H21+S21-U21</f>
        <v>6361.72</v>
      </c>
      <c r="W21" s="120"/>
      <c r="X21" s="4"/>
    </row>
    <row r="22" spans="1:36" ht="65.099999999999994" customHeight="1" x14ac:dyDescent="0.2">
      <c r="A22" s="264"/>
      <c r="B22" s="234" t="s">
        <v>360</v>
      </c>
      <c r="C22" s="234" t="s">
        <v>139</v>
      </c>
      <c r="D22" s="235" t="s">
        <v>93</v>
      </c>
      <c r="E22" s="236"/>
      <c r="F22" s="237">
        <v>7185.5</v>
      </c>
      <c r="G22" s="238">
        <v>0</v>
      </c>
      <c r="H22" s="239">
        <f t="shared" si="27"/>
        <v>7185.5</v>
      </c>
      <c r="I22" s="240">
        <f t="shared" si="28"/>
        <v>0</v>
      </c>
      <c r="J22" s="240">
        <f t="shared" si="29"/>
        <v>7185.5</v>
      </c>
      <c r="K22" s="240">
        <f t="shared" si="30"/>
        <v>6602.71</v>
      </c>
      <c r="L22" s="240">
        <f t="shared" si="31"/>
        <v>582.79</v>
      </c>
      <c r="M22" s="241">
        <f t="shared" si="32"/>
        <v>0.21360000000000001</v>
      </c>
      <c r="N22" s="240">
        <f t="shared" si="33"/>
        <v>124.48394399999999</v>
      </c>
      <c r="O22" s="242">
        <f t="shared" si="34"/>
        <v>699.3</v>
      </c>
      <c r="P22" s="240">
        <f t="shared" si="35"/>
        <v>823.78394399999991</v>
      </c>
      <c r="Q22" s="240">
        <f t="shared" si="36"/>
        <v>0</v>
      </c>
      <c r="R22" s="240">
        <f t="shared" si="37"/>
        <v>823.78</v>
      </c>
      <c r="S22" s="239">
        <f t="shared" ref="S22" si="38">-IF(R22&gt;0,0,R22)</f>
        <v>0</v>
      </c>
      <c r="T22" s="239">
        <f t="shared" ref="T22" si="39">IF(R22&lt;0,0,R22)</f>
        <v>823.78</v>
      </c>
      <c r="U22" s="239">
        <f>SUM(T22:T22)</f>
        <v>823.78</v>
      </c>
      <c r="V22" s="239">
        <f>H22+S22-U22</f>
        <v>6361.72</v>
      </c>
      <c r="W22" s="120"/>
      <c r="X22" s="4"/>
    </row>
    <row r="23" spans="1:36" ht="38.1" customHeight="1" thickBot="1" x14ac:dyDescent="0.3">
      <c r="A23" s="336" t="s">
        <v>45</v>
      </c>
      <c r="B23" s="337"/>
      <c r="C23" s="337"/>
      <c r="D23" s="337"/>
      <c r="E23" s="337"/>
      <c r="F23" s="244">
        <f>SUM(F9:F22)</f>
        <v>104594.5</v>
      </c>
      <c r="G23" s="244">
        <f>SUM(G9:G22)</f>
        <v>0</v>
      </c>
      <c r="H23" s="244">
        <f>SUM(H9:H22)</f>
        <v>104594.5</v>
      </c>
      <c r="I23" s="245">
        <f t="shared" ref="I23:R23" si="40">SUM(I9:I15)</f>
        <v>0</v>
      </c>
      <c r="J23" s="245">
        <f t="shared" si="40"/>
        <v>54296</v>
      </c>
      <c r="K23" s="245">
        <f t="shared" si="40"/>
        <v>46218.97</v>
      </c>
      <c r="L23" s="245">
        <f t="shared" si="40"/>
        <v>8077.03</v>
      </c>
      <c r="M23" s="245">
        <f t="shared" si="40"/>
        <v>1.4952000000000001</v>
      </c>
      <c r="N23" s="245">
        <f t="shared" si="40"/>
        <v>1725.2536080000002</v>
      </c>
      <c r="O23" s="245">
        <f t="shared" si="40"/>
        <v>4895.1000000000004</v>
      </c>
      <c r="P23" s="245">
        <f t="shared" si="40"/>
        <v>6620.3536079999985</v>
      </c>
      <c r="Q23" s="245">
        <f t="shared" si="40"/>
        <v>0</v>
      </c>
      <c r="R23" s="245">
        <f t="shared" si="40"/>
        <v>6620.329999999999</v>
      </c>
      <c r="S23" s="244">
        <f>SUM(S9:S22)</f>
        <v>0</v>
      </c>
      <c r="T23" s="244">
        <f>SUM(T9:T22)</f>
        <v>12386.790000000003</v>
      </c>
      <c r="U23" s="244">
        <f>SUM(U9:U22)</f>
        <v>12386.790000000003</v>
      </c>
      <c r="V23" s="244">
        <f>SUM(V9:V22)</f>
        <v>92207.71</v>
      </c>
      <c r="W23" s="4"/>
      <c r="X23" s="4"/>
    </row>
    <row r="24" spans="1:36" ht="13.5" thickTop="1" x14ac:dyDescent="0.2"/>
    <row r="30" spans="1:36" x14ac:dyDescent="0.2">
      <c r="G30" s="112"/>
    </row>
    <row r="31" spans="1:36" x14ac:dyDescent="0.2">
      <c r="D31" s="113"/>
      <c r="E31" s="113"/>
      <c r="F31" s="113"/>
      <c r="G31" s="113"/>
      <c r="H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I31" s="113"/>
      <c r="AJ31" s="113"/>
    </row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9"/>
  <sheetViews>
    <sheetView tabSelected="1" topLeftCell="B11" zoomScale="73" zoomScaleNormal="73" workbookViewId="0">
      <selection activeCell="W11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9" t="s">
        <v>90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</row>
    <row r="2" spans="1:25" ht="18" x14ac:dyDescent="0.25">
      <c r="A2" s="339" t="s">
        <v>66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40" t="s">
        <v>1</v>
      </c>
      <c r="I6" s="341"/>
      <c r="J6" s="342"/>
      <c r="K6" s="94" t="s">
        <v>26</v>
      </c>
      <c r="L6" s="95"/>
      <c r="M6" s="343" t="s">
        <v>9</v>
      </c>
      <c r="N6" s="344"/>
      <c r="O6" s="344"/>
      <c r="P6" s="344"/>
      <c r="Q6" s="344"/>
      <c r="R6" s="345"/>
      <c r="S6" s="94" t="s">
        <v>30</v>
      </c>
      <c r="T6" s="94" t="s">
        <v>10</v>
      </c>
      <c r="U6" s="93" t="s">
        <v>54</v>
      </c>
      <c r="V6" s="346" t="s">
        <v>2</v>
      </c>
      <c r="W6" s="347"/>
      <c r="X6" s="93" t="s">
        <v>0</v>
      </c>
      <c r="Y6" s="96"/>
    </row>
    <row r="7" spans="1:25" ht="22.5" x14ac:dyDescent="0.2">
      <c r="A7" s="97" t="s">
        <v>21</v>
      </c>
      <c r="B7" s="98" t="s">
        <v>118</v>
      </c>
      <c r="C7" s="98" t="s">
        <v>140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163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178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3" t="s">
        <v>100</v>
      </c>
      <c r="B10" s="234" t="s">
        <v>361</v>
      </c>
      <c r="C10" s="234" t="s">
        <v>139</v>
      </c>
      <c r="D10" s="243" t="s">
        <v>363</v>
      </c>
      <c r="E10" s="287" t="s">
        <v>362</v>
      </c>
      <c r="F10" s="236"/>
      <c r="G10" s="288"/>
      <c r="H10" s="237">
        <v>9014.4500000000007</v>
      </c>
      <c r="I10" s="238">
        <v>582.16999999999996</v>
      </c>
      <c r="J10" s="239">
        <f>H10</f>
        <v>9014.4500000000007</v>
      </c>
      <c r="K10" s="240">
        <f>IF(H10/15&lt;=SMG,0,I10/2)</f>
        <v>291.08499999999998</v>
      </c>
      <c r="L10" s="240">
        <f t="shared" ref="L10" si="0">H10+K10</f>
        <v>9305.5349999999999</v>
      </c>
      <c r="M10" s="240">
        <f>VLOOKUP(L10,Tarifa1,1)</f>
        <v>6602.71</v>
      </c>
      <c r="N10" s="240">
        <f t="shared" ref="N10" si="1">L10-M10</f>
        <v>2702.8249999999998</v>
      </c>
      <c r="O10" s="241">
        <f>VLOOKUP(L10,Tarifa1,3)</f>
        <v>0.21360000000000001</v>
      </c>
      <c r="P10" s="240">
        <f t="shared" ref="P10" si="2">N10*O10</f>
        <v>577.32341999999994</v>
      </c>
      <c r="Q10" s="242">
        <f>VLOOKUP(L10,Tarifa1,2)</f>
        <v>699.3</v>
      </c>
      <c r="R10" s="240">
        <f t="shared" ref="R10" si="3">P10+Q10</f>
        <v>1276.6234199999999</v>
      </c>
      <c r="S10" s="295">
        <f>VLOOKUP(L10,Credito1,2)</f>
        <v>0</v>
      </c>
      <c r="T10" s="240">
        <f t="shared" ref="T10" si="4">ROUND(R10-S10,2)</f>
        <v>1276.6199999999999</v>
      </c>
      <c r="U10" s="239">
        <f>-IF(T10&gt;0,0,T10)</f>
        <v>0</v>
      </c>
      <c r="V10" s="239">
        <f>IF(T10&lt;0,0,T10)</f>
        <v>1276.6199999999999</v>
      </c>
      <c r="W10" s="239">
        <f>SUM(V10:V10)</f>
        <v>1276.6199999999999</v>
      </c>
      <c r="X10" s="239">
        <f>J10+U10-W10+I10</f>
        <v>8320</v>
      </c>
      <c r="Y10" s="185"/>
    </row>
    <row r="11" spans="1:25" s="186" customFormat="1" ht="75" customHeight="1" x14ac:dyDescent="0.2">
      <c r="A11" s="233"/>
      <c r="B11" s="234" t="s">
        <v>181</v>
      </c>
      <c r="C11" s="234" t="s">
        <v>139</v>
      </c>
      <c r="D11" s="243" t="s">
        <v>252</v>
      </c>
      <c r="E11" s="235" t="s">
        <v>175</v>
      </c>
      <c r="F11" s="236">
        <v>15</v>
      </c>
      <c r="G11" s="288">
        <f>H11/F11</f>
        <v>390.16666666666669</v>
      </c>
      <c r="H11" s="237">
        <v>5852.5</v>
      </c>
      <c r="I11" s="238">
        <v>386.65</v>
      </c>
      <c r="J11" s="239">
        <f t="shared" ref="J11" si="5">SUM(H11:I11)</f>
        <v>6239.15</v>
      </c>
      <c r="K11" s="240">
        <f t="shared" ref="K11" si="6">IF(H11/15&lt;=SMG,0,I11/2)</f>
        <v>193.32499999999999</v>
      </c>
      <c r="L11" s="240">
        <f t="shared" ref="L11" si="7">H11+K11</f>
        <v>6045.8249999999998</v>
      </c>
      <c r="M11" s="240">
        <f t="shared" ref="M11" si="8">VLOOKUP(L11,Tarifa1,1)</f>
        <v>5514.76</v>
      </c>
      <c r="N11" s="240">
        <f t="shared" ref="N11" si="9">L11-M11</f>
        <v>531.0649999999996</v>
      </c>
      <c r="O11" s="241">
        <f t="shared" ref="O11" si="10">VLOOKUP(L11,Tarifa1,3)</f>
        <v>0.1792</v>
      </c>
      <c r="P11" s="240">
        <f t="shared" ref="P11" si="11">N11*O11</f>
        <v>95.166847999999931</v>
      </c>
      <c r="Q11" s="242">
        <f t="shared" ref="Q11" si="12">VLOOKUP(L11,Tarifa1,2)</f>
        <v>504.3</v>
      </c>
      <c r="R11" s="240">
        <f t="shared" ref="R11" si="13">P11+Q11</f>
        <v>599.46684799999991</v>
      </c>
      <c r="S11" s="240">
        <f t="shared" ref="S11" si="14">VLOOKUP(L11,Credito1,2)</f>
        <v>0</v>
      </c>
      <c r="T11" s="240">
        <f t="shared" ref="T11" si="15">ROUND(R11-S11,2)</f>
        <v>599.47</v>
      </c>
      <c r="U11" s="239">
        <f t="shared" ref="U11" si="16">-IF(T11&gt;0,0,T11)</f>
        <v>0</v>
      </c>
      <c r="V11" s="239">
        <f t="shared" ref="V11" si="17">IF(T11&lt;0,0,T11)</f>
        <v>599.47</v>
      </c>
      <c r="W11" s="239">
        <f>SUM(V11:V11)</f>
        <v>599.47</v>
      </c>
      <c r="X11" s="239">
        <f>J11+U11-W11</f>
        <v>5639.6799999999994</v>
      </c>
      <c r="Y11" s="185"/>
    </row>
    <row r="12" spans="1:25" s="186" customFormat="1" ht="75" customHeight="1" x14ac:dyDescent="0.2">
      <c r="A12" s="233"/>
      <c r="B12" s="234" t="s">
        <v>306</v>
      </c>
      <c r="C12" s="234" t="s">
        <v>139</v>
      </c>
      <c r="D12" s="243" t="s">
        <v>307</v>
      </c>
      <c r="E12" s="235" t="s">
        <v>175</v>
      </c>
      <c r="F12" s="236"/>
      <c r="G12" s="288"/>
      <c r="H12" s="237">
        <v>5599.5</v>
      </c>
      <c r="I12" s="238">
        <v>0</v>
      </c>
      <c r="J12" s="239">
        <f t="shared" ref="J12" si="18">SUM(H12:I12)</f>
        <v>5599.5</v>
      </c>
      <c r="K12" s="240">
        <f t="shared" ref="K12:K16" si="19">IF(H12/15&lt;=SMG,0,I12/2)</f>
        <v>0</v>
      </c>
      <c r="L12" s="240">
        <f t="shared" ref="L12:L16" si="20">H12+K12</f>
        <v>5599.5</v>
      </c>
      <c r="M12" s="240">
        <f t="shared" ref="M12:M16" si="21">VLOOKUP(L12,Tarifa1,1)</f>
        <v>5514.76</v>
      </c>
      <c r="N12" s="240">
        <f t="shared" ref="N12:N16" si="22">L12-M12</f>
        <v>84.739999999999782</v>
      </c>
      <c r="O12" s="241">
        <f t="shared" ref="O12:O16" si="23">VLOOKUP(L12,Tarifa1,3)</f>
        <v>0.1792</v>
      </c>
      <c r="P12" s="240">
        <f t="shared" ref="P12:P16" si="24">N12*O12</f>
        <v>15.185407999999962</v>
      </c>
      <c r="Q12" s="242">
        <f t="shared" ref="Q12:Q16" si="25">VLOOKUP(L12,Tarifa1,2)</f>
        <v>504.3</v>
      </c>
      <c r="R12" s="240">
        <f t="shared" ref="R12:R16" si="26">P12+Q12</f>
        <v>519.48540800000001</v>
      </c>
      <c r="S12" s="240">
        <f t="shared" ref="S12:S16" si="27">VLOOKUP(L12,Credito1,2)</f>
        <v>0</v>
      </c>
      <c r="T12" s="240">
        <f t="shared" ref="T12:T16" si="28">ROUND(R12-S12,2)</f>
        <v>519.49</v>
      </c>
      <c r="U12" s="239">
        <f t="shared" ref="U12:U13" si="29">-IF(T12&gt;0,0,T12)</f>
        <v>0</v>
      </c>
      <c r="V12" s="239">
        <f t="shared" ref="V12:V14" si="30">IF(T12&lt;0,0,T12)</f>
        <v>519.49</v>
      </c>
      <c r="W12" s="239">
        <f>SUM(V12:V12)</f>
        <v>519.49</v>
      </c>
      <c r="X12" s="239">
        <f>J12+U12-W12</f>
        <v>5080.01</v>
      </c>
      <c r="Y12" s="185"/>
    </row>
    <row r="13" spans="1:25" s="186" customFormat="1" ht="75" customHeight="1" x14ac:dyDescent="0.2">
      <c r="A13" s="233"/>
      <c r="B13" s="234" t="s">
        <v>344</v>
      </c>
      <c r="C13" s="234" t="s">
        <v>139</v>
      </c>
      <c r="D13" s="243" t="s">
        <v>340</v>
      </c>
      <c r="E13" s="235" t="s">
        <v>175</v>
      </c>
      <c r="F13" s="236"/>
      <c r="G13" s="288"/>
      <c r="H13" s="237">
        <v>3542.92</v>
      </c>
      <c r="I13" s="238">
        <v>352.58</v>
      </c>
      <c r="J13" s="239">
        <f t="shared" ref="J13" si="31">SUM(H13:I13)</f>
        <v>3895.5</v>
      </c>
      <c r="K13" s="240">
        <f t="shared" ref="K13" si="32">IF(H13/15&lt;=SMG,0,I13/2)</f>
        <v>176.29</v>
      </c>
      <c r="L13" s="240">
        <f t="shared" ref="L13" si="33">H13+K13</f>
        <v>3719.21</v>
      </c>
      <c r="M13" s="240">
        <f t="shared" ref="M13" si="34">VLOOKUP(L13,Tarifa1,1)</f>
        <v>2699.41</v>
      </c>
      <c r="N13" s="240">
        <f t="shared" ref="N13" si="35">L13-M13</f>
        <v>1019.8000000000002</v>
      </c>
      <c r="O13" s="241">
        <f t="shared" ref="O13" si="36">VLOOKUP(L13,Tarifa1,3)</f>
        <v>0.10879999999999999</v>
      </c>
      <c r="P13" s="240">
        <f t="shared" ref="P13" si="37">N13*O13</f>
        <v>110.95424000000001</v>
      </c>
      <c r="Q13" s="242">
        <f t="shared" ref="Q13" si="38">VLOOKUP(L13,Tarifa1,2)</f>
        <v>158.55000000000001</v>
      </c>
      <c r="R13" s="240">
        <f t="shared" ref="R13" si="39">P13+Q13</f>
        <v>269.50424000000004</v>
      </c>
      <c r="S13" s="240">
        <f t="shared" ref="S13" si="40">VLOOKUP(L13,Credito1,2)</f>
        <v>0</v>
      </c>
      <c r="T13" s="240">
        <f t="shared" ref="T13" si="41">ROUND(R13-S13,2)</f>
        <v>269.5</v>
      </c>
      <c r="U13" s="239">
        <f t="shared" si="29"/>
        <v>0</v>
      </c>
      <c r="V13" s="239">
        <f t="shared" si="30"/>
        <v>269.5</v>
      </c>
      <c r="W13" s="239">
        <f>SUM(V13:V13)</f>
        <v>269.5</v>
      </c>
      <c r="X13" s="239">
        <f>J13+U13-W13</f>
        <v>3626</v>
      </c>
      <c r="Y13" s="185"/>
    </row>
    <row r="14" spans="1:25" s="186" customFormat="1" ht="75" customHeight="1" x14ac:dyDescent="0.2">
      <c r="A14" s="233" t="s">
        <v>105</v>
      </c>
      <c r="B14" s="234" t="s">
        <v>182</v>
      </c>
      <c r="C14" s="234" t="s">
        <v>217</v>
      </c>
      <c r="D14" s="243" t="s">
        <v>174</v>
      </c>
      <c r="E14" s="287" t="s">
        <v>176</v>
      </c>
      <c r="F14" s="236">
        <v>15</v>
      </c>
      <c r="G14" s="288">
        <f>H14/F14</f>
        <v>290.56666666666666</v>
      </c>
      <c r="H14" s="237">
        <v>4358.5</v>
      </c>
      <c r="I14" s="238">
        <v>0</v>
      </c>
      <c r="J14" s="239">
        <f>SUM(H14:I14)</f>
        <v>4358.5</v>
      </c>
      <c r="K14" s="240">
        <f t="shared" si="19"/>
        <v>0</v>
      </c>
      <c r="L14" s="240">
        <f t="shared" si="20"/>
        <v>4358.5</v>
      </c>
      <c r="M14" s="240">
        <f t="shared" si="21"/>
        <v>2699.41</v>
      </c>
      <c r="N14" s="240">
        <f t="shared" si="22"/>
        <v>1659.0900000000001</v>
      </c>
      <c r="O14" s="241">
        <f t="shared" si="23"/>
        <v>0.10879999999999999</v>
      </c>
      <c r="P14" s="240">
        <f t="shared" si="24"/>
        <v>180.50899200000001</v>
      </c>
      <c r="Q14" s="242">
        <f t="shared" si="25"/>
        <v>158.55000000000001</v>
      </c>
      <c r="R14" s="240">
        <f t="shared" si="26"/>
        <v>339.05899199999999</v>
      </c>
      <c r="S14" s="240">
        <f t="shared" si="27"/>
        <v>0</v>
      </c>
      <c r="T14" s="240">
        <f t="shared" si="28"/>
        <v>339.06</v>
      </c>
      <c r="U14" s="239">
        <f>-IF(T14&gt;0,0,T14)</f>
        <v>0</v>
      </c>
      <c r="V14" s="239">
        <f t="shared" si="30"/>
        <v>339.06</v>
      </c>
      <c r="W14" s="239">
        <f>SUM(V14:V14)</f>
        <v>339.06</v>
      </c>
      <c r="X14" s="239">
        <f>J14+U14-W14</f>
        <v>4019.44</v>
      </c>
      <c r="Y14" s="185"/>
    </row>
    <row r="15" spans="1:25" s="186" customFormat="1" ht="75" customHeight="1" x14ac:dyDescent="0.2">
      <c r="A15" s="264"/>
      <c r="B15" s="234" t="s">
        <v>183</v>
      </c>
      <c r="C15" s="234" t="s">
        <v>139</v>
      </c>
      <c r="D15" s="243" t="s">
        <v>173</v>
      </c>
      <c r="E15" s="287" t="s">
        <v>176</v>
      </c>
      <c r="F15" s="236">
        <v>15</v>
      </c>
      <c r="G15" s="288">
        <f>H15/F15</f>
        <v>290.56666666666666</v>
      </c>
      <c r="H15" s="237">
        <v>4358.5</v>
      </c>
      <c r="I15" s="238">
        <v>283.42</v>
      </c>
      <c r="J15" s="239">
        <f>SUM(H15:I15)</f>
        <v>4641.92</v>
      </c>
      <c r="K15" s="240">
        <f t="shared" si="19"/>
        <v>141.71</v>
      </c>
      <c r="L15" s="240">
        <f t="shared" si="20"/>
        <v>4500.21</v>
      </c>
      <c r="M15" s="240">
        <f t="shared" si="21"/>
        <v>2699.41</v>
      </c>
      <c r="N15" s="240">
        <f t="shared" si="22"/>
        <v>1800.8000000000002</v>
      </c>
      <c r="O15" s="241">
        <f t="shared" si="23"/>
        <v>0.10879999999999999</v>
      </c>
      <c r="P15" s="240">
        <f t="shared" si="24"/>
        <v>195.92704000000001</v>
      </c>
      <c r="Q15" s="242">
        <f t="shared" si="25"/>
        <v>158.55000000000001</v>
      </c>
      <c r="R15" s="240">
        <f t="shared" si="26"/>
        <v>354.47703999999999</v>
      </c>
      <c r="S15" s="240">
        <f t="shared" si="27"/>
        <v>0</v>
      </c>
      <c r="T15" s="240">
        <f t="shared" si="28"/>
        <v>354.48</v>
      </c>
      <c r="U15" s="239">
        <f>-IF(T15&gt;0,0,T15)</f>
        <v>0</v>
      </c>
      <c r="V15" s="239">
        <f t="shared" ref="V15:V16" si="42">IF(T15&lt;0,0,T15)</f>
        <v>354.48</v>
      </c>
      <c r="W15" s="239">
        <f>SUM(V15:V15)</f>
        <v>354.48</v>
      </c>
      <c r="X15" s="239">
        <f>J15+U15-W15</f>
        <v>4287.4400000000005</v>
      </c>
      <c r="Y15" s="185"/>
    </row>
    <row r="16" spans="1:25" s="186" customFormat="1" ht="75" customHeight="1" x14ac:dyDescent="0.2">
      <c r="A16" s="264"/>
      <c r="B16" s="234" t="s">
        <v>345</v>
      </c>
      <c r="C16" s="234" t="s">
        <v>139</v>
      </c>
      <c r="D16" s="243" t="s">
        <v>343</v>
      </c>
      <c r="E16" s="287" t="s">
        <v>341</v>
      </c>
      <c r="F16" s="236">
        <v>15</v>
      </c>
      <c r="G16" s="288">
        <f>H16/F16</f>
        <v>223.5</v>
      </c>
      <c r="H16" s="237">
        <v>3352.5</v>
      </c>
      <c r="I16" s="238">
        <v>0</v>
      </c>
      <c r="J16" s="239">
        <f t="shared" ref="J16" si="43">SUM(H16:I16)</f>
        <v>3352.5</v>
      </c>
      <c r="K16" s="240">
        <f t="shared" si="19"/>
        <v>0</v>
      </c>
      <c r="L16" s="240">
        <f t="shared" si="20"/>
        <v>3352.5</v>
      </c>
      <c r="M16" s="240">
        <f t="shared" si="21"/>
        <v>2699.41</v>
      </c>
      <c r="N16" s="240">
        <f t="shared" si="22"/>
        <v>653.09000000000015</v>
      </c>
      <c r="O16" s="241">
        <f t="shared" si="23"/>
        <v>0.10879999999999999</v>
      </c>
      <c r="P16" s="240">
        <f t="shared" si="24"/>
        <v>71.05619200000001</v>
      </c>
      <c r="Q16" s="242">
        <f t="shared" si="25"/>
        <v>158.55000000000001</v>
      </c>
      <c r="R16" s="240">
        <f t="shared" si="26"/>
        <v>229.60619200000002</v>
      </c>
      <c r="S16" s="240">
        <f t="shared" si="27"/>
        <v>125.1</v>
      </c>
      <c r="T16" s="240">
        <f t="shared" si="28"/>
        <v>104.51</v>
      </c>
      <c r="U16" s="239">
        <f t="shared" ref="U16" si="44">-IF(T16&gt;0,0,T16)</f>
        <v>0</v>
      </c>
      <c r="V16" s="239">
        <f t="shared" si="42"/>
        <v>104.51</v>
      </c>
      <c r="W16" s="239">
        <f>SUM(V16:V16)</f>
        <v>104.51</v>
      </c>
      <c r="X16" s="239">
        <f>J16+U16-W16</f>
        <v>3247.99</v>
      </c>
      <c r="Y16" s="185"/>
    </row>
    <row r="17" spans="1:37" ht="40.5" customHeight="1" thickBot="1" x14ac:dyDescent="0.3">
      <c r="A17" s="336" t="s">
        <v>45</v>
      </c>
      <c r="B17" s="337"/>
      <c r="C17" s="337"/>
      <c r="D17" s="337"/>
      <c r="E17" s="337"/>
      <c r="F17" s="337"/>
      <c r="G17" s="338"/>
      <c r="H17" s="244">
        <f t="shared" ref="H17:X17" si="45">SUM(H10:H16)</f>
        <v>36078.870000000003</v>
      </c>
      <c r="I17" s="244">
        <f t="shared" si="45"/>
        <v>1604.82</v>
      </c>
      <c r="J17" s="244">
        <f t="shared" si="45"/>
        <v>37101.519999999997</v>
      </c>
      <c r="K17" s="245">
        <f t="shared" si="45"/>
        <v>802.41</v>
      </c>
      <c r="L17" s="245">
        <f t="shared" si="45"/>
        <v>36881.279999999999</v>
      </c>
      <c r="M17" s="245">
        <f t="shared" si="45"/>
        <v>28429.870000000003</v>
      </c>
      <c r="N17" s="245">
        <f t="shared" si="45"/>
        <v>8451.41</v>
      </c>
      <c r="O17" s="245">
        <f t="shared" si="45"/>
        <v>1.0072000000000001</v>
      </c>
      <c r="P17" s="245">
        <f t="shared" si="45"/>
        <v>1246.1221399999999</v>
      </c>
      <c r="Q17" s="245">
        <f t="shared" si="45"/>
        <v>2342.1</v>
      </c>
      <c r="R17" s="245">
        <f t="shared" si="45"/>
        <v>3588.2221399999999</v>
      </c>
      <c r="S17" s="245">
        <f t="shared" si="45"/>
        <v>125.1</v>
      </c>
      <c r="T17" s="245">
        <f t="shared" si="45"/>
        <v>3463.13</v>
      </c>
      <c r="U17" s="244">
        <f t="shared" si="45"/>
        <v>0</v>
      </c>
      <c r="V17" s="244">
        <f t="shared" si="45"/>
        <v>3463.13</v>
      </c>
      <c r="W17" s="244">
        <f t="shared" si="45"/>
        <v>3463.13</v>
      </c>
      <c r="X17" s="244">
        <f t="shared" si="45"/>
        <v>34220.559999999998</v>
      </c>
    </row>
    <row r="18" spans="1:37" ht="13.5" thickTop="1" x14ac:dyDescent="0.2"/>
    <row r="28" spans="1:37" x14ac:dyDescent="0.2">
      <c r="D28" s="78" t="s">
        <v>377</v>
      </c>
      <c r="H28" s="112"/>
      <c r="V28" s="78" t="s">
        <v>232</v>
      </c>
    </row>
    <row r="29" spans="1:37" x14ac:dyDescent="0.2">
      <c r="D29" s="78" t="s">
        <v>378</v>
      </c>
      <c r="E29" s="113"/>
      <c r="F29" s="113"/>
      <c r="G29" s="113"/>
      <c r="H29" s="113"/>
      <c r="I29" s="113"/>
      <c r="V29" s="51" t="s">
        <v>229</v>
      </c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J29" s="113"/>
      <c r="AK29" s="113"/>
    </row>
  </sheetData>
  <mergeCells count="7">
    <mergeCell ref="A17:G17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10" t="s">
        <v>90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54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118</v>
      </c>
      <c r="C7" s="64" t="s">
        <v>156</v>
      </c>
      <c r="D7" s="70" t="s">
        <v>22</v>
      </c>
      <c r="E7" s="70"/>
      <c r="F7" s="296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157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118</v>
      </c>
      <c r="C9" s="83" t="s">
        <v>156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97</v>
      </c>
      <c r="B10" s="137" t="s">
        <v>246</v>
      </c>
      <c r="C10" s="114" t="s">
        <v>139</v>
      </c>
      <c r="D10" s="119" t="s">
        <v>366</v>
      </c>
      <c r="E10" s="121" t="s">
        <v>365</v>
      </c>
      <c r="F10" s="131">
        <v>10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98</v>
      </c>
      <c r="B11" s="137" t="s">
        <v>369</v>
      </c>
      <c r="C11" s="114" t="s">
        <v>139</v>
      </c>
      <c r="D11" s="119" t="s">
        <v>367</v>
      </c>
      <c r="E11" s="121" t="s">
        <v>368</v>
      </c>
      <c r="F11" s="131">
        <v>10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" si="0">H11+K11</f>
        <v>13237</v>
      </c>
      <c r="M11" s="126">
        <f>VLOOKUP(L11,Tarifa1,1)</f>
        <v>6602.71</v>
      </c>
      <c r="N11" s="126">
        <f t="shared" ref="N11" si="1">L11-M11</f>
        <v>6634.29</v>
      </c>
      <c r="O11" s="127">
        <f>VLOOKUP(L11,Tarifa1,3)</f>
        <v>0.21360000000000001</v>
      </c>
      <c r="P11" s="126">
        <f t="shared" ref="P11" si="2">N11*O11</f>
        <v>1417.0843440000001</v>
      </c>
      <c r="Q11" s="128">
        <f>VLOOKUP(L11,Tarifa1,2)</f>
        <v>699.3</v>
      </c>
      <c r="R11" s="126">
        <f t="shared" ref="R11" si="3">P11+Q11</f>
        <v>2116.3843440000001</v>
      </c>
      <c r="S11" s="126">
        <f>VLOOKUP(L11,Credito1,2)</f>
        <v>0</v>
      </c>
      <c r="T11" s="126">
        <f t="shared" ref="T11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126</v>
      </c>
      <c r="C12" s="137" t="s">
        <v>139</v>
      </c>
      <c r="D12" s="119" t="s">
        <v>67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ref="L12" si="5">H12+K12</f>
        <v>5311</v>
      </c>
      <c r="M12" s="126">
        <f>VLOOKUP(L12,Tarifa1,1)</f>
        <v>4744.0600000000004</v>
      </c>
      <c r="N12" s="126">
        <f t="shared" ref="N12" si="6">L12-M12</f>
        <v>566.9399999999996</v>
      </c>
      <c r="O12" s="127">
        <f>VLOOKUP(L12,Tarifa1,3)</f>
        <v>0.16</v>
      </c>
      <c r="P12" s="126">
        <f t="shared" ref="P12" si="7">N12*O12</f>
        <v>90.710399999999936</v>
      </c>
      <c r="Q12" s="128">
        <f>VLOOKUP(L12,Tarifa1,2)</f>
        <v>381</v>
      </c>
      <c r="R12" s="126">
        <f t="shared" ref="R12" si="8">P12+Q12</f>
        <v>471.71039999999994</v>
      </c>
      <c r="S12" s="126">
        <f>VLOOKUP(L12,Credito1,2)</f>
        <v>0</v>
      </c>
      <c r="T12" s="126">
        <f t="shared" ref="T12" si="9">ROUND(R12-S12,2)</f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118</v>
      </c>
      <c r="C13" s="138" t="s">
        <v>156</v>
      </c>
      <c r="D13" s="139" t="s">
        <v>147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99</v>
      </c>
      <c r="B14" s="137" t="s">
        <v>234</v>
      </c>
      <c r="C14" s="114" t="s">
        <v>139</v>
      </c>
      <c r="D14" s="134" t="s">
        <v>184</v>
      </c>
      <c r="E14" s="121" t="s">
        <v>113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10">H14+K14</f>
        <v>5947</v>
      </c>
      <c r="M14" s="126">
        <f>VLOOKUP(L14,Tarifa1,1)</f>
        <v>5514.76</v>
      </c>
      <c r="N14" s="126">
        <f t="shared" ref="N14" si="11">L14-M14</f>
        <v>432.23999999999978</v>
      </c>
      <c r="O14" s="127">
        <f>VLOOKUP(L14,Tarifa1,3)</f>
        <v>0.1792</v>
      </c>
      <c r="P14" s="126">
        <f t="shared" ref="P14" si="12">N14*O14</f>
        <v>77.457407999999958</v>
      </c>
      <c r="Q14" s="128">
        <f>VLOOKUP(L14,Tarifa1,2)</f>
        <v>504.3</v>
      </c>
      <c r="R14" s="126">
        <f t="shared" ref="R14" si="13">P14+Q14</f>
        <v>581.75740799999994</v>
      </c>
      <c r="S14" s="126">
        <f>VLOOKUP(L14,Credito1,2)</f>
        <v>0</v>
      </c>
      <c r="T14" s="126">
        <f t="shared" ref="T14" si="14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118</v>
      </c>
      <c r="C15" s="138" t="s">
        <v>156</v>
      </c>
      <c r="D15" s="139" t="s">
        <v>148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101</v>
      </c>
      <c r="B16" s="114" t="s">
        <v>127</v>
      </c>
      <c r="C16" s="114" t="s">
        <v>139</v>
      </c>
      <c r="D16" s="119" t="s">
        <v>115</v>
      </c>
      <c r="E16" s="119" t="s">
        <v>68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5">H16+K16</f>
        <v>4754</v>
      </c>
      <c r="M16" s="126">
        <f>VLOOKUP(L16,Tarifa1,1)</f>
        <v>4744.0600000000004</v>
      </c>
      <c r="N16" s="126">
        <f t="shared" ref="N16" si="16">L16-M16</f>
        <v>9.9399999999995998</v>
      </c>
      <c r="O16" s="127">
        <f>VLOOKUP(L16,Tarifa1,3)</f>
        <v>0.16</v>
      </c>
      <c r="P16" s="126">
        <f t="shared" ref="P16" si="17">N16*O16</f>
        <v>1.5903999999999361</v>
      </c>
      <c r="Q16" s="128">
        <f>VLOOKUP(L16,Tarifa1,2)</f>
        <v>381</v>
      </c>
      <c r="R16" s="126">
        <f t="shared" ref="R16" si="18">P16+Q16</f>
        <v>382.59039999999993</v>
      </c>
      <c r="S16" s="126">
        <f>VLOOKUP(L16,Credito1,2)</f>
        <v>0</v>
      </c>
      <c r="T16" s="126">
        <f t="shared" ref="T16" si="19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118</v>
      </c>
      <c r="C17" s="138" t="s">
        <v>156</v>
      </c>
      <c r="D17" s="139" t="s">
        <v>149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102</v>
      </c>
      <c r="B18" s="137" t="s">
        <v>235</v>
      </c>
      <c r="C18" s="114" t="s">
        <v>139</v>
      </c>
      <c r="D18" s="119" t="s">
        <v>185</v>
      </c>
      <c r="E18" s="119" t="s">
        <v>96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20">H18+K18</f>
        <v>9744.5</v>
      </c>
      <c r="M18" s="126">
        <f>VLOOKUP(L18,Tarifa1,1)</f>
        <v>6602.71</v>
      </c>
      <c r="N18" s="126">
        <f t="shared" ref="N18:N19" si="21">L18-M18</f>
        <v>3141.79</v>
      </c>
      <c r="O18" s="127">
        <f>VLOOKUP(L18,Tarifa1,3)</f>
        <v>0.21360000000000001</v>
      </c>
      <c r="P18" s="126">
        <f t="shared" ref="P18:P19" si="22">N18*O18</f>
        <v>671.08634400000005</v>
      </c>
      <c r="Q18" s="128">
        <f>VLOOKUP(L18,Tarifa1,2)</f>
        <v>699.3</v>
      </c>
      <c r="R18" s="126">
        <f t="shared" ref="R18:R19" si="23">P18+Q18</f>
        <v>1370.386344</v>
      </c>
      <c r="S18" s="126">
        <f>VLOOKUP(L18,Credito1,2)</f>
        <v>0</v>
      </c>
      <c r="T18" s="126">
        <f t="shared" ref="T18:T19" si="24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263</v>
      </c>
      <c r="C19" s="145" t="s">
        <v>139</v>
      </c>
      <c r="D19" s="146" t="s">
        <v>253</v>
      </c>
      <c r="E19" s="147" t="s">
        <v>254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20"/>
        <v>4256.5</v>
      </c>
      <c r="M19" s="126">
        <f>VLOOKUP(L19,Tarifa1,1)</f>
        <v>2699.41</v>
      </c>
      <c r="N19" s="126">
        <f t="shared" si="21"/>
        <v>1557.0900000000001</v>
      </c>
      <c r="O19" s="127">
        <f>VLOOKUP(L19,Tarifa1,3)</f>
        <v>0.10879999999999999</v>
      </c>
      <c r="P19" s="126">
        <f t="shared" si="22"/>
        <v>169.41139200000001</v>
      </c>
      <c r="Q19" s="128">
        <f>VLOOKUP(L19,Tarifa1,2)</f>
        <v>158.55000000000001</v>
      </c>
      <c r="R19" s="126">
        <f t="shared" si="23"/>
        <v>327.96139200000005</v>
      </c>
      <c r="S19" s="126">
        <f>VLOOKUP(L19,Credito1,2)</f>
        <v>0</v>
      </c>
      <c r="T19" s="126">
        <f t="shared" si="24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118</v>
      </c>
      <c r="C20" s="138" t="s">
        <v>156</v>
      </c>
      <c r="D20" s="139" t="s">
        <v>150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103</v>
      </c>
      <c r="B21" s="114" t="s">
        <v>128</v>
      </c>
      <c r="C21" s="114" t="s">
        <v>139</v>
      </c>
      <c r="D21" s="119" t="s">
        <v>69</v>
      </c>
      <c r="E21" s="119" t="s">
        <v>89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5">H21+K21</f>
        <v>2624</v>
      </c>
      <c r="M21" s="126">
        <f>VLOOKUP(L21,Tarifa1,1)</f>
        <v>318.01</v>
      </c>
      <c r="N21" s="126">
        <f t="shared" ref="N21" si="26">L21-M21</f>
        <v>2305.9899999999998</v>
      </c>
      <c r="O21" s="127">
        <f>VLOOKUP(L21,Tarifa1,3)</f>
        <v>6.4000000000000001E-2</v>
      </c>
      <c r="P21" s="126">
        <f t="shared" ref="P21" si="27">N21*O21</f>
        <v>147.58336</v>
      </c>
      <c r="Q21" s="128">
        <f>VLOOKUP(L21,Tarifa1,2)</f>
        <v>6.15</v>
      </c>
      <c r="R21" s="126">
        <f t="shared" ref="R21" si="28">P21+Q21</f>
        <v>153.73336</v>
      </c>
      <c r="S21" s="126">
        <f>VLOOKUP(L21,Credito1,2)</f>
        <v>160.35</v>
      </c>
      <c r="T21" s="126">
        <f t="shared" ref="T21" si="29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69" customFormat="1" ht="54.95" customHeight="1" x14ac:dyDescent="0.2">
      <c r="A23" s="114"/>
      <c r="AE23" s="77"/>
    </row>
    <row r="24" spans="1:3222" s="90" customFormat="1" ht="54.95" customHeight="1" x14ac:dyDescent="0.2">
      <c r="A24" s="114" t="s">
        <v>104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8.5" customHeight="1" x14ac:dyDescent="0.25">
      <c r="A25" s="152"/>
      <c r="B25" s="310" t="s">
        <v>90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1.75" customHeight="1" x14ac:dyDescent="0.25">
      <c r="A26" s="152"/>
      <c r="B26" s="310" t="s">
        <v>66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23.25" customHeight="1" x14ac:dyDescent="0.2">
      <c r="A27" s="152"/>
      <c r="B27" s="311" t="s">
        <v>380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3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10.5" customHeight="1" x14ac:dyDescent="0.2">
      <c r="A29" s="152"/>
      <c r="B29" s="50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38" t="s">
        <v>118</v>
      </c>
      <c r="C30" s="138" t="s">
        <v>156</v>
      </c>
      <c r="D30" s="139" t="s">
        <v>151</v>
      </c>
      <c r="E30" s="140" t="s">
        <v>62</v>
      </c>
      <c r="F30" s="140"/>
      <c r="G30" s="140"/>
      <c r="H30" s="141">
        <f>SUM(H31:H32)</f>
        <v>5568</v>
      </c>
      <c r="I30" s="141">
        <f>SUM(I31:I32)</f>
        <v>0</v>
      </c>
      <c r="J30" s="141">
        <f>SUM(J31:J32)</f>
        <v>5568</v>
      </c>
      <c r="K30" s="140"/>
      <c r="L30" s="140"/>
      <c r="M30" s="140"/>
      <c r="N30" s="140"/>
      <c r="O30" s="140"/>
      <c r="P30" s="140"/>
      <c r="Q30" s="143"/>
      <c r="R30" s="140"/>
      <c r="S30" s="140"/>
      <c r="T30" s="142"/>
      <c r="U30" s="141">
        <f>SUM(U31:U32)</f>
        <v>0</v>
      </c>
      <c r="V30" s="141">
        <f>SUM(V31:V32)</f>
        <v>44.8</v>
      </c>
      <c r="W30" s="141">
        <f>SUM(W31:W32)</f>
        <v>44.8</v>
      </c>
      <c r="X30" s="141">
        <f>SUM(X31:X32)</f>
        <v>5523.2</v>
      </c>
      <c r="Y30" s="87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90" customFormat="1" ht="54.75" customHeight="1" x14ac:dyDescent="0.2">
      <c r="A31" s="152"/>
      <c r="B31" s="114" t="s">
        <v>130</v>
      </c>
      <c r="C31" s="114" t="s">
        <v>139</v>
      </c>
      <c r="D31" s="122" t="s">
        <v>106</v>
      </c>
      <c r="E31" s="122" t="s">
        <v>203</v>
      </c>
      <c r="F31" s="149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ref="L31:L32" si="30">H31+K31</f>
        <v>2784</v>
      </c>
      <c r="M31" s="126">
        <f>VLOOKUP(L31,Tarifa1,1)</f>
        <v>2699.41</v>
      </c>
      <c r="N31" s="126">
        <f t="shared" ref="N31:N32" si="31">L31-M31</f>
        <v>84.590000000000146</v>
      </c>
      <c r="O31" s="127">
        <f>VLOOKUP(L31,Tarifa1,3)</f>
        <v>0.10879999999999999</v>
      </c>
      <c r="P31" s="126">
        <f t="shared" ref="P31:P32" si="32">N31*O31</f>
        <v>9.2033920000000151</v>
      </c>
      <c r="Q31" s="128">
        <f>VLOOKUP(L31,Tarifa1,2)</f>
        <v>158.55000000000001</v>
      </c>
      <c r="R31" s="126">
        <f t="shared" ref="R31:R32" si="33">P31+Q31</f>
        <v>167.75339200000002</v>
      </c>
      <c r="S31" s="126">
        <f>VLOOKUP(L31,Credito1,2)</f>
        <v>145.35</v>
      </c>
      <c r="T31" s="126">
        <f t="shared" ref="T31:T32" si="34">ROUND(R31-S31,2)</f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89"/>
      <c r="Z31" s="118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69"/>
      <c r="BBC31" s="69"/>
      <c r="BBD31" s="69"/>
      <c r="BBE31" s="69"/>
      <c r="BBF31" s="69"/>
      <c r="BBG31" s="69"/>
      <c r="BBH31" s="69"/>
      <c r="BBI31" s="69"/>
      <c r="BBJ31" s="69"/>
      <c r="BBK31" s="69"/>
      <c r="BBL31" s="69"/>
      <c r="BBM31" s="69"/>
      <c r="BBN31" s="69"/>
      <c r="BBO31" s="69"/>
      <c r="BBP31" s="69"/>
      <c r="BBQ31" s="69"/>
      <c r="BBR31" s="69"/>
      <c r="BBS31" s="69"/>
      <c r="BBT31" s="69"/>
      <c r="BBU31" s="69"/>
      <c r="BBV31" s="69"/>
      <c r="BBW31" s="69"/>
      <c r="BBX31" s="69"/>
      <c r="BBY31" s="69"/>
      <c r="BBZ31" s="69"/>
      <c r="BCA31" s="69"/>
      <c r="BCB31" s="69"/>
      <c r="BCC31" s="69"/>
      <c r="BCD31" s="69"/>
      <c r="BCE31" s="69"/>
      <c r="BCF31" s="69"/>
      <c r="BCG31" s="69"/>
      <c r="BCH31" s="69"/>
      <c r="BCI31" s="69"/>
      <c r="BCJ31" s="69"/>
      <c r="BCK31" s="69"/>
      <c r="BCL31" s="69"/>
      <c r="BCM31" s="69"/>
      <c r="BCN31" s="69"/>
      <c r="BCO31" s="69"/>
      <c r="BCP31" s="69"/>
      <c r="BCQ31" s="69"/>
      <c r="BCR31" s="69"/>
      <c r="BCS31" s="69"/>
      <c r="BCT31" s="69"/>
      <c r="BCU31" s="69"/>
      <c r="BCV31" s="69"/>
      <c r="BCW31" s="69"/>
      <c r="BCX31" s="69"/>
      <c r="BCY31" s="69"/>
      <c r="BCZ31" s="69"/>
      <c r="BDA31" s="69"/>
      <c r="BDB31" s="69"/>
      <c r="BDC31" s="69"/>
      <c r="BDD31" s="69"/>
      <c r="BDE31" s="69"/>
      <c r="BDF31" s="69"/>
      <c r="BDG31" s="69"/>
      <c r="BDH31" s="69"/>
      <c r="BDI31" s="69"/>
      <c r="BDJ31" s="69"/>
      <c r="BDK31" s="69"/>
      <c r="BDL31" s="69"/>
      <c r="BDM31" s="69"/>
      <c r="BDN31" s="69"/>
      <c r="BDO31" s="69"/>
      <c r="BDP31" s="69"/>
      <c r="BDQ31" s="69"/>
      <c r="BDR31" s="69"/>
      <c r="BDS31" s="69"/>
      <c r="BDT31" s="69"/>
      <c r="BDU31" s="69"/>
      <c r="BDV31" s="69"/>
      <c r="BDW31" s="69"/>
      <c r="BDX31" s="69"/>
      <c r="BDY31" s="69"/>
      <c r="BDZ31" s="69"/>
      <c r="BEA31" s="69"/>
      <c r="BEB31" s="69"/>
      <c r="BEC31" s="69"/>
      <c r="BED31" s="69"/>
      <c r="BEE31" s="69"/>
      <c r="BEF31" s="69"/>
      <c r="BEG31" s="69"/>
      <c r="BEH31" s="69"/>
      <c r="BEI31" s="69"/>
      <c r="BEJ31" s="69"/>
      <c r="BEK31" s="69"/>
      <c r="BEL31" s="69"/>
      <c r="BEM31" s="69"/>
      <c r="BEN31" s="69"/>
      <c r="BEO31" s="69"/>
      <c r="BEP31" s="69"/>
      <c r="BEQ31" s="69"/>
      <c r="BER31" s="69"/>
      <c r="BES31" s="69"/>
      <c r="BET31" s="69"/>
      <c r="BEU31" s="69"/>
      <c r="BEV31" s="69"/>
      <c r="BEW31" s="69"/>
      <c r="BEX31" s="69"/>
      <c r="BEY31" s="69"/>
      <c r="BEZ31" s="69"/>
      <c r="BFA31" s="69"/>
      <c r="BFB31" s="69"/>
      <c r="BFC31" s="69"/>
      <c r="BFD31" s="69"/>
      <c r="BFE31" s="69"/>
      <c r="BFF31" s="69"/>
      <c r="BFG31" s="69"/>
      <c r="BFH31" s="69"/>
      <c r="BFI31" s="69"/>
      <c r="BFJ31" s="69"/>
      <c r="BFK31" s="69"/>
      <c r="BFL31" s="69"/>
      <c r="BFM31" s="69"/>
      <c r="BFN31" s="69"/>
      <c r="BFO31" s="69"/>
      <c r="BFP31" s="69"/>
      <c r="BFQ31" s="69"/>
      <c r="BFR31" s="69"/>
      <c r="BFS31" s="69"/>
      <c r="BFT31" s="69"/>
      <c r="BFU31" s="69"/>
      <c r="BFV31" s="69"/>
      <c r="BFW31" s="69"/>
      <c r="BFX31" s="69"/>
      <c r="BFY31" s="69"/>
      <c r="BFZ31" s="69"/>
      <c r="BGA31" s="69"/>
      <c r="BGB31" s="69"/>
      <c r="BGC31" s="69"/>
      <c r="BGD31" s="69"/>
      <c r="BGE31" s="69"/>
      <c r="BGF31" s="69"/>
      <c r="BGG31" s="69"/>
      <c r="BGH31" s="69"/>
      <c r="BGI31" s="69"/>
      <c r="BGJ31" s="69"/>
      <c r="BGK31" s="69"/>
      <c r="BGL31" s="69"/>
      <c r="BGM31" s="69"/>
      <c r="BGN31" s="69"/>
      <c r="BGO31" s="69"/>
      <c r="BGP31" s="69"/>
      <c r="BGQ31" s="69"/>
      <c r="BGR31" s="69"/>
      <c r="BGS31" s="69"/>
      <c r="BGT31" s="69"/>
      <c r="BGU31" s="69"/>
      <c r="BGV31" s="69"/>
      <c r="BGW31" s="69"/>
      <c r="BGX31" s="69"/>
      <c r="BGY31" s="69"/>
      <c r="BGZ31" s="69"/>
      <c r="BHA31" s="69"/>
      <c r="BHB31" s="69"/>
      <c r="BHC31" s="69"/>
      <c r="BHD31" s="69"/>
      <c r="BHE31" s="69"/>
      <c r="BHF31" s="69"/>
      <c r="BHG31" s="69"/>
      <c r="BHH31" s="69"/>
      <c r="BHI31" s="69"/>
      <c r="BHJ31" s="69"/>
      <c r="BHK31" s="69"/>
      <c r="BHL31" s="69"/>
      <c r="BHM31" s="69"/>
      <c r="BHN31" s="69"/>
      <c r="BHO31" s="69"/>
      <c r="BHP31" s="69"/>
      <c r="BHQ31" s="69"/>
      <c r="BHR31" s="69"/>
      <c r="BHS31" s="69"/>
      <c r="BHT31" s="69"/>
      <c r="BHU31" s="69"/>
      <c r="BHV31" s="69"/>
      <c r="BHW31" s="69"/>
      <c r="BHX31" s="69"/>
      <c r="BHY31" s="69"/>
      <c r="BHZ31" s="69"/>
      <c r="BIA31" s="69"/>
      <c r="BIB31" s="69"/>
      <c r="BIC31" s="69"/>
      <c r="BID31" s="69"/>
      <c r="BIE31" s="69"/>
      <c r="BIF31" s="69"/>
      <c r="BIG31" s="69"/>
      <c r="BIH31" s="69"/>
      <c r="BII31" s="69"/>
      <c r="BIJ31" s="69"/>
      <c r="BIK31" s="69"/>
      <c r="BIL31" s="69"/>
      <c r="BIM31" s="69"/>
      <c r="BIN31" s="69"/>
      <c r="BIO31" s="69"/>
      <c r="BIP31" s="69"/>
      <c r="BIQ31" s="69"/>
      <c r="BIR31" s="69"/>
      <c r="BIS31" s="69"/>
      <c r="BIT31" s="69"/>
      <c r="BIU31" s="69"/>
      <c r="BIV31" s="69"/>
      <c r="BIW31" s="69"/>
      <c r="BIX31" s="69"/>
      <c r="BIY31" s="69"/>
      <c r="BIZ31" s="69"/>
      <c r="BJA31" s="69"/>
      <c r="BJB31" s="69"/>
      <c r="BJC31" s="69"/>
      <c r="BJD31" s="69"/>
      <c r="BJE31" s="69"/>
      <c r="BJF31" s="69"/>
      <c r="BJG31" s="69"/>
      <c r="BJH31" s="69"/>
      <c r="BJI31" s="69"/>
      <c r="BJJ31" s="69"/>
      <c r="BJK31" s="69"/>
      <c r="BJL31" s="69"/>
      <c r="BJM31" s="69"/>
      <c r="BJN31" s="69"/>
      <c r="BJO31" s="69"/>
      <c r="BJP31" s="69"/>
      <c r="BJQ31" s="69"/>
      <c r="BJR31" s="69"/>
      <c r="BJS31" s="69"/>
      <c r="BJT31" s="69"/>
      <c r="BJU31" s="69"/>
      <c r="BJV31" s="69"/>
      <c r="BJW31" s="69"/>
      <c r="BJX31" s="69"/>
      <c r="BJY31" s="69"/>
      <c r="BJZ31" s="69"/>
      <c r="BKA31" s="69"/>
      <c r="BKB31" s="69"/>
      <c r="BKC31" s="69"/>
      <c r="BKD31" s="69"/>
      <c r="BKE31" s="69"/>
      <c r="BKF31" s="69"/>
      <c r="BKG31" s="69"/>
      <c r="BKH31" s="69"/>
      <c r="BKI31" s="69"/>
      <c r="BKJ31" s="69"/>
      <c r="BKK31" s="69"/>
      <c r="BKL31" s="69"/>
      <c r="BKM31" s="69"/>
      <c r="BKN31" s="69"/>
      <c r="BKO31" s="69"/>
      <c r="BKP31" s="69"/>
      <c r="BKQ31" s="69"/>
      <c r="BKR31" s="69"/>
      <c r="BKS31" s="69"/>
      <c r="BKT31" s="69"/>
      <c r="BKU31" s="69"/>
      <c r="BKV31" s="69"/>
      <c r="BKW31" s="69"/>
      <c r="BKX31" s="69"/>
      <c r="BKY31" s="69"/>
      <c r="BKZ31" s="69"/>
      <c r="BLA31" s="69"/>
      <c r="BLB31" s="69"/>
      <c r="BLC31" s="69"/>
      <c r="BLD31" s="69"/>
      <c r="BLE31" s="69"/>
      <c r="BLF31" s="69"/>
      <c r="BLG31" s="69"/>
      <c r="BLH31" s="69"/>
      <c r="BLI31" s="69"/>
      <c r="BLJ31" s="69"/>
      <c r="BLK31" s="69"/>
      <c r="BLL31" s="69"/>
      <c r="BLM31" s="69"/>
      <c r="BLN31" s="69"/>
      <c r="BLO31" s="69"/>
      <c r="BLP31" s="69"/>
      <c r="BLQ31" s="69"/>
      <c r="BLR31" s="69"/>
      <c r="BLS31" s="69"/>
      <c r="BLT31" s="69"/>
      <c r="BLU31" s="69"/>
      <c r="BLV31" s="69"/>
      <c r="BLW31" s="69"/>
      <c r="BLX31" s="69"/>
      <c r="BLY31" s="69"/>
      <c r="BLZ31" s="69"/>
      <c r="BMA31" s="69"/>
      <c r="BMB31" s="69"/>
      <c r="BMC31" s="69"/>
      <c r="BMD31" s="69"/>
      <c r="BME31" s="69"/>
      <c r="BMF31" s="69"/>
      <c r="BMG31" s="69"/>
      <c r="BMH31" s="69"/>
      <c r="BMI31" s="69"/>
      <c r="BMJ31" s="69"/>
      <c r="BMK31" s="69"/>
      <c r="BML31" s="69"/>
      <c r="BMM31" s="69"/>
      <c r="BMN31" s="69"/>
      <c r="BMO31" s="69"/>
      <c r="BMP31" s="69"/>
      <c r="BMQ31" s="69"/>
      <c r="BMR31" s="69"/>
      <c r="BMS31" s="69"/>
      <c r="BMT31" s="69"/>
      <c r="BMU31" s="69"/>
      <c r="BMV31" s="69"/>
      <c r="BMW31" s="69"/>
      <c r="BMX31" s="69"/>
      <c r="BMY31" s="69"/>
      <c r="BMZ31" s="69"/>
      <c r="BNA31" s="69"/>
      <c r="BNB31" s="69"/>
      <c r="BNC31" s="69"/>
      <c r="BND31" s="69"/>
      <c r="BNE31" s="69"/>
      <c r="BNF31" s="69"/>
      <c r="BNG31" s="69"/>
      <c r="BNH31" s="69"/>
      <c r="BNI31" s="69"/>
      <c r="BNJ31" s="69"/>
      <c r="BNK31" s="69"/>
      <c r="BNL31" s="69"/>
      <c r="BNM31" s="69"/>
      <c r="BNN31" s="69"/>
      <c r="BNO31" s="69"/>
      <c r="BNP31" s="69"/>
      <c r="BNQ31" s="69"/>
      <c r="BNR31" s="69"/>
      <c r="BNS31" s="69"/>
      <c r="BNT31" s="69"/>
      <c r="BNU31" s="69"/>
      <c r="BNV31" s="69"/>
      <c r="BNW31" s="69"/>
      <c r="BNX31" s="69"/>
      <c r="BNY31" s="69"/>
      <c r="BNZ31" s="69"/>
      <c r="BOA31" s="69"/>
      <c r="BOB31" s="69"/>
      <c r="BOC31" s="69"/>
      <c r="BOD31" s="69"/>
      <c r="BOE31" s="69"/>
      <c r="BOF31" s="69"/>
      <c r="BOG31" s="69"/>
      <c r="BOH31" s="69"/>
      <c r="BOI31" s="69"/>
      <c r="BOJ31" s="69"/>
      <c r="BOK31" s="69"/>
      <c r="BOL31" s="69"/>
      <c r="BOM31" s="69"/>
      <c r="BON31" s="69"/>
      <c r="BOO31" s="69"/>
      <c r="BOP31" s="69"/>
      <c r="BOQ31" s="69"/>
      <c r="BOR31" s="69"/>
      <c r="BOS31" s="69"/>
      <c r="BOT31" s="69"/>
      <c r="BOU31" s="69"/>
      <c r="BOV31" s="69"/>
      <c r="BOW31" s="69"/>
      <c r="BOX31" s="69"/>
      <c r="BOY31" s="69"/>
      <c r="BOZ31" s="69"/>
      <c r="BPA31" s="69"/>
      <c r="BPB31" s="69"/>
      <c r="BPC31" s="69"/>
      <c r="BPD31" s="69"/>
      <c r="BPE31" s="69"/>
      <c r="BPF31" s="69"/>
      <c r="BPG31" s="69"/>
      <c r="BPH31" s="69"/>
      <c r="BPI31" s="69"/>
      <c r="BPJ31" s="69"/>
      <c r="BPK31" s="69"/>
      <c r="BPL31" s="69"/>
      <c r="BPM31" s="69"/>
      <c r="BPN31" s="69"/>
      <c r="BPO31" s="69"/>
      <c r="BPP31" s="69"/>
      <c r="BPQ31" s="69"/>
      <c r="BPR31" s="69"/>
      <c r="BPS31" s="69"/>
      <c r="BPT31" s="69"/>
      <c r="BPU31" s="69"/>
      <c r="BPV31" s="69"/>
      <c r="BPW31" s="69"/>
      <c r="BPX31" s="69"/>
      <c r="BPY31" s="69"/>
      <c r="BPZ31" s="69"/>
      <c r="BQA31" s="69"/>
      <c r="BQB31" s="69"/>
      <c r="BQC31" s="69"/>
      <c r="BQD31" s="69"/>
      <c r="BQE31" s="69"/>
      <c r="BQF31" s="69"/>
      <c r="BQG31" s="69"/>
      <c r="BQH31" s="69"/>
      <c r="BQI31" s="69"/>
      <c r="BQJ31" s="69"/>
      <c r="BQK31" s="69"/>
      <c r="BQL31" s="69"/>
      <c r="BQM31" s="69"/>
      <c r="BQN31" s="69"/>
      <c r="BQO31" s="69"/>
      <c r="BQP31" s="69"/>
      <c r="BQQ31" s="69"/>
      <c r="BQR31" s="69"/>
      <c r="BQS31" s="69"/>
      <c r="BQT31" s="69"/>
      <c r="BQU31" s="69"/>
      <c r="BQV31" s="69"/>
      <c r="BQW31" s="69"/>
      <c r="BQX31" s="69"/>
      <c r="BQY31" s="69"/>
      <c r="BQZ31" s="69"/>
      <c r="BRA31" s="69"/>
      <c r="BRB31" s="69"/>
      <c r="BRC31" s="69"/>
      <c r="BRD31" s="69"/>
      <c r="BRE31" s="69"/>
      <c r="BRF31" s="69"/>
      <c r="BRG31" s="69"/>
      <c r="BRH31" s="69"/>
      <c r="BRI31" s="69"/>
      <c r="BRJ31" s="69"/>
      <c r="BRK31" s="69"/>
      <c r="BRL31" s="69"/>
      <c r="BRM31" s="69"/>
      <c r="BRN31" s="69"/>
      <c r="BRO31" s="69"/>
      <c r="BRP31" s="69"/>
      <c r="BRQ31" s="69"/>
      <c r="BRR31" s="69"/>
      <c r="BRS31" s="69"/>
      <c r="BRT31" s="69"/>
      <c r="BRU31" s="69"/>
      <c r="BRV31" s="69"/>
      <c r="BRW31" s="69"/>
      <c r="BRX31" s="69"/>
      <c r="BRY31" s="69"/>
      <c r="BRZ31" s="69"/>
      <c r="BSA31" s="69"/>
      <c r="BSB31" s="69"/>
      <c r="BSC31" s="69"/>
      <c r="BSD31" s="69"/>
      <c r="BSE31" s="69"/>
      <c r="BSF31" s="69"/>
      <c r="BSG31" s="69"/>
      <c r="BSH31" s="69"/>
      <c r="BSI31" s="69"/>
      <c r="BSJ31" s="69"/>
      <c r="BSK31" s="69"/>
      <c r="BSL31" s="69"/>
      <c r="BSM31" s="69"/>
      <c r="BSN31" s="69"/>
      <c r="BSO31" s="69"/>
      <c r="BSP31" s="69"/>
      <c r="BSQ31" s="69"/>
      <c r="BSR31" s="69"/>
      <c r="BSS31" s="69"/>
      <c r="BST31" s="69"/>
      <c r="BSU31" s="69"/>
      <c r="BSV31" s="69"/>
      <c r="BSW31" s="69"/>
      <c r="BSX31" s="69"/>
      <c r="BSY31" s="69"/>
      <c r="BSZ31" s="69"/>
      <c r="BTA31" s="69"/>
      <c r="BTB31" s="69"/>
      <c r="BTC31" s="69"/>
      <c r="BTD31" s="69"/>
      <c r="BTE31" s="69"/>
      <c r="BTF31" s="69"/>
      <c r="BTG31" s="69"/>
      <c r="BTH31" s="69"/>
      <c r="BTI31" s="69"/>
      <c r="BTJ31" s="69"/>
      <c r="BTK31" s="69"/>
      <c r="BTL31" s="69"/>
      <c r="BTM31" s="69"/>
      <c r="BTN31" s="69"/>
      <c r="BTO31" s="69"/>
      <c r="BTP31" s="69"/>
      <c r="BTQ31" s="69"/>
      <c r="BTR31" s="69"/>
      <c r="BTS31" s="69"/>
      <c r="BTT31" s="69"/>
      <c r="BTU31" s="69"/>
      <c r="BTV31" s="69"/>
      <c r="BTW31" s="69"/>
      <c r="BTX31" s="69"/>
      <c r="BTY31" s="69"/>
      <c r="BTZ31" s="69"/>
      <c r="BUA31" s="69"/>
      <c r="BUB31" s="69"/>
      <c r="BUC31" s="69"/>
      <c r="BUD31" s="69"/>
      <c r="BUE31" s="69"/>
      <c r="BUF31" s="69"/>
      <c r="BUG31" s="69"/>
      <c r="BUH31" s="69"/>
      <c r="BUI31" s="69"/>
      <c r="BUJ31" s="69"/>
      <c r="BUK31" s="69"/>
      <c r="BUL31" s="69"/>
      <c r="BUM31" s="69"/>
      <c r="BUN31" s="69"/>
      <c r="BUO31" s="69"/>
      <c r="BUP31" s="69"/>
      <c r="BUQ31" s="69"/>
      <c r="BUR31" s="69"/>
      <c r="BUS31" s="69"/>
      <c r="BUT31" s="69"/>
      <c r="BUU31" s="69"/>
      <c r="BUV31" s="69"/>
      <c r="BUW31" s="69"/>
      <c r="BUX31" s="69"/>
      <c r="BUY31" s="69"/>
      <c r="BUZ31" s="69"/>
      <c r="BVA31" s="69"/>
      <c r="BVB31" s="69"/>
      <c r="BVC31" s="69"/>
      <c r="BVD31" s="69"/>
      <c r="BVE31" s="69"/>
      <c r="BVF31" s="69"/>
      <c r="BVG31" s="69"/>
      <c r="BVH31" s="69"/>
      <c r="BVI31" s="69"/>
      <c r="BVJ31" s="69"/>
      <c r="BVK31" s="69"/>
      <c r="BVL31" s="69"/>
      <c r="BVM31" s="69"/>
      <c r="BVN31" s="69"/>
      <c r="BVO31" s="69"/>
      <c r="BVP31" s="69"/>
      <c r="BVQ31" s="69"/>
      <c r="BVR31" s="69"/>
      <c r="BVS31" s="69"/>
      <c r="BVT31" s="69"/>
      <c r="BVU31" s="69"/>
      <c r="BVV31" s="69"/>
      <c r="BVW31" s="69"/>
      <c r="BVX31" s="69"/>
      <c r="BVY31" s="69"/>
      <c r="BVZ31" s="69"/>
      <c r="BWA31" s="69"/>
      <c r="BWB31" s="69"/>
      <c r="BWC31" s="69"/>
      <c r="BWD31" s="69"/>
      <c r="BWE31" s="69"/>
      <c r="BWF31" s="69"/>
      <c r="BWG31" s="69"/>
      <c r="BWH31" s="69"/>
      <c r="BWI31" s="69"/>
      <c r="BWJ31" s="69"/>
      <c r="BWK31" s="69"/>
      <c r="BWL31" s="69"/>
      <c r="BWM31" s="69"/>
      <c r="BWN31" s="69"/>
      <c r="BWO31" s="69"/>
      <c r="BWP31" s="69"/>
      <c r="BWQ31" s="69"/>
      <c r="BWR31" s="69"/>
      <c r="BWS31" s="69"/>
      <c r="BWT31" s="69"/>
      <c r="BWU31" s="69"/>
      <c r="BWV31" s="69"/>
      <c r="BWW31" s="69"/>
      <c r="BWX31" s="69"/>
      <c r="BWY31" s="69"/>
      <c r="BWZ31" s="69"/>
      <c r="BXA31" s="69"/>
      <c r="BXB31" s="69"/>
      <c r="BXC31" s="69"/>
      <c r="BXD31" s="69"/>
      <c r="BXE31" s="69"/>
      <c r="BXF31" s="69"/>
      <c r="BXG31" s="69"/>
      <c r="BXH31" s="69"/>
      <c r="BXI31" s="69"/>
      <c r="BXJ31" s="69"/>
      <c r="BXK31" s="69"/>
      <c r="BXL31" s="69"/>
      <c r="BXM31" s="69"/>
      <c r="BXN31" s="69"/>
      <c r="BXO31" s="69"/>
      <c r="BXP31" s="69"/>
      <c r="BXQ31" s="69"/>
      <c r="BXR31" s="69"/>
      <c r="BXS31" s="69"/>
      <c r="BXT31" s="69"/>
      <c r="BXU31" s="69"/>
      <c r="BXV31" s="69"/>
      <c r="BXW31" s="69"/>
      <c r="BXX31" s="69"/>
      <c r="BXY31" s="69"/>
      <c r="BXZ31" s="69"/>
      <c r="BYA31" s="69"/>
      <c r="BYB31" s="69"/>
      <c r="BYC31" s="69"/>
      <c r="BYD31" s="69"/>
      <c r="BYE31" s="69"/>
      <c r="BYF31" s="69"/>
      <c r="BYG31" s="69"/>
      <c r="BYH31" s="69"/>
      <c r="BYI31" s="69"/>
      <c r="BYJ31" s="69"/>
      <c r="BYK31" s="69"/>
      <c r="BYL31" s="69"/>
      <c r="BYM31" s="69"/>
      <c r="BYN31" s="69"/>
      <c r="BYO31" s="69"/>
      <c r="BYP31" s="69"/>
      <c r="BYQ31" s="69"/>
      <c r="BYR31" s="69"/>
      <c r="BYS31" s="69"/>
      <c r="BYT31" s="69"/>
      <c r="BYU31" s="69"/>
      <c r="BYV31" s="69"/>
      <c r="BYW31" s="69"/>
      <c r="BYX31" s="69"/>
      <c r="BYY31" s="69"/>
      <c r="BYZ31" s="69"/>
      <c r="BZA31" s="69"/>
      <c r="BZB31" s="69"/>
      <c r="BZC31" s="69"/>
      <c r="BZD31" s="69"/>
      <c r="BZE31" s="69"/>
      <c r="BZF31" s="69"/>
      <c r="BZG31" s="69"/>
      <c r="BZH31" s="69"/>
      <c r="BZI31" s="69"/>
      <c r="BZJ31" s="69"/>
      <c r="BZK31" s="69"/>
      <c r="BZL31" s="69"/>
      <c r="BZM31" s="69"/>
      <c r="BZN31" s="69"/>
      <c r="BZO31" s="69"/>
      <c r="BZP31" s="69"/>
      <c r="BZQ31" s="69"/>
      <c r="BZR31" s="69"/>
      <c r="BZS31" s="69"/>
      <c r="BZT31" s="69"/>
      <c r="BZU31" s="69"/>
      <c r="BZV31" s="69"/>
      <c r="BZW31" s="69"/>
      <c r="BZX31" s="69"/>
      <c r="BZY31" s="69"/>
      <c r="BZZ31" s="69"/>
      <c r="CAA31" s="69"/>
      <c r="CAB31" s="69"/>
      <c r="CAC31" s="69"/>
      <c r="CAD31" s="69"/>
      <c r="CAE31" s="69"/>
      <c r="CAF31" s="69"/>
      <c r="CAG31" s="69"/>
      <c r="CAH31" s="69"/>
      <c r="CAI31" s="69"/>
      <c r="CAJ31" s="69"/>
      <c r="CAK31" s="69"/>
      <c r="CAL31" s="69"/>
      <c r="CAM31" s="69"/>
      <c r="CAN31" s="69"/>
      <c r="CAO31" s="69"/>
      <c r="CAP31" s="69"/>
      <c r="CAQ31" s="69"/>
      <c r="CAR31" s="69"/>
      <c r="CAS31" s="69"/>
      <c r="CAT31" s="69"/>
      <c r="CAU31" s="69"/>
      <c r="CAV31" s="69"/>
      <c r="CAW31" s="69"/>
      <c r="CAX31" s="69"/>
      <c r="CAY31" s="69"/>
      <c r="CAZ31" s="69"/>
      <c r="CBA31" s="69"/>
      <c r="CBB31" s="69"/>
      <c r="CBC31" s="69"/>
      <c r="CBD31" s="69"/>
      <c r="CBE31" s="69"/>
      <c r="CBF31" s="69"/>
      <c r="CBG31" s="69"/>
      <c r="CBH31" s="69"/>
      <c r="CBI31" s="69"/>
      <c r="CBJ31" s="69"/>
      <c r="CBK31" s="69"/>
      <c r="CBL31" s="69"/>
      <c r="CBM31" s="69"/>
      <c r="CBN31" s="69"/>
      <c r="CBO31" s="69"/>
      <c r="CBP31" s="69"/>
      <c r="CBQ31" s="69"/>
      <c r="CBR31" s="69"/>
      <c r="CBS31" s="69"/>
      <c r="CBT31" s="69"/>
      <c r="CBU31" s="69"/>
      <c r="CBV31" s="69"/>
      <c r="CBW31" s="69"/>
      <c r="CBX31" s="69"/>
      <c r="CBY31" s="69"/>
      <c r="CBZ31" s="69"/>
      <c r="CCA31" s="69"/>
      <c r="CCB31" s="69"/>
      <c r="CCC31" s="69"/>
      <c r="CCD31" s="69"/>
      <c r="CCE31" s="69"/>
      <c r="CCF31" s="69"/>
      <c r="CCG31" s="69"/>
      <c r="CCH31" s="69"/>
      <c r="CCI31" s="69"/>
      <c r="CCJ31" s="69"/>
      <c r="CCK31" s="69"/>
      <c r="CCL31" s="69"/>
      <c r="CCM31" s="69"/>
      <c r="CCN31" s="69"/>
      <c r="CCO31" s="69"/>
      <c r="CCP31" s="69"/>
      <c r="CCQ31" s="69"/>
      <c r="CCR31" s="69"/>
      <c r="CCS31" s="69"/>
      <c r="CCT31" s="69"/>
      <c r="CCU31" s="69"/>
      <c r="CCV31" s="69"/>
      <c r="CCW31" s="69"/>
      <c r="CCX31" s="69"/>
      <c r="CCY31" s="69"/>
      <c r="CCZ31" s="69"/>
      <c r="CDA31" s="69"/>
      <c r="CDB31" s="69"/>
      <c r="CDC31" s="69"/>
      <c r="CDD31" s="69"/>
      <c r="CDE31" s="69"/>
      <c r="CDF31" s="69"/>
      <c r="CDG31" s="69"/>
      <c r="CDH31" s="69"/>
      <c r="CDI31" s="69"/>
      <c r="CDJ31" s="69"/>
      <c r="CDK31" s="69"/>
      <c r="CDL31" s="69"/>
      <c r="CDM31" s="69"/>
      <c r="CDN31" s="69"/>
      <c r="CDO31" s="69"/>
      <c r="CDP31" s="69"/>
      <c r="CDQ31" s="69"/>
      <c r="CDR31" s="69"/>
      <c r="CDS31" s="69"/>
      <c r="CDT31" s="69"/>
      <c r="CDU31" s="69"/>
      <c r="CDV31" s="69"/>
      <c r="CDW31" s="69"/>
      <c r="CDX31" s="69"/>
      <c r="CDY31" s="69"/>
      <c r="CDZ31" s="69"/>
      <c r="CEA31" s="69"/>
      <c r="CEB31" s="69"/>
      <c r="CEC31" s="69"/>
      <c r="CED31" s="69"/>
      <c r="CEE31" s="69"/>
      <c r="CEF31" s="69"/>
      <c r="CEG31" s="69"/>
      <c r="CEH31" s="69"/>
      <c r="CEI31" s="69"/>
      <c r="CEJ31" s="69"/>
      <c r="CEK31" s="69"/>
      <c r="CEL31" s="69"/>
      <c r="CEM31" s="69"/>
      <c r="CEN31" s="69"/>
      <c r="CEO31" s="69"/>
      <c r="CEP31" s="69"/>
      <c r="CEQ31" s="69"/>
      <c r="CER31" s="69"/>
      <c r="CES31" s="69"/>
      <c r="CET31" s="69"/>
      <c r="CEU31" s="69"/>
      <c r="CEV31" s="69"/>
      <c r="CEW31" s="69"/>
      <c r="CEX31" s="69"/>
      <c r="CEY31" s="69"/>
      <c r="CEZ31" s="69"/>
      <c r="CFA31" s="69"/>
      <c r="CFB31" s="69"/>
      <c r="CFC31" s="69"/>
      <c r="CFD31" s="69"/>
      <c r="CFE31" s="69"/>
      <c r="CFF31" s="69"/>
      <c r="CFG31" s="69"/>
      <c r="CFH31" s="69"/>
      <c r="CFI31" s="69"/>
      <c r="CFJ31" s="69"/>
      <c r="CFK31" s="69"/>
      <c r="CFL31" s="69"/>
      <c r="CFM31" s="69"/>
      <c r="CFN31" s="69"/>
      <c r="CFO31" s="69"/>
      <c r="CFP31" s="69"/>
      <c r="CFQ31" s="69"/>
      <c r="CFR31" s="69"/>
      <c r="CFS31" s="69"/>
      <c r="CFT31" s="69"/>
      <c r="CFU31" s="69"/>
      <c r="CFV31" s="69"/>
      <c r="CFW31" s="69"/>
      <c r="CFX31" s="69"/>
      <c r="CFY31" s="69"/>
      <c r="CFZ31" s="69"/>
      <c r="CGA31" s="69"/>
      <c r="CGB31" s="69"/>
      <c r="CGC31" s="69"/>
      <c r="CGD31" s="69"/>
      <c r="CGE31" s="69"/>
      <c r="CGF31" s="69"/>
      <c r="CGG31" s="69"/>
      <c r="CGH31" s="69"/>
      <c r="CGI31" s="69"/>
      <c r="CGJ31" s="69"/>
      <c r="CGK31" s="69"/>
      <c r="CGL31" s="69"/>
      <c r="CGM31" s="69"/>
      <c r="CGN31" s="69"/>
      <c r="CGO31" s="69"/>
      <c r="CGP31" s="69"/>
      <c r="CGQ31" s="69"/>
      <c r="CGR31" s="69"/>
      <c r="CGS31" s="69"/>
      <c r="CGT31" s="69"/>
      <c r="CGU31" s="69"/>
      <c r="CGV31" s="69"/>
      <c r="CGW31" s="69"/>
      <c r="CGX31" s="69"/>
      <c r="CGY31" s="69"/>
      <c r="CGZ31" s="69"/>
      <c r="CHA31" s="69"/>
      <c r="CHB31" s="69"/>
      <c r="CHC31" s="69"/>
      <c r="CHD31" s="69"/>
      <c r="CHE31" s="69"/>
      <c r="CHF31" s="69"/>
      <c r="CHG31" s="69"/>
      <c r="CHH31" s="69"/>
      <c r="CHI31" s="69"/>
      <c r="CHJ31" s="69"/>
      <c r="CHK31" s="69"/>
      <c r="CHL31" s="69"/>
      <c r="CHM31" s="69"/>
      <c r="CHN31" s="69"/>
      <c r="CHO31" s="69"/>
      <c r="CHP31" s="69"/>
      <c r="CHQ31" s="69"/>
      <c r="CHR31" s="69"/>
      <c r="CHS31" s="69"/>
      <c r="CHT31" s="69"/>
      <c r="CHU31" s="69"/>
      <c r="CHV31" s="69"/>
      <c r="CHW31" s="69"/>
      <c r="CHX31" s="69"/>
      <c r="CHY31" s="69"/>
      <c r="CHZ31" s="69"/>
      <c r="CIA31" s="69"/>
      <c r="CIB31" s="69"/>
      <c r="CIC31" s="69"/>
      <c r="CID31" s="69"/>
      <c r="CIE31" s="69"/>
      <c r="CIF31" s="69"/>
      <c r="CIG31" s="69"/>
      <c r="CIH31" s="69"/>
      <c r="CII31" s="69"/>
      <c r="CIJ31" s="69"/>
      <c r="CIK31" s="69"/>
      <c r="CIL31" s="69"/>
      <c r="CIM31" s="69"/>
      <c r="CIN31" s="69"/>
      <c r="CIO31" s="69"/>
      <c r="CIP31" s="69"/>
      <c r="CIQ31" s="69"/>
      <c r="CIR31" s="69"/>
      <c r="CIS31" s="69"/>
      <c r="CIT31" s="69"/>
      <c r="CIU31" s="69"/>
      <c r="CIV31" s="69"/>
      <c r="CIW31" s="69"/>
      <c r="CIX31" s="69"/>
      <c r="CIY31" s="69"/>
      <c r="CIZ31" s="69"/>
      <c r="CJA31" s="69"/>
      <c r="CJB31" s="69"/>
      <c r="CJC31" s="69"/>
      <c r="CJD31" s="69"/>
      <c r="CJE31" s="69"/>
      <c r="CJF31" s="69"/>
      <c r="CJG31" s="69"/>
      <c r="CJH31" s="69"/>
      <c r="CJI31" s="69"/>
      <c r="CJJ31" s="69"/>
      <c r="CJK31" s="69"/>
      <c r="CJL31" s="69"/>
      <c r="CJM31" s="69"/>
      <c r="CJN31" s="69"/>
      <c r="CJO31" s="69"/>
      <c r="CJP31" s="69"/>
      <c r="CJQ31" s="69"/>
      <c r="CJR31" s="69"/>
      <c r="CJS31" s="69"/>
      <c r="CJT31" s="69"/>
      <c r="CJU31" s="69"/>
      <c r="CJV31" s="69"/>
      <c r="CJW31" s="69"/>
      <c r="CJX31" s="69"/>
      <c r="CJY31" s="69"/>
      <c r="CJZ31" s="69"/>
      <c r="CKA31" s="69"/>
      <c r="CKB31" s="69"/>
      <c r="CKC31" s="69"/>
      <c r="CKD31" s="69"/>
      <c r="CKE31" s="69"/>
      <c r="CKF31" s="69"/>
      <c r="CKG31" s="69"/>
      <c r="CKH31" s="69"/>
      <c r="CKI31" s="69"/>
      <c r="CKJ31" s="69"/>
      <c r="CKK31" s="69"/>
      <c r="CKL31" s="69"/>
      <c r="CKM31" s="69"/>
      <c r="CKN31" s="69"/>
      <c r="CKO31" s="69"/>
      <c r="CKP31" s="69"/>
      <c r="CKQ31" s="69"/>
      <c r="CKR31" s="69"/>
      <c r="CKS31" s="69"/>
      <c r="CKT31" s="69"/>
      <c r="CKU31" s="69"/>
      <c r="CKV31" s="69"/>
      <c r="CKW31" s="69"/>
      <c r="CKX31" s="69"/>
      <c r="CKY31" s="69"/>
      <c r="CKZ31" s="69"/>
      <c r="CLA31" s="69"/>
      <c r="CLB31" s="69"/>
      <c r="CLC31" s="69"/>
      <c r="CLD31" s="69"/>
      <c r="CLE31" s="69"/>
      <c r="CLF31" s="69"/>
      <c r="CLG31" s="69"/>
      <c r="CLH31" s="69"/>
      <c r="CLI31" s="69"/>
      <c r="CLJ31" s="69"/>
      <c r="CLK31" s="69"/>
      <c r="CLL31" s="69"/>
      <c r="CLM31" s="69"/>
      <c r="CLN31" s="69"/>
      <c r="CLO31" s="69"/>
      <c r="CLP31" s="69"/>
      <c r="CLQ31" s="69"/>
      <c r="CLR31" s="69"/>
      <c r="CLS31" s="69"/>
      <c r="CLT31" s="69"/>
      <c r="CLU31" s="69"/>
      <c r="CLV31" s="69"/>
      <c r="CLW31" s="69"/>
      <c r="CLX31" s="69"/>
      <c r="CLY31" s="69"/>
      <c r="CLZ31" s="69"/>
      <c r="CMA31" s="69"/>
      <c r="CMB31" s="69"/>
      <c r="CMC31" s="69"/>
      <c r="CMD31" s="69"/>
      <c r="CME31" s="69"/>
      <c r="CMF31" s="69"/>
      <c r="CMG31" s="69"/>
      <c r="CMH31" s="69"/>
      <c r="CMI31" s="69"/>
      <c r="CMJ31" s="69"/>
      <c r="CMK31" s="69"/>
      <c r="CML31" s="69"/>
      <c r="CMM31" s="69"/>
      <c r="CMN31" s="69"/>
      <c r="CMO31" s="69"/>
      <c r="CMP31" s="69"/>
      <c r="CMQ31" s="69"/>
      <c r="CMR31" s="69"/>
      <c r="CMS31" s="69"/>
      <c r="CMT31" s="69"/>
      <c r="CMU31" s="69"/>
      <c r="CMV31" s="69"/>
      <c r="CMW31" s="69"/>
      <c r="CMX31" s="69"/>
      <c r="CMY31" s="69"/>
      <c r="CMZ31" s="69"/>
      <c r="CNA31" s="69"/>
      <c r="CNB31" s="69"/>
      <c r="CNC31" s="69"/>
      <c r="CND31" s="69"/>
      <c r="CNE31" s="69"/>
      <c r="CNF31" s="69"/>
      <c r="CNG31" s="69"/>
      <c r="CNH31" s="69"/>
      <c r="CNI31" s="69"/>
      <c r="CNJ31" s="69"/>
      <c r="CNK31" s="69"/>
      <c r="CNL31" s="69"/>
      <c r="CNM31" s="69"/>
      <c r="CNN31" s="69"/>
      <c r="CNO31" s="69"/>
      <c r="CNP31" s="69"/>
      <c r="CNQ31" s="69"/>
      <c r="CNR31" s="69"/>
      <c r="CNS31" s="69"/>
      <c r="CNT31" s="69"/>
      <c r="CNU31" s="69"/>
      <c r="CNV31" s="69"/>
      <c r="CNW31" s="69"/>
      <c r="CNX31" s="69"/>
      <c r="CNY31" s="69"/>
      <c r="CNZ31" s="69"/>
      <c r="COA31" s="69"/>
      <c r="COB31" s="69"/>
      <c r="COC31" s="69"/>
      <c r="COD31" s="69"/>
      <c r="COE31" s="69"/>
      <c r="COF31" s="69"/>
      <c r="COG31" s="69"/>
      <c r="COH31" s="69"/>
      <c r="COI31" s="69"/>
      <c r="COJ31" s="69"/>
      <c r="COK31" s="69"/>
      <c r="COL31" s="69"/>
      <c r="COM31" s="69"/>
      <c r="CON31" s="69"/>
      <c r="COO31" s="69"/>
      <c r="COP31" s="69"/>
      <c r="COQ31" s="69"/>
      <c r="COR31" s="69"/>
      <c r="COS31" s="69"/>
      <c r="COT31" s="69"/>
      <c r="COU31" s="69"/>
      <c r="COV31" s="69"/>
      <c r="COW31" s="69"/>
      <c r="COX31" s="69"/>
      <c r="COY31" s="69"/>
      <c r="COZ31" s="69"/>
      <c r="CPA31" s="69"/>
      <c r="CPB31" s="69"/>
      <c r="CPC31" s="69"/>
      <c r="CPD31" s="69"/>
      <c r="CPE31" s="69"/>
      <c r="CPF31" s="69"/>
      <c r="CPG31" s="69"/>
      <c r="CPH31" s="69"/>
      <c r="CPI31" s="69"/>
      <c r="CPJ31" s="69"/>
      <c r="CPK31" s="69"/>
      <c r="CPL31" s="69"/>
      <c r="CPM31" s="69"/>
      <c r="CPN31" s="69"/>
      <c r="CPO31" s="69"/>
      <c r="CPP31" s="69"/>
      <c r="CPQ31" s="69"/>
      <c r="CPR31" s="69"/>
      <c r="CPS31" s="69"/>
      <c r="CPT31" s="69"/>
      <c r="CPU31" s="69"/>
      <c r="CPV31" s="69"/>
      <c r="CPW31" s="69"/>
      <c r="CPX31" s="69"/>
      <c r="CPY31" s="69"/>
      <c r="CPZ31" s="69"/>
      <c r="CQA31" s="69"/>
      <c r="CQB31" s="69"/>
      <c r="CQC31" s="69"/>
      <c r="CQD31" s="69"/>
      <c r="CQE31" s="69"/>
      <c r="CQF31" s="69"/>
      <c r="CQG31" s="69"/>
      <c r="CQH31" s="69"/>
      <c r="CQI31" s="69"/>
      <c r="CQJ31" s="69"/>
      <c r="CQK31" s="69"/>
      <c r="CQL31" s="69"/>
      <c r="CQM31" s="69"/>
      <c r="CQN31" s="69"/>
      <c r="CQO31" s="69"/>
      <c r="CQP31" s="69"/>
      <c r="CQQ31" s="69"/>
      <c r="CQR31" s="69"/>
      <c r="CQS31" s="69"/>
      <c r="CQT31" s="69"/>
      <c r="CQU31" s="69"/>
      <c r="CQV31" s="69"/>
      <c r="CQW31" s="69"/>
      <c r="CQX31" s="69"/>
      <c r="CQY31" s="69"/>
      <c r="CQZ31" s="69"/>
      <c r="CRA31" s="69"/>
      <c r="CRB31" s="69"/>
      <c r="CRC31" s="69"/>
      <c r="CRD31" s="69"/>
      <c r="CRE31" s="69"/>
      <c r="CRF31" s="69"/>
      <c r="CRG31" s="69"/>
      <c r="CRH31" s="69"/>
      <c r="CRI31" s="69"/>
      <c r="CRJ31" s="69"/>
      <c r="CRK31" s="69"/>
      <c r="CRL31" s="69"/>
      <c r="CRM31" s="69"/>
      <c r="CRN31" s="69"/>
      <c r="CRO31" s="69"/>
      <c r="CRP31" s="69"/>
      <c r="CRQ31" s="69"/>
      <c r="CRR31" s="69"/>
      <c r="CRS31" s="69"/>
      <c r="CRT31" s="69"/>
      <c r="CRU31" s="69"/>
      <c r="CRV31" s="69"/>
      <c r="CRW31" s="69"/>
      <c r="CRX31" s="69"/>
      <c r="CRY31" s="69"/>
      <c r="CRZ31" s="69"/>
      <c r="CSA31" s="69"/>
      <c r="CSB31" s="69"/>
      <c r="CSC31" s="69"/>
      <c r="CSD31" s="69"/>
      <c r="CSE31" s="69"/>
      <c r="CSF31" s="69"/>
      <c r="CSG31" s="69"/>
      <c r="CSH31" s="69"/>
      <c r="CSI31" s="69"/>
      <c r="CSJ31" s="69"/>
      <c r="CSK31" s="69"/>
      <c r="CSL31" s="69"/>
      <c r="CSM31" s="69"/>
      <c r="CSN31" s="69"/>
      <c r="CSO31" s="69"/>
      <c r="CSP31" s="69"/>
      <c r="CSQ31" s="69"/>
      <c r="CSR31" s="69"/>
      <c r="CSS31" s="69"/>
      <c r="CST31" s="69"/>
      <c r="CSU31" s="69"/>
      <c r="CSV31" s="69"/>
      <c r="CSW31" s="69"/>
      <c r="CSX31" s="69"/>
      <c r="CSY31" s="69"/>
      <c r="CSZ31" s="69"/>
      <c r="CTA31" s="69"/>
      <c r="CTB31" s="69"/>
      <c r="CTC31" s="69"/>
      <c r="CTD31" s="69"/>
      <c r="CTE31" s="69"/>
      <c r="CTF31" s="69"/>
      <c r="CTG31" s="69"/>
      <c r="CTH31" s="69"/>
      <c r="CTI31" s="69"/>
      <c r="CTJ31" s="69"/>
      <c r="CTK31" s="69"/>
      <c r="CTL31" s="69"/>
      <c r="CTM31" s="69"/>
      <c r="CTN31" s="69"/>
      <c r="CTO31" s="69"/>
      <c r="CTP31" s="69"/>
      <c r="CTQ31" s="69"/>
      <c r="CTR31" s="69"/>
      <c r="CTS31" s="69"/>
      <c r="CTT31" s="69"/>
      <c r="CTU31" s="69"/>
      <c r="CTV31" s="69"/>
      <c r="CTW31" s="69"/>
      <c r="CTX31" s="69"/>
      <c r="CTY31" s="69"/>
      <c r="CTZ31" s="69"/>
      <c r="CUA31" s="69"/>
      <c r="CUB31" s="69"/>
      <c r="CUC31" s="69"/>
      <c r="CUD31" s="69"/>
      <c r="CUE31" s="69"/>
      <c r="CUF31" s="69"/>
      <c r="CUG31" s="69"/>
      <c r="CUH31" s="69"/>
      <c r="CUI31" s="69"/>
      <c r="CUJ31" s="69"/>
      <c r="CUK31" s="69"/>
      <c r="CUL31" s="69"/>
      <c r="CUM31" s="69"/>
      <c r="CUN31" s="69"/>
      <c r="CUO31" s="69"/>
      <c r="CUP31" s="69"/>
      <c r="CUQ31" s="69"/>
      <c r="CUR31" s="69"/>
      <c r="CUS31" s="69"/>
      <c r="CUT31" s="69"/>
      <c r="CUU31" s="69"/>
      <c r="CUV31" s="69"/>
      <c r="CUW31" s="69"/>
      <c r="CUX31" s="69"/>
      <c r="CUY31" s="69"/>
      <c r="CUZ31" s="69"/>
      <c r="CVA31" s="69"/>
      <c r="CVB31" s="69"/>
      <c r="CVC31" s="69"/>
      <c r="CVD31" s="69"/>
      <c r="CVE31" s="69"/>
      <c r="CVF31" s="69"/>
      <c r="CVG31" s="69"/>
      <c r="CVH31" s="69"/>
      <c r="CVI31" s="69"/>
      <c r="CVJ31" s="69"/>
      <c r="CVK31" s="69"/>
      <c r="CVL31" s="69"/>
      <c r="CVM31" s="69"/>
      <c r="CVN31" s="69"/>
      <c r="CVO31" s="69"/>
      <c r="CVP31" s="69"/>
      <c r="CVQ31" s="69"/>
      <c r="CVR31" s="69"/>
      <c r="CVS31" s="69"/>
      <c r="CVT31" s="69"/>
      <c r="CVU31" s="69"/>
      <c r="CVV31" s="69"/>
      <c r="CVW31" s="69"/>
      <c r="CVX31" s="69"/>
      <c r="CVY31" s="69"/>
      <c r="CVZ31" s="69"/>
      <c r="CWA31" s="69"/>
      <c r="CWB31" s="69"/>
      <c r="CWC31" s="69"/>
      <c r="CWD31" s="69"/>
      <c r="CWE31" s="69"/>
      <c r="CWF31" s="69"/>
      <c r="CWG31" s="69"/>
      <c r="CWH31" s="69"/>
      <c r="CWI31" s="69"/>
      <c r="CWJ31" s="69"/>
      <c r="CWK31" s="69"/>
      <c r="CWL31" s="69"/>
      <c r="CWM31" s="69"/>
      <c r="CWN31" s="69"/>
      <c r="CWO31" s="69"/>
      <c r="CWP31" s="69"/>
      <c r="CWQ31" s="69"/>
      <c r="CWR31" s="69"/>
      <c r="CWS31" s="69"/>
      <c r="CWT31" s="69"/>
      <c r="CWU31" s="69"/>
      <c r="CWV31" s="69"/>
      <c r="CWW31" s="69"/>
      <c r="CWX31" s="69"/>
      <c r="CWY31" s="69"/>
      <c r="CWZ31" s="69"/>
      <c r="CXA31" s="69"/>
      <c r="CXB31" s="69"/>
      <c r="CXC31" s="69"/>
      <c r="CXD31" s="69"/>
      <c r="CXE31" s="69"/>
      <c r="CXF31" s="69"/>
      <c r="CXG31" s="69"/>
      <c r="CXH31" s="69"/>
      <c r="CXI31" s="69"/>
      <c r="CXJ31" s="69"/>
      <c r="CXK31" s="69"/>
      <c r="CXL31" s="69"/>
      <c r="CXM31" s="69"/>
      <c r="CXN31" s="69"/>
      <c r="CXO31" s="69"/>
      <c r="CXP31" s="69"/>
      <c r="CXQ31" s="69"/>
      <c r="CXR31" s="69"/>
      <c r="CXS31" s="69"/>
      <c r="CXT31" s="69"/>
      <c r="CXU31" s="69"/>
      <c r="CXV31" s="69"/>
      <c r="CXW31" s="69"/>
      <c r="CXX31" s="69"/>
      <c r="CXY31" s="69"/>
      <c r="CXZ31" s="69"/>
      <c r="CYA31" s="69"/>
      <c r="CYB31" s="69"/>
      <c r="CYC31" s="69"/>
      <c r="CYD31" s="69"/>
      <c r="CYE31" s="69"/>
      <c r="CYF31" s="69"/>
      <c r="CYG31" s="69"/>
      <c r="CYH31" s="69"/>
      <c r="CYI31" s="69"/>
      <c r="CYJ31" s="69"/>
      <c r="CYK31" s="69"/>
      <c r="CYL31" s="69"/>
      <c r="CYM31" s="69"/>
      <c r="CYN31" s="69"/>
      <c r="CYO31" s="69"/>
      <c r="CYP31" s="69"/>
      <c r="CYQ31" s="69"/>
      <c r="CYR31" s="69"/>
      <c r="CYS31" s="69"/>
      <c r="CYT31" s="69"/>
      <c r="CYU31" s="69"/>
      <c r="CYV31" s="69"/>
      <c r="CYW31" s="69"/>
      <c r="CYX31" s="69"/>
      <c r="CYY31" s="69"/>
      <c r="CYZ31" s="69"/>
      <c r="CZA31" s="69"/>
      <c r="CZB31" s="69"/>
      <c r="CZC31" s="69"/>
      <c r="CZD31" s="69"/>
      <c r="CZE31" s="69"/>
      <c r="CZF31" s="69"/>
      <c r="CZG31" s="69"/>
      <c r="CZH31" s="69"/>
      <c r="CZI31" s="69"/>
      <c r="CZJ31" s="69"/>
      <c r="CZK31" s="69"/>
      <c r="CZL31" s="69"/>
      <c r="CZM31" s="69"/>
      <c r="CZN31" s="69"/>
      <c r="CZO31" s="69"/>
      <c r="CZP31" s="69"/>
      <c r="CZQ31" s="69"/>
      <c r="CZR31" s="69"/>
      <c r="CZS31" s="69"/>
      <c r="CZT31" s="69"/>
      <c r="CZU31" s="69"/>
      <c r="CZV31" s="69"/>
      <c r="CZW31" s="69"/>
      <c r="CZX31" s="69"/>
      <c r="CZY31" s="69"/>
      <c r="CZZ31" s="69"/>
      <c r="DAA31" s="69"/>
      <c r="DAB31" s="69"/>
      <c r="DAC31" s="69"/>
      <c r="DAD31" s="69"/>
      <c r="DAE31" s="69"/>
      <c r="DAF31" s="69"/>
      <c r="DAG31" s="69"/>
      <c r="DAH31" s="69"/>
      <c r="DAI31" s="69"/>
      <c r="DAJ31" s="69"/>
      <c r="DAK31" s="69"/>
      <c r="DAL31" s="69"/>
      <c r="DAM31" s="69"/>
      <c r="DAN31" s="69"/>
      <c r="DAO31" s="69"/>
      <c r="DAP31" s="69"/>
      <c r="DAQ31" s="69"/>
      <c r="DAR31" s="69"/>
      <c r="DAS31" s="69"/>
      <c r="DAT31" s="69"/>
      <c r="DAU31" s="69"/>
      <c r="DAV31" s="69"/>
      <c r="DAW31" s="69"/>
      <c r="DAX31" s="69"/>
      <c r="DAY31" s="69"/>
      <c r="DAZ31" s="69"/>
      <c r="DBA31" s="69"/>
      <c r="DBB31" s="69"/>
      <c r="DBC31" s="69"/>
      <c r="DBD31" s="69"/>
      <c r="DBE31" s="69"/>
      <c r="DBF31" s="69"/>
      <c r="DBG31" s="69"/>
      <c r="DBH31" s="69"/>
      <c r="DBI31" s="69"/>
      <c r="DBJ31" s="69"/>
      <c r="DBK31" s="69"/>
      <c r="DBL31" s="69"/>
      <c r="DBM31" s="69"/>
      <c r="DBN31" s="69"/>
      <c r="DBO31" s="69"/>
      <c r="DBP31" s="69"/>
      <c r="DBQ31" s="69"/>
      <c r="DBR31" s="69"/>
      <c r="DBS31" s="69"/>
      <c r="DBT31" s="69"/>
      <c r="DBU31" s="69"/>
      <c r="DBV31" s="69"/>
      <c r="DBW31" s="69"/>
      <c r="DBX31" s="69"/>
      <c r="DBY31" s="69"/>
      <c r="DBZ31" s="69"/>
      <c r="DCA31" s="69"/>
      <c r="DCB31" s="69"/>
      <c r="DCC31" s="69"/>
      <c r="DCD31" s="69"/>
      <c r="DCE31" s="69"/>
      <c r="DCF31" s="69"/>
      <c r="DCG31" s="69"/>
      <c r="DCH31" s="69"/>
      <c r="DCI31" s="69"/>
      <c r="DCJ31" s="69"/>
      <c r="DCK31" s="69"/>
      <c r="DCL31" s="69"/>
      <c r="DCM31" s="69"/>
      <c r="DCN31" s="69"/>
      <c r="DCO31" s="69"/>
      <c r="DCP31" s="69"/>
      <c r="DCQ31" s="69"/>
      <c r="DCR31" s="69"/>
      <c r="DCS31" s="69"/>
      <c r="DCT31" s="69"/>
      <c r="DCU31" s="69"/>
      <c r="DCV31" s="69"/>
      <c r="DCW31" s="69"/>
      <c r="DCX31" s="69"/>
      <c r="DCY31" s="69"/>
      <c r="DCZ31" s="69"/>
      <c r="DDA31" s="69"/>
      <c r="DDB31" s="69"/>
      <c r="DDC31" s="69"/>
      <c r="DDD31" s="69"/>
      <c r="DDE31" s="69"/>
      <c r="DDF31" s="69"/>
      <c r="DDG31" s="69"/>
      <c r="DDH31" s="69"/>
      <c r="DDI31" s="69"/>
      <c r="DDJ31" s="69"/>
      <c r="DDK31" s="69"/>
      <c r="DDL31" s="69"/>
      <c r="DDM31" s="69"/>
      <c r="DDN31" s="69"/>
      <c r="DDO31" s="69"/>
      <c r="DDP31" s="69"/>
      <c r="DDQ31" s="69"/>
      <c r="DDR31" s="69"/>
      <c r="DDS31" s="69"/>
      <c r="DDT31" s="69"/>
      <c r="DDU31" s="69"/>
      <c r="DDV31" s="69"/>
      <c r="DDW31" s="69"/>
      <c r="DDX31" s="69"/>
      <c r="DDY31" s="69"/>
      <c r="DDZ31" s="69"/>
      <c r="DEA31" s="69"/>
      <c r="DEB31" s="69"/>
      <c r="DEC31" s="69"/>
      <c r="DED31" s="69"/>
      <c r="DEE31" s="69"/>
      <c r="DEF31" s="69"/>
      <c r="DEG31" s="69"/>
      <c r="DEH31" s="69"/>
      <c r="DEI31" s="69"/>
      <c r="DEJ31" s="69"/>
      <c r="DEK31" s="69"/>
      <c r="DEL31" s="69"/>
      <c r="DEM31" s="69"/>
      <c r="DEN31" s="69"/>
      <c r="DEO31" s="69"/>
      <c r="DEP31" s="69"/>
      <c r="DEQ31" s="69"/>
      <c r="DER31" s="69"/>
      <c r="DES31" s="69"/>
      <c r="DET31" s="69"/>
      <c r="DEU31" s="69"/>
      <c r="DEV31" s="69"/>
      <c r="DEW31" s="69"/>
      <c r="DEX31" s="69"/>
      <c r="DEY31" s="69"/>
      <c r="DEZ31" s="69"/>
      <c r="DFA31" s="69"/>
      <c r="DFB31" s="69"/>
      <c r="DFC31" s="69"/>
      <c r="DFD31" s="69"/>
      <c r="DFE31" s="69"/>
      <c r="DFF31" s="69"/>
      <c r="DFG31" s="69"/>
      <c r="DFH31" s="69"/>
      <c r="DFI31" s="69"/>
      <c r="DFJ31" s="69"/>
      <c r="DFK31" s="69"/>
      <c r="DFL31" s="69"/>
      <c r="DFM31" s="69"/>
      <c r="DFN31" s="69"/>
      <c r="DFO31" s="69"/>
      <c r="DFP31" s="69"/>
      <c r="DFQ31" s="69"/>
      <c r="DFR31" s="69"/>
      <c r="DFS31" s="69"/>
      <c r="DFT31" s="69"/>
      <c r="DFU31" s="69"/>
      <c r="DFV31" s="69"/>
      <c r="DFW31" s="69"/>
      <c r="DFX31" s="69"/>
      <c r="DFY31" s="69"/>
      <c r="DFZ31" s="69"/>
      <c r="DGA31" s="69"/>
      <c r="DGB31" s="69"/>
      <c r="DGC31" s="69"/>
      <c r="DGD31" s="69"/>
      <c r="DGE31" s="69"/>
      <c r="DGF31" s="69"/>
      <c r="DGG31" s="69"/>
      <c r="DGH31" s="69"/>
      <c r="DGI31" s="69"/>
      <c r="DGJ31" s="69"/>
      <c r="DGK31" s="69"/>
      <c r="DGL31" s="69"/>
      <c r="DGM31" s="69"/>
      <c r="DGN31" s="69"/>
      <c r="DGO31" s="69"/>
      <c r="DGP31" s="69"/>
      <c r="DGQ31" s="69"/>
      <c r="DGR31" s="69"/>
      <c r="DGS31" s="69"/>
      <c r="DGT31" s="69"/>
      <c r="DGU31" s="69"/>
      <c r="DGV31" s="69"/>
      <c r="DGW31" s="69"/>
      <c r="DGX31" s="69"/>
      <c r="DGY31" s="69"/>
      <c r="DGZ31" s="69"/>
      <c r="DHA31" s="69"/>
      <c r="DHB31" s="69"/>
      <c r="DHC31" s="69"/>
      <c r="DHD31" s="69"/>
      <c r="DHE31" s="69"/>
      <c r="DHF31" s="69"/>
      <c r="DHG31" s="69"/>
      <c r="DHH31" s="69"/>
      <c r="DHI31" s="69"/>
      <c r="DHJ31" s="69"/>
      <c r="DHK31" s="69"/>
      <c r="DHL31" s="69"/>
      <c r="DHM31" s="69"/>
      <c r="DHN31" s="69"/>
      <c r="DHO31" s="69"/>
      <c r="DHP31" s="69"/>
      <c r="DHQ31" s="69"/>
      <c r="DHR31" s="69"/>
      <c r="DHS31" s="69"/>
      <c r="DHT31" s="69"/>
      <c r="DHU31" s="69"/>
      <c r="DHV31" s="69"/>
      <c r="DHW31" s="69"/>
      <c r="DHX31" s="69"/>
      <c r="DHY31" s="69"/>
      <c r="DHZ31" s="69"/>
      <c r="DIA31" s="69"/>
      <c r="DIB31" s="69"/>
      <c r="DIC31" s="69"/>
      <c r="DID31" s="69"/>
      <c r="DIE31" s="69"/>
      <c r="DIF31" s="69"/>
      <c r="DIG31" s="69"/>
      <c r="DIH31" s="69"/>
      <c r="DII31" s="69"/>
      <c r="DIJ31" s="69"/>
      <c r="DIK31" s="69"/>
      <c r="DIL31" s="69"/>
      <c r="DIM31" s="69"/>
      <c r="DIN31" s="69"/>
      <c r="DIO31" s="69"/>
      <c r="DIP31" s="69"/>
      <c r="DIQ31" s="69"/>
      <c r="DIR31" s="69"/>
      <c r="DIS31" s="69"/>
      <c r="DIT31" s="69"/>
      <c r="DIU31" s="69"/>
      <c r="DIV31" s="69"/>
      <c r="DIW31" s="69"/>
      <c r="DIX31" s="69"/>
      <c r="DIY31" s="69"/>
      <c r="DIZ31" s="69"/>
      <c r="DJA31" s="69"/>
      <c r="DJB31" s="69"/>
      <c r="DJC31" s="69"/>
      <c r="DJD31" s="69"/>
      <c r="DJE31" s="69"/>
      <c r="DJF31" s="69"/>
      <c r="DJG31" s="69"/>
      <c r="DJH31" s="69"/>
      <c r="DJI31" s="69"/>
      <c r="DJJ31" s="69"/>
      <c r="DJK31" s="69"/>
      <c r="DJL31" s="69"/>
      <c r="DJM31" s="69"/>
      <c r="DJN31" s="69"/>
      <c r="DJO31" s="69"/>
      <c r="DJP31" s="69"/>
      <c r="DJQ31" s="69"/>
      <c r="DJR31" s="69"/>
      <c r="DJS31" s="69"/>
      <c r="DJT31" s="69"/>
      <c r="DJU31" s="69"/>
      <c r="DJV31" s="69"/>
      <c r="DJW31" s="69"/>
      <c r="DJX31" s="69"/>
      <c r="DJY31" s="69"/>
      <c r="DJZ31" s="69"/>
      <c r="DKA31" s="69"/>
      <c r="DKB31" s="69"/>
      <c r="DKC31" s="69"/>
      <c r="DKD31" s="69"/>
      <c r="DKE31" s="69"/>
      <c r="DKF31" s="69"/>
      <c r="DKG31" s="69"/>
      <c r="DKH31" s="69"/>
      <c r="DKI31" s="69"/>
      <c r="DKJ31" s="69"/>
      <c r="DKK31" s="69"/>
      <c r="DKL31" s="69"/>
      <c r="DKM31" s="69"/>
      <c r="DKN31" s="69"/>
      <c r="DKO31" s="69"/>
      <c r="DKP31" s="69"/>
      <c r="DKQ31" s="69"/>
      <c r="DKR31" s="69"/>
      <c r="DKS31" s="69"/>
      <c r="DKT31" s="69"/>
      <c r="DKU31" s="69"/>
      <c r="DKV31" s="69"/>
      <c r="DKW31" s="69"/>
      <c r="DKX31" s="69"/>
      <c r="DKY31" s="69"/>
      <c r="DKZ31" s="69"/>
      <c r="DLA31" s="69"/>
      <c r="DLB31" s="69"/>
      <c r="DLC31" s="69"/>
      <c r="DLD31" s="69"/>
      <c r="DLE31" s="69"/>
      <c r="DLF31" s="69"/>
      <c r="DLG31" s="69"/>
      <c r="DLH31" s="69"/>
      <c r="DLI31" s="69"/>
      <c r="DLJ31" s="69"/>
      <c r="DLK31" s="69"/>
      <c r="DLL31" s="69"/>
      <c r="DLM31" s="69"/>
      <c r="DLN31" s="69"/>
      <c r="DLO31" s="69"/>
      <c r="DLP31" s="69"/>
      <c r="DLQ31" s="69"/>
      <c r="DLR31" s="69"/>
      <c r="DLS31" s="69"/>
      <c r="DLT31" s="69"/>
      <c r="DLU31" s="69"/>
      <c r="DLV31" s="69"/>
      <c r="DLW31" s="69"/>
      <c r="DLX31" s="69"/>
      <c r="DLY31" s="69"/>
      <c r="DLZ31" s="69"/>
      <c r="DMA31" s="69"/>
      <c r="DMB31" s="69"/>
      <c r="DMC31" s="69"/>
      <c r="DMD31" s="69"/>
      <c r="DME31" s="69"/>
      <c r="DMF31" s="69"/>
      <c r="DMG31" s="69"/>
      <c r="DMH31" s="69"/>
      <c r="DMI31" s="69"/>
      <c r="DMJ31" s="69"/>
      <c r="DMK31" s="69"/>
      <c r="DML31" s="69"/>
      <c r="DMM31" s="69"/>
      <c r="DMN31" s="69"/>
      <c r="DMO31" s="69"/>
      <c r="DMP31" s="69"/>
      <c r="DMQ31" s="69"/>
      <c r="DMR31" s="69"/>
      <c r="DMS31" s="69"/>
      <c r="DMT31" s="69"/>
      <c r="DMU31" s="69"/>
      <c r="DMV31" s="69"/>
      <c r="DMW31" s="69"/>
      <c r="DMX31" s="69"/>
      <c r="DMY31" s="69"/>
      <c r="DMZ31" s="69"/>
      <c r="DNA31" s="69"/>
      <c r="DNB31" s="69"/>
      <c r="DNC31" s="69"/>
      <c r="DND31" s="69"/>
      <c r="DNE31" s="69"/>
      <c r="DNF31" s="69"/>
      <c r="DNG31" s="69"/>
      <c r="DNH31" s="69"/>
      <c r="DNI31" s="69"/>
      <c r="DNJ31" s="69"/>
      <c r="DNK31" s="69"/>
      <c r="DNL31" s="69"/>
      <c r="DNM31" s="69"/>
      <c r="DNN31" s="69"/>
      <c r="DNO31" s="69"/>
      <c r="DNP31" s="69"/>
      <c r="DNQ31" s="69"/>
      <c r="DNR31" s="69"/>
      <c r="DNS31" s="69"/>
      <c r="DNT31" s="69"/>
      <c r="DNU31" s="69"/>
      <c r="DNV31" s="69"/>
      <c r="DNW31" s="69"/>
      <c r="DNX31" s="69"/>
      <c r="DNY31" s="69"/>
      <c r="DNZ31" s="69"/>
      <c r="DOA31" s="69"/>
      <c r="DOB31" s="69"/>
      <c r="DOC31" s="69"/>
      <c r="DOD31" s="69"/>
      <c r="DOE31" s="69"/>
      <c r="DOF31" s="69"/>
      <c r="DOG31" s="69"/>
      <c r="DOH31" s="69"/>
      <c r="DOI31" s="69"/>
      <c r="DOJ31" s="69"/>
      <c r="DOK31" s="69"/>
      <c r="DOL31" s="69"/>
      <c r="DOM31" s="69"/>
      <c r="DON31" s="69"/>
      <c r="DOO31" s="69"/>
      <c r="DOP31" s="69"/>
      <c r="DOQ31" s="69"/>
      <c r="DOR31" s="69"/>
      <c r="DOS31" s="69"/>
      <c r="DOT31" s="69"/>
      <c r="DOU31" s="69"/>
      <c r="DOV31" s="69"/>
      <c r="DOW31" s="69"/>
      <c r="DOX31" s="69"/>
      <c r="DOY31" s="69"/>
      <c r="DOZ31" s="69"/>
      <c r="DPA31" s="69"/>
      <c r="DPB31" s="69"/>
      <c r="DPC31" s="69"/>
      <c r="DPD31" s="69"/>
      <c r="DPE31" s="69"/>
      <c r="DPF31" s="69"/>
      <c r="DPG31" s="69"/>
      <c r="DPH31" s="69"/>
      <c r="DPI31" s="69"/>
      <c r="DPJ31" s="69"/>
      <c r="DPK31" s="69"/>
      <c r="DPL31" s="69"/>
      <c r="DPM31" s="69"/>
      <c r="DPN31" s="69"/>
      <c r="DPO31" s="69"/>
      <c r="DPP31" s="69"/>
      <c r="DPQ31" s="69"/>
      <c r="DPR31" s="69"/>
      <c r="DPS31" s="69"/>
      <c r="DPT31" s="69"/>
      <c r="DPU31" s="69"/>
      <c r="DPV31" s="69"/>
      <c r="DPW31" s="69"/>
      <c r="DPX31" s="69"/>
      <c r="DPY31" s="69"/>
      <c r="DPZ31" s="69"/>
      <c r="DQA31" s="69"/>
      <c r="DQB31" s="69"/>
      <c r="DQC31" s="69"/>
      <c r="DQD31" s="69"/>
      <c r="DQE31" s="69"/>
      <c r="DQF31" s="69"/>
      <c r="DQG31" s="69"/>
      <c r="DQH31" s="69"/>
      <c r="DQI31" s="69"/>
      <c r="DQJ31" s="69"/>
      <c r="DQK31" s="69"/>
      <c r="DQL31" s="69"/>
      <c r="DQM31" s="69"/>
      <c r="DQN31" s="69"/>
      <c r="DQO31" s="69"/>
      <c r="DQP31" s="69"/>
      <c r="DQQ31" s="69"/>
      <c r="DQR31" s="69"/>
      <c r="DQS31" s="69"/>
      <c r="DQT31" s="69"/>
      <c r="DQU31" s="69"/>
      <c r="DQV31" s="69"/>
      <c r="DQW31" s="69"/>
      <c r="DQX31" s="69"/>
      <c r="DQY31" s="69"/>
      <c r="DQZ31" s="69"/>
      <c r="DRA31" s="69"/>
      <c r="DRB31" s="69"/>
      <c r="DRC31" s="69"/>
      <c r="DRD31" s="69"/>
      <c r="DRE31" s="69"/>
      <c r="DRF31" s="69"/>
      <c r="DRG31" s="69"/>
      <c r="DRH31" s="69"/>
      <c r="DRI31" s="69"/>
      <c r="DRJ31" s="69"/>
      <c r="DRK31" s="69"/>
      <c r="DRL31" s="69"/>
      <c r="DRM31" s="69"/>
      <c r="DRN31" s="69"/>
      <c r="DRO31" s="69"/>
      <c r="DRP31" s="69"/>
      <c r="DRQ31" s="69"/>
      <c r="DRR31" s="69"/>
      <c r="DRS31" s="69"/>
      <c r="DRT31" s="69"/>
      <c r="DRU31" s="69"/>
      <c r="DRV31" s="69"/>
      <c r="DRW31" s="69"/>
      <c r="DRX31" s="69"/>
      <c r="DRY31" s="69"/>
      <c r="DRZ31" s="69"/>
      <c r="DSA31" s="69"/>
      <c r="DSB31" s="69"/>
      <c r="DSC31" s="69"/>
      <c r="DSD31" s="69"/>
      <c r="DSE31" s="69"/>
      <c r="DSF31" s="69"/>
      <c r="DSG31" s="69"/>
      <c r="DSH31" s="69"/>
      <c r="DSI31" s="69"/>
      <c r="DSJ31" s="69"/>
      <c r="DSK31" s="69"/>
      <c r="DSL31" s="69"/>
      <c r="DSM31" s="69"/>
      <c r="DSN31" s="69"/>
      <c r="DSO31" s="69"/>
      <c r="DSP31" s="69"/>
      <c r="DSQ31" s="69"/>
      <c r="DSR31" s="69"/>
      <c r="DSS31" s="69"/>
      <c r="DST31" s="69"/>
      <c r="DSU31" s="69"/>
      <c r="DSV31" s="69"/>
      <c r="DSW31" s="69"/>
      <c r="DSX31" s="69"/>
    </row>
    <row r="32" spans="1:3222" s="69" customFormat="1" ht="54.95" customHeight="1" x14ac:dyDescent="0.2">
      <c r="A32" s="114"/>
      <c r="B32" s="114" t="s">
        <v>354</v>
      </c>
      <c r="C32" s="114" t="s">
        <v>139</v>
      </c>
      <c r="D32" s="119" t="s">
        <v>312</v>
      </c>
      <c r="E32" s="122" t="s">
        <v>203</v>
      </c>
      <c r="F32" s="131">
        <v>15</v>
      </c>
      <c r="G32" s="132">
        <v>178.81533333333334</v>
      </c>
      <c r="H32" s="150">
        <v>2784</v>
      </c>
      <c r="I32" s="151">
        <v>0</v>
      </c>
      <c r="J32" s="150">
        <f>SUM(H32:I32)</f>
        <v>2784</v>
      </c>
      <c r="K32" s="126">
        <f>IF(H32/15&lt;=SMG,0,I32/2)</f>
        <v>0</v>
      </c>
      <c r="L32" s="126">
        <f t="shared" si="30"/>
        <v>2784</v>
      </c>
      <c r="M32" s="126">
        <f>VLOOKUP(L32,Tarifa1,1)</f>
        <v>2699.41</v>
      </c>
      <c r="N32" s="126">
        <f t="shared" si="31"/>
        <v>84.590000000000146</v>
      </c>
      <c r="O32" s="127">
        <f>VLOOKUP(L32,Tarifa1,3)</f>
        <v>0.10879999999999999</v>
      </c>
      <c r="P32" s="126">
        <f t="shared" si="32"/>
        <v>9.2033920000000151</v>
      </c>
      <c r="Q32" s="128">
        <f>VLOOKUP(L32,Tarifa1,2)</f>
        <v>158.55000000000001</v>
      </c>
      <c r="R32" s="126">
        <f t="shared" si="33"/>
        <v>167.75339200000002</v>
      </c>
      <c r="S32" s="126">
        <f>VLOOKUP(L32,Credito1,2)</f>
        <v>145.35</v>
      </c>
      <c r="T32" s="126">
        <f t="shared" si="34"/>
        <v>22.4</v>
      </c>
      <c r="U32" s="150">
        <f>-IF(T32&gt;0,0,T32)</f>
        <v>0</v>
      </c>
      <c r="V32" s="150">
        <f>IF(T32&lt;0,0,T32)</f>
        <v>22.4</v>
      </c>
      <c r="W32" s="150">
        <f>SUM(V32:V32)</f>
        <v>22.4</v>
      </c>
      <c r="X32" s="150">
        <f>J32+U32-W32</f>
        <v>2761.6</v>
      </c>
      <c r="Y32" s="74"/>
    </row>
    <row r="33" spans="1:37" s="69" customFormat="1" ht="54.95" customHeight="1" x14ac:dyDescent="0.2">
      <c r="A33" s="114"/>
      <c r="B33" s="138" t="s">
        <v>118</v>
      </c>
      <c r="C33" s="138" t="s">
        <v>156</v>
      </c>
      <c r="D33" s="139" t="s">
        <v>152</v>
      </c>
      <c r="E33" s="140" t="s">
        <v>62</v>
      </c>
      <c r="F33" s="140"/>
      <c r="G33" s="140"/>
      <c r="H33" s="141">
        <f>SUM(H34:H34)</f>
        <v>2399.5</v>
      </c>
      <c r="I33" s="141">
        <f>SUM(I34:I34)</f>
        <v>0</v>
      </c>
      <c r="J33" s="141">
        <f>SUM(J34:J34)</f>
        <v>2399.5</v>
      </c>
      <c r="K33" s="140"/>
      <c r="L33" s="140"/>
      <c r="M33" s="140"/>
      <c r="N33" s="140"/>
      <c r="O33" s="140"/>
      <c r="P33" s="140"/>
      <c r="Q33" s="143"/>
      <c r="R33" s="140"/>
      <c r="S33" s="140"/>
      <c r="T33" s="142"/>
      <c r="U33" s="141">
        <f>SUM(U34:U34)</f>
        <v>20.98</v>
      </c>
      <c r="V33" s="141">
        <f>SUM(V34:V34)</f>
        <v>0</v>
      </c>
      <c r="W33" s="141">
        <f>SUM(W34:W34)</f>
        <v>0</v>
      </c>
      <c r="X33" s="141">
        <f>SUM(X34:X34)</f>
        <v>2420.48</v>
      </c>
      <c r="Y33" s="285"/>
    </row>
    <row r="34" spans="1:37" s="69" customFormat="1" ht="54.95" customHeight="1" x14ac:dyDescent="0.2">
      <c r="A34" s="114"/>
      <c r="B34" s="114" t="s">
        <v>129</v>
      </c>
      <c r="C34" s="114" t="s">
        <v>139</v>
      </c>
      <c r="D34" s="119" t="s">
        <v>70</v>
      </c>
      <c r="E34" s="121" t="s">
        <v>87</v>
      </c>
      <c r="F34" s="131">
        <v>15</v>
      </c>
      <c r="G34" s="132">
        <v>73.040000000000006</v>
      </c>
      <c r="H34" s="117">
        <v>2399.5</v>
      </c>
      <c r="I34" s="124">
        <v>0</v>
      </c>
      <c r="J34" s="125">
        <f>SUM(H34:I34)</f>
        <v>2399.5</v>
      </c>
      <c r="K34" s="126">
        <f>IF(H34/15&lt;=SMG,0,I34/2)</f>
        <v>0</v>
      </c>
      <c r="L34" s="126">
        <f t="shared" ref="L34" si="35">H34+K34</f>
        <v>2399.5</v>
      </c>
      <c r="M34" s="126">
        <f>VLOOKUP(L34,Tarifa1,1)</f>
        <v>318.01</v>
      </c>
      <c r="N34" s="126">
        <f t="shared" ref="N34" si="36">L34-M34</f>
        <v>2081.4899999999998</v>
      </c>
      <c r="O34" s="127">
        <f>VLOOKUP(L34,Tarifa1,3)</f>
        <v>6.4000000000000001E-2</v>
      </c>
      <c r="P34" s="126">
        <f t="shared" ref="P34" si="37">N34*O34</f>
        <v>133.21535999999998</v>
      </c>
      <c r="Q34" s="128">
        <f>VLOOKUP(L34,Tarifa1,2)</f>
        <v>6.15</v>
      </c>
      <c r="R34" s="126">
        <f t="shared" ref="R34" si="38">P34+Q34</f>
        <v>139.36535999999998</v>
      </c>
      <c r="S34" s="126">
        <f>VLOOKUP(L34,Credito1,2)</f>
        <v>160.35</v>
      </c>
      <c r="T34" s="126">
        <f t="shared" ref="T34" si="39">ROUND(R34-S34,2)</f>
        <v>-20.98</v>
      </c>
      <c r="U34" s="125">
        <f>-IF(T34&gt;0,0,T34)</f>
        <v>20.98</v>
      </c>
      <c r="V34" s="125">
        <f>IF(T34&lt;0,0,T34)</f>
        <v>0</v>
      </c>
      <c r="W34" s="125">
        <f>SUM(V34:V34)</f>
        <v>0</v>
      </c>
      <c r="X34" s="125">
        <f>J34+U34-W34</f>
        <v>2420.48</v>
      </c>
      <c r="Y34" s="89"/>
    </row>
    <row r="35" spans="1:37" s="69" customFormat="1" ht="21.75" customHeight="1" x14ac:dyDescent="0.2">
      <c r="A35" s="152"/>
      <c r="B35" s="153"/>
      <c r="C35" s="153"/>
      <c r="D35" s="154"/>
      <c r="E35" s="154"/>
      <c r="F35" s="155"/>
      <c r="G35" s="156"/>
      <c r="H35" s="157"/>
      <c r="I35" s="158"/>
      <c r="J35" s="159"/>
      <c r="K35" s="160"/>
      <c r="L35" s="160"/>
      <c r="M35" s="160"/>
      <c r="N35" s="160"/>
      <c r="O35" s="161"/>
      <c r="P35" s="160"/>
      <c r="Q35" s="160"/>
      <c r="R35" s="160"/>
      <c r="S35" s="160"/>
      <c r="T35" s="160"/>
      <c r="U35" s="159"/>
      <c r="V35" s="159"/>
      <c r="W35" s="159"/>
      <c r="X35" s="159"/>
      <c r="Y35" s="76"/>
    </row>
    <row r="36" spans="1:37" s="69" customFormat="1" ht="54.75" customHeight="1" thickBot="1" x14ac:dyDescent="0.25">
      <c r="A36" s="307" t="s">
        <v>45</v>
      </c>
      <c r="B36" s="308"/>
      <c r="C36" s="308"/>
      <c r="D36" s="308"/>
      <c r="E36" s="308"/>
      <c r="F36" s="308"/>
      <c r="G36" s="309"/>
      <c r="H36" s="162">
        <f>SUM(H9+H13+H15+H17+H20+H30+H33)</f>
        <v>79956</v>
      </c>
      <c r="I36" s="162">
        <f>SUM(I9+I13+I15+I17+I20+I30+I33)</f>
        <v>0</v>
      </c>
      <c r="J36" s="162">
        <f>SUM(J9+J13+J15+J17+J20+J30+J33)</f>
        <v>79956</v>
      </c>
      <c r="K36" s="163">
        <f t="shared" ref="K36:T36" si="40">SUM(K10:K34)</f>
        <v>0</v>
      </c>
      <c r="L36" s="163">
        <f t="shared" si="40"/>
        <v>79956</v>
      </c>
      <c r="M36" s="163">
        <f t="shared" si="40"/>
        <v>57931.46</v>
      </c>
      <c r="N36" s="163">
        <f t="shared" si="40"/>
        <v>22024.54</v>
      </c>
      <c r="O36" s="163">
        <f t="shared" si="40"/>
        <v>1.6808000000000003</v>
      </c>
      <c r="P36" s="163">
        <f t="shared" si="40"/>
        <v>4264.2227920000005</v>
      </c>
      <c r="Q36" s="163">
        <f t="shared" si="40"/>
        <v>7090.6500000000005</v>
      </c>
      <c r="R36" s="163">
        <f t="shared" si="40"/>
        <v>11354.872792</v>
      </c>
      <c r="S36" s="163">
        <f t="shared" si="40"/>
        <v>611.4</v>
      </c>
      <c r="T36" s="163">
        <f t="shared" si="40"/>
        <v>10743.469999999998</v>
      </c>
      <c r="U36" s="162">
        <f>SUM(U9+U13+U15+U17+U20+U30+U33)</f>
        <v>27.6</v>
      </c>
      <c r="V36" s="162">
        <f>SUM(V9+V13+V15+V17+V20+V30+V33)</f>
        <v>10771.07</v>
      </c>
      <c r="W36" s="162">
        <f>SUM(W9+W13+W15+W17+W20+W30+W33)</f>
        <v>10771.07</v>
      </c>
      <c r="X36" s="162">
        <f>SUM(X9+X13+X15+X17+X20+X30+X33)</f>
        <v>69212.53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218</v>
      </c>
      <c r="V46" s="69" t="s">
        <v>107</v>
      </c>
    </row>
    <row r="47" spans="1:37" s="69" customFormat="1" ht="12" x14ac:dyDescent="0.2">
      <c r="D47" s="78" t="s">
        <v>377</v>
      </c>
      <c r="V47" s="78" t="s">
        <v>219</v>
      </c>
    </row>
    <row r="48" spans="1:37" s="69" customFormat="1" ht="12" x14ac:dyDescent="0.2">
      <c r="D48" s="78" t="s">
        <v>378</v>
      </c>
      <c r="E48" s="78"/>
      <c r="F48" s="78"/>
      <c r="G48" s="78"/>
      <c r="H48" s="78"/>
      <c r="I48" s="78"/>
      <c r="V48" s="78" t="s">
        <v>95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2" orientation="landscape" r:id="rId1"/>
  <ignoredErrors>
    <ignoredError sqref="J16 J21" formulaRange="1"/>
    <ignoredError sqref="C10 B12 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54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9" t="s">
        <v>86</v>
      </c>
      <c r="E9" s="46" t="s">
        <v>62</v>
      </c>
      <c r="F9" s="47"/>
      <c r="G9" s="4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49"/>
    </row>
    <row r="10" spans="1:25" s="186" customFormat="1" ht="75" customHeight="1" x14ac:dyDescent="0.2">
      <c r="A10" s="177">
        <v>1</v>
      </c>
      <c r="B10" s="178">
        <v>160</v>
      </c>
      <c r="C10" s="136" t="s">
        <v>139</v>
      </c>
      <c r="D10" s="164" t="s">
        <v>216</v>
      </c>
      <c r="E10" s="164" t="s">
        <v>86</v>
      </c>
      <c r="F10" s="179">
        <v>15</v>
      </c>
      <c r="G10" s="180">
        <f>H10/F10</f>
        <v>759.93333333333328</v>
      </c>
      <c r="H10" s="181">
        <v>11399</v>
      </c>
      <c r="I10" s="182">
        <v>0</v>
      </c>
      <c r="J10" s="183">
        <f>SUM(H10:I10)</f>
        <v>11399</v>
      </c>
      <c r="K10" s="170">
        <f>IF(H10/15&lt;=SMG,0,I10/2)</f>
        <v>0</v>
      </c>
      <c r="L10" s="170">
        <f>H10+K10</f>
        <v>11399</v>
      </c>
      <c r="M10" s="170">
        <f>VLOOKUP(L10,Tarifa1,1)</f>
        <v>6602.71</v>
      </c>
      <c r="N10" s="170">
        <f>L10-M10</f>
        <v>4796.29</v>
      </c>
      <c r="O10" s="171">
        <f>VLOOKUP(L10,Tarifa1,3)</f>
        <v>0.21360000000000001</v>
      </c>
      <c r="P10" s="170">
        <f>N10*O10</f>
        <v>1024.4875440000001</v>
      </c>
      <c r="Q10" s="172">
        <f>VLOOKUP(L10,Tarifa1,2)</f>
        <v>699.3</v>
      </c>
      <c r="R10" s="170">
        <f>P10+Q10</f>
        <v>1723.787544</v>
      </c>
      <c r="S10" s="170">
        <f>VLOOKUP(L10,Credito1,2)</f>
        <v>0</v>
      </c>
      <c r="T10" s="170">
        <f>ROUND(R10-S10,2)</f>
        <v>1723.79</v>
      </c>
      <c r="U10" s="183">
        <f>-IF(T10&gt;0,0,T10)</f>
        <v>0</v>
      </c>
      <c r="V10" s="184">
        <f>IF(T10&lt;0,0,T10)</f>
        <v>1723.79</v>
      </c>
      <c r="W10" s="183">
        <f>SUM(V10:V10)</f>
        <v>1723.79</v>
      </c>
      <c r="X10" s="183">
        <f>J10+U10-W10</f>
        <v>9675.2099999999991</v>
      </c>
      <c r="Y10" s="185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220</v>
      </c>
      <c r="V22" t="s">
        <v>107</v>
      </c>
    </row>
    <row r="23" spans="4:37" x14ac:dyDescent="0.2">
      <c r="D23" s="78" t="s">
        <v>377</v>
      </c>
      <c r="H23" s="4"/>
      <c r="V23" s="78" t="s">
        <v>221</v>
      </c>
    </row>
    <row r="24" spans="4:37" x14ac:dyDescent="0.2">
      <c r="D24" s="78" t="s">
        <v>378</v>
      </c>
      <c r="E24" s="51"/>
      <c r="F24" s="51"/>
      <c r="G24" s="51"/>
      <c r="H24" s="51"/>
      <c r="I24" s="51"/>
      <c r="V24" s="51" t="s">
        <v>95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372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292</v>
      </c>
      <c r="E9" s="46" t="s">
        <v>62</v>
      </c>
      <c r="F9" s="212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139</v>
      </c>
      <c r="D10" s="164" t="s">
        <v>197</v>
      </c>
      <c r="E10" s="175" t="s">
        <v>364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118</v>
      </c>
      <c r="C11" s="201" t="s">
        <v>156</v>
      </c>
      <c r="D11" s="45" t="s">
        <v>159</v>
      </c>
      <c r="E11" s="45" t="s">
        <v>62</v>
      </c>
      <c r="F11" s="45"/>
      <c r="G11" s="45"/>
      <c r="H11" s="197">
        <f>SUM(H12)</f>
        <v>6728.5</v>
      </c>
      <c r="I11" s="197">
        <f>SUM(I12)</f>
        <v>0</v>
      </c>
      <c r="J11" s="197">
        <f>SUM(J12)</f>
        <v>6728.5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726.17</v>
      </c>
      <c r="W11" s="197">
        <f>SUM(W12)</f>
        <v>726.17</v>
      </c>
      <c r="X11" s="197">
        <f>SUM(X12)</f>
        <v>6002.33</v>
      </c>
      <c r="Y11" s="49"/>
    </row>
    <row r="12" spans="1:25" ht="75" customHeight="1" x14ac:dyDescent="0.2">
      <c r="A12" s="33"/>
      <c r="B12" s="136" t="s">
        <v>375</v>
      </c>
      <c r="C12" s="62" t="s">
        <v>139</v>
      </c>
      <c r="D12" s="164" t="s">
        <v>370</v>
      </c>
      <c r="E12" s="175" t="s">
        <v>371</v>
      </c>
      <c r="F12" s="165">
        <v>10</v>
      </c>
      <c r="G12" s="166">
        <f t="shared" ref="G12" si="0">H12/F12</f>
        <v>672.85</v>
      </c>
      <c r="H12" s="167">
        <v>6728.5</v>
      </c>
      <c r="I12" s="168">
        <v>0</v>
      </c>
      <c r="J12" s="169">
        <f>SUM(H12:I12)</f>
        <v>6728.5</v>
      </c>
      <c r="K12" s="170">
        <f>IF(H12/15&lt;=SMG,0,I12/2)</f>
        <v>0</v>
      </c>
      <c r="L12" s="170">
        <f>H12+K12</f>
        <v>6728.5</v>
      </c>
      <c r="M12" s="170">
        <f>VLOOKUP(L12,Tarifa1,1)</f>
        <v>6602.71</v>
      </c>
      <c r="N12" s="170">
        <f>L12-M12</f>
        <v>125.78999999999996</v>
      </c>
      <c r="O12" s="171">
        <f>VLOOKUP(L12,Tarifa1,3)</f>
        <v>0.21360000000000001</v>
      </c>
      <c r="P12" s="170">
        <f>N12*O12</f>
        <v>26.868743999999992</v>
      </c>
      <c r="Q12" s="172">
        <f>VLOOKUP(L12,Tarifa1,2)</f>
        <v>699.3</v>
      </c>
      <c r="R12" s="170">
        <f>P12+Q12</f>
        <v>726.16874399999995</v>
      </c>
      <c r="S12" s="170">
        <f>VLOOKUP(L12,Credito1,2)</f>
        <v>0</v>
      </c>
      <c r="T12" s="170">
        <f>ROUND(R12-S12,2)</f>
        <v>726.17</v>
      </c>
      <c r="U12" s="169">
        <f>-IF(T12&gt;0,0,T12)</f>
        <v>0</v>
      </c>
      <c r="V12" s="169">
        <f>IF(T12&lt;0,0,T12)</f>
        <v>726.17</v>
      </c>
      <c r="W12" s="169">
        <f>SUM(V12:V12)</f>
        <v>726.17</v>
      </c>
      <c r="X12" s="125">
        <f>J12+U12-W12</f>
        <v>6002.33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7" t="s">
        <v>45</v>
      </c>
      <c r="B14" s="308"/>
      <c r="C14" s="308"/>
      <c r="D14" s="308"/>
      <c r="E14" s="308"/>
      <c r="F14" s="308"/>
      <c r="G14" s="309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220</v>
      </c>
      <c r="V24" t="s">
        <v>107</v>
      </c>
    </row>
    <row r="25" spans="4:37" x14ac:dyDescent="0.2">
      <c r="D25" s="78" t="s">
        <v>377</v>
      </c>
      <c r="H25" s="4"/>
      <c r="V25" s="78" t="s">
        <v>221</v>
      </c>
    </row>
    <row r="26" spans="4:37" x14ac:dyDescent="0.2">
      <c r="D26" s="78" t="s">
        <v>378</v>
      </c>
      <c r="E26" s="51"/>
      <c r="F26" s="51"/>
      <c r="G26" s="51"/>
      <c r="H26" s="51"/>
      <c r="I26" s="51"/>
      <c r="V26" s="51" t="s">
        <v>95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13" zoomScale="66" zoomScaleNormal="66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2" t="s">
        <v>140</v>
      </c>
      <c r="D5" s="65"/>
      <c r="E5" s="65"/>
      <c r="F5" s="66" t="s">
        <v>23</v>
      </c>
      <c r="G5" s="66" t="s">
        <v>6</v>
      </c>
      <c r="H5" s="313" t="s">
        <v>1</v>
      </c>
      <c r="I5" s="314"/>
      <c r="J5" s="315"/>
      <c r="K5" s="67" t="s">
        <v>26</v>
      </c>
      <c r="L5" s="68"/>
      <c r="M5" s="316" t="s">
        <v>9</v>
      </c>
      <c r="N5" s="317"/>
      <c r="O5" s="317"/>
      <c r="P5" s="317"/>
      <c r="Q5" s="317"/>
      <c r="R5" s="318"/>
      <c r="S5" s="67" t="s">
        <v>30</v>
      </c>
      <c r="T5" s="67" t="s">
        <v>10</v>
      </c>
      <c r="U5" s="66" t="s">
        <v>54</v>
      </c>
      <c r="V5" s="319" t="s">
        <v>2</v>
      </c>
      <c r="W5" s="320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118</v>
      </c>
      <c r="C6" s="333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4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157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75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6" t="s">
        <v>99</v>
      </c>
      <c r="B9" s="247" t="s">
        <v>284</v>
      </c>
      <c r="C9" s="248" t="s">
        <v>217</v>
      </c>
      <c r="D9" s="249" t="s">
        <v>281</v>
      </c>
      <c r="E9" s="250" t="s">
        <v>336</v>
      </c>
      <c r="F9" s="251">
        <v>15</v>
      </c>
      <c r="G9" s="252">
        <f t="shared" ref="G9:G12" si="0">H9/F9</f>
        <v>647.79999999999995</v>
      </c>
      <c r="H9" s="237">
        <v>9717</v>
      </c>
      <c r="I9" s="238">
        <v>0</v>
      </c>
      <c r="J9" s="239">
        <f t="shared" ref="J9" si="1">SUM(H9:I9)</f>
        <v>9717</v>
      </c>
      <c r="K9" s="256">
        <f t="shared" ref="K9:K21" si="2">IF(H9/15&lt;=SMG,0,I9/2)</f>
        <v>0</v>
      </c>
      <c r="L9" s="256">
        <f>H9+K9</f>
        <v>9717</v>
      </c>
      <c r="M9" s="256">
        <f t="shared" ref="M9:M21" si="3">VLOOKUP(L9,Tarifa1,1)</f>
        <v>6602.71</v>
      </c>
      <c r="N9" s="256">
        <f>L9-M9</f>
        <v>3114.29</v>
      </c>
      <c r="O9" s="257">
        <f t="shared" ref="O9:O21" si="4">VLOOKUP(L9,Tarifa1,3)</f>
        <v>0.21360000000000001</v>
      </c>
      <c r="P9" s="256">
        <f>N9*O9</f>
        <v>665.21234400000003</v>
      </c>
      <c r="Q9" s="258">
        <f t="shared" ref="Q9:Q21" si="5">VLOOKUP(L9,Tarifa1,2)</f>
        <v>699.3</v>
      </c>
      <c r="R9" s="256">
        <f>P9+Q9</f>
        <v>1364.512344</v>
      </c>
      <c r="S9" s="289">
        <f t="shared" ref="S9:S21" si="6">VLOOKUP(L9,Credito1,2)</f>
        <v>0</v>
      </c>
      <c r="T9" s="256">
        <f>ROUND(R9-S9,2)</f>
        <v>1364.51</v>
      </c>
      <c r="U9" s="239">
        <f t="shared" ref="U9" si="7">-IF(T9&gt;0,0,T9)</f>
        <v>0</v>
      </c>
      <c r="V9" s="239">
        <f t="shared" ref="V9" si="8">IF(T9&lt;0,0,T9)</f>
        <v>1364.51</v>
      </c>
      <c r="W9" s="239">
        <f>SUM(V9:V9)</f>
        <v>1364.51</v>
      </c>
      <c r="X9" s="239">
        <f>J9+U9-W9</f>
        <v>8352.49</v>
      </c>
      <c r="Y9" s="259"/>
      <c r="Z9" s="188"/>
      <c r="AE9" s="189"/>
    </row>
    <row r="10" spans="1:31" s="186" customFormat="1" ht="95.1" customHeight="1" x14ac:dyDescent="0.25">
      <c r="A10" s="246"/>
      <c r="B10" s="247" t="s">
        <v>236</v>
      </c>
      <c r="C10" s="248" t="s">
        <v>139</v>
      </c>
      <c r="D10" s="249" t="s">
        <v>186</v>
      </c>
      <c r="E10" s="250" t="s">
        <v>187</v>
      </c>
      <c r="F10" s="251">
        <v>15</v>
      </c>
      <c r="G10" s="252">
        <f t="shared" ref="G10" si="9">H10/F10</f>
        <v>268.93333333333334</v>
      </c>
      <c r="H10" s="253">
        <v>4034</v>
      </c>
      <c r="I10" s="254">
        <v>0</v>
      </c>
      <c r="J10" s="255">
        <f>SUM(H10:I10)</f>
        <v>4034</v>
      </c>
      <c r="K10" s="256">
        <f t="shared" si="2"/>
        <v>0</v>
      </c>
      <c r="L10" s="256">
        <f t="shared" ref="L10:L21" si="10">H10+K10</f>
        <v>4034</v>
      </c>
      <c r="M10" s="256">
        <f t="shared" si="3"/>
        <v>2699.41</v>
      </c>
      <c r="N10" s="256">
        <f t="shared" ref="N10:N21" si="11">L10-M10</f>
        <v>1334.5900000000001</v>
      </c>
      <c r="O10" s="257">
        <f t="shared" si="4"/>
        <v>0.10879999999999999</v>
      </c>
      <c r="P10" s="256">
        <f t="shared" ref="P10:P21" si="12">N10*O10</f>
        <v>145.20339200000001</v>
      </c>
      <c r="Q10" s="258">
        <f t="shared" si="5"/>
        <v>158.55000000000001</v>
      </c>
      <c r="R10" s="256">
        <f t="shared" ref="R10:R21" si="13">P10+Q10</f>
        <v>303.75339200000002</v>
      </c>
      <c r="S10" s="289">
        <f t="shared" si="6"/>
        <v>0</v>
      </c>
      <c r="T10" s="256">
        <f t="shared" ref="T10:T21" si="14">ROUND(R10-S10,2)</f>
        <v>303.75</v>
      </c>
      <c r="U10" s="255">
        <f t="shared" ref="U10" si="15">-IF(T10&gt;0,0,T10)</f>
        <v>0</v>
      </c>
      <c r="V10" s="255">
        <f>IF(T10&lt;0,0,T10)</f>
        <v>303.75</v>
      </c>
      <c r="W10" s="255">
        <f>SUM(V10:V10)</f>
        <v>303.75</v>
      </c>
      <c r="X10" s="255">
        <f>J10+U10-W10</f>
        <v>3730.25</v>
      </c>
      <c r="Y10" s="259"/>
      <c r="Z10" s="188"/>
      <c r="AE10" s="189"/>
    </row>
    <row r="11" spans="1:31" s="186" customFormat="1" ht="95.1" customHeight="1" x14ac:dyDescent="0.25">
      <c r="A11" s="246" t="s">
        <v>100</v>
      </c>
      <c r="B11" s="247" t="s">
        <v>237</v>
      </c>
      <c r="C11" s="248" t="s">
        <v>139</v>
      </c>
      <c r="D11" s="249" t="s">
        <v>188</v>
      </c>
      <c r="E11" s="250" t="s">
        <v>191</v>
      </c>
      <c r="F11" s="251">
        <v>15</v>
      </c>
      <c r="G11" s="252">
        <f t="shared" si="0"/>
        <v>538.4</v>
      </c>
      <c r="H11" s="253">
        <v>8076</v>
      </c>
      <c r="I11" s="254">
        <v>0</v>
      </c>
      <c r="J11" s="255">
        <f>SUM(H11:I11)</f>
        <v>8076</v>
      </c>
      <c r="K11" s="256">
        <f t="shared" si="2"/>
        <v>0</v>
      </c>
      <c r="L11" s="256">
        <f t="shared" si="10"/>
        <v>8076</v>
      </c>
      <c r="M11" s="256">
        <f t="shared" si="3"/>
        <v>6602.71</v>
      </c>
      <c r="N11" s="256">
        <f t="shared" si="11"/>
        <v>1473.29</v>
      </c>
      <c r="O11" s="257">
        <f t="shared" si="4"/>
        <v>0.21360000000000001</v>
      </c>
      <c r="P11" s="256">
        <f t="shared" si="12"/>
        <v>314.69474400000001</v>
      </c>
      <c r="Q11" s="258">
        <f t="shared" si="5"/>
        <v>699.3</v>
      </c>
      <c r="R11" s="256">
        <f t="shared" si="13"/>
        <v>1013.994744</v>
      </c>
      <c r="S11" s="289">
        <f t="shared" si="6"/>
        <v>0</v>
      </c>
      <c r="T11" s="256">
        <f t="shared" si="14"/>
        <v>1013.99</v>
      </c>
      <c r="U11" s="255">
        <f t="shared" ref="U11:U13" si="16">-IF(T11&gt;0,0,T11)</f>
        <v>0</v>
      </c>
      <c r="V11" s="255">
        <f>IF(T11&lt;0,0,T11)</f>
        <v>1013.99</v>
      </c>
      <c r="W11" s="255">
        <f>SUM(V11:V11)</f>
        <v>1013.99</v>
      </c>
      <c r="X11" s="255">
        <f>J11+U11-W11</f>
        <v>7062.01</v>
      </c>
      <c r="Y11" s="259"/>
      <c r="AE11" s="190"/>
    </row>
    <row r="12" spans="1:31" s="186" customFormat="1" ht="95.1" customHeight="1" x14ac:dyDescent="0.25">
      <c r="A12" s="246" t="s">
        <v>101</v>
      </c>
      <c r="B12" s="248" t="s">
        <v>134</v>
      </c>
      <c r="C12" s="248" t="s">
        <v>139</v>
      </c>
      <c r="D12" s="249" t="s">
        <v>72</v>
      </c>
      <c r="E12" s="250" t="s">
        <v>190</v>
      </c>
      <c r="F12" s="251">
        <v>15</v>
      </c>
      <c r="G12" s="252">
        <f t="shared" si="0"/>
        <v>446.33333333333331</v>
      </c>
      <c r="H12" s="253">
        <v>6695</v>
      </c>
      <c r="I12" s="254">
        <v>0</v>
      </c>
      <c r="J12" s="255">
        <f>SUM(H12:I12)</f>
        <v>6695</v>
      </c>
      <c r="K12" s="256">
        <f t="shared" si="2"/>
        <v>0</v>
      </c>
      <c r="L12" s="256">
        <f t="shared" si="10"/>
        <v>6695</v>
      </c>
      <c r="M12" s="256">
        <f t="shared" si="3"/>
        <v>6602.71</v>
      </c>
      <c r="N12" s="256">
        <f t="shared" si="11"/>
        <v>92.289999999999964</v>
      </c>
      <c r="O12" s="257">
        <f t="shared" si="4"/>
        <v>0.21360000000000001</v>
      </c>
      <c r="P12" s="256">
        <f t="shared" si="12"/>
        <v>19.713143999999993</v>
      </c>
      <c r="Q12" s="258">
        <f t="shared" si="5"/>
        <v>699.3</v>
      </c>
      <c r="R12" s="256">
        <f t="shared" si="13"/>
        <v>719.0131439999999</v>
      </c>
      <c r="S12" s="289">
        <f t="shared" si="6"/>
        <v>0</v>
      </c>
      <c r="T12" s="256">
        <f t="shared" si="14"/>
        <v>719.01</v>
      </c>
      <c r="U12" s="255">
        <f t="shared" si="16"/>
        <v>0</v>
      </c>
      <c r="V12" s="255">
        <f t="shared" ref="V12:V13" si="17">IF(T12&lt;0,0,T12)</f>
        <v>719.01</v>
      </c>
      <c r="W12" s="255">
        <f>SUM(V12:V12)</f>
        <v>719.01</v>
      </c>
      <c r="X12" s="255">
        <f>J12+U12-W12</f>
        <v>5975.99</v>
      </c>
      <c r="Y12" s="259"/>
    </row>
    <row r="13" spans="1:31" s="186" customFormat="1" ht="95.1" customHeight="1" x14ac:dyDescent="0.25">
      <c r="A13" s="293"/>
      <c r="B13" s="247" t="s">
        <v>349</v>
      </c>
      <c r="C13" s="247"/>
      <c r="D13" s="294" t="s">
        <v>347</v>
      </c>
      <c r="E13" s="250" t="s">
        <v>348</v>
      </c>
      <c r="F13" s="251"/>
      <c r="G13" s="252"/>
      <c r="H13" s="253">
        <v>5894</v>
      </c>
      <c r="I13" s="254">
        <v>0</v>
      </c>
      <c r="J13" s="253">
        <f>H13</f>
        <v>5894</v>
      </c>
      <c r="K13" s="256">
        <f t="shared" ref="K13" si="18">IF(H13/15&lt;=SMG,0,I13/2)</f>
        <v>0</v>
      </c>
      <c r="L13" s="256">
        <f t="shared" ref="L13" si="19">H13+K13</f>
        <v>5894</v>
      </c>
      <c r="M13" s="256">
        <f t="shared" ref="M13" si="20">VLOOKUP(L13,Tarifa1,1)</f>
        <v>5514.76</v>
      </c>
      <c r="N13" s="256">
        <f t="shared" ref="N13" si="21">L13-M13</f>
        <v>379.23999999999978</v>
      </c>
      <c r="O13" s="257">
        <f t="shared" ref="O13" si="22">VLOOKUP(L13,Tarifa1,3)</f>
        <v>0.1792</v>
      </c>
      <c r="P13" s="256">
        <f t="shared" ref="P13" si="23">N13*O13</f>
        <v>67.959807999999967</v>
      </c>
      <c r="Q13" s="258">
        <f t="shared" ref="Q13" si="24">VLOOKUP(L13,Tarifa1,2)</f>
        <v>504.3</v>
      </c>
      <c r="R13" s="256">
        <f t="shared" ref="R13" si="25">P13+Q13</f>
        <v>572.25980800000002</v>
      </c>
      <c r="S13" s="289">
        <f t="shared" ref="S13" si="26">VLOOKUP(L13,Credito1,2)</f>
        <v>0</v>
      </c>
      <c r="T13" s="256">
        <f t="shared" ref="T13" si="27">ROUND(R13-S13,2)</f>
        <v>572.26</v>
      </c>
      <c r="U13" s="255">
        <f t="shared" si="16"/>
        <v>0</v>
      </c>
      <c r="V13" s="255">
        <f t="shared" si="17"/>
        <v>572.26</v>
      </c>
      <c r="W13" s="255">
        <f>SUM(V13:V13)</f>
        <v>572.26</v>
      </c>
      <c r="X13" s="255">
        <f>J13+U13-W13+I13</f>
        <v>5321.74</v>
      </c>
      <c r="Y13" s="259"/>
    </row>
    <row r="14" spans="1:31" s="186" customFormat="1" ht="95.1" customHeight="1" x14ac:dyDescent="0.25">
      <c r="A14" s="246"/>
      <c r="B14" s="248" t="s">
        <v>298</v>
      </c>
      <c r="C14" s="248" t="s">
        <v>139</v>
      </c>
      <c r="D14" s="260" t="s">
        <v>297</v>
      </c>
      <c r="E14" s="250" t="s">
        <v>73</v>
      </c>
      <c r="F14" s="251"/>
      <c r="G14" s="252"/>
      <c r="H14" s="253">
        <v>5894</v>
      </c>
      <c r="I14" s="254">
        <v>0</v>
      </c>
      <c r="J14" s="253">
        <f>H14</f>
        <v>5894</v>
      </c>
      <c r="K14" s="256">
        <f t="shared" si="2"/>
        <v>0</v>
      </c>
      <c r="L14" s="256">
        <f t="shared" si="10"/>
        <v>5894</v>
      </c>
      <c r="M14" s="256">
        <f t="shared" si="3"/>
        <v>5514.76</v>
      </c>
      <c r="N14" s="256">
        <f t="shared" si="11"/>
        <v>379.23999999999978</v>
      </c>
      <c r="O14" s="257">
        <f t="shared" si="4"/>
        <v>0.1792</v>
      </c>
      <c r="P14" s="256">
        <f t="shared" si="12"/>
        <v>67.959807999999967</v>
      </c>
      <c r="Q14" s="258">
        <f t="shared" si="5"/>
        <v>504.3</v>
      </c>
      <c r="R14" s="256">
        <f t="shared" si="13"/>
        <v>572.25980800000002</v>
      </c>
      <c r="S14" s="289">
        <f t="shared" si="6"/>
        <v>0</v>
      </c>
      <c r="T14" s="256">
        <f t="shared" si="14"/>
        <v>572.26</v>
      </c>
      <c r="U14" s="255">
        <f>-IF(T14&gt;0,0,T14)</f>
        <v>0</v>
      </c>
      <c r="V14" s="255">
        <f>IF(T14&lt;0,0,T14)</f>
        <v>572.26</v>
      </c>
      <c r="W14" s="255">
        <f>SUM(V14:V14)</f>
        <v>572.26</v>
      </c>
      <c r="X14" s="255">
        <f>J14+U14-W14+I14</f>
        <v>5321.74</v>
      </c>
      <c r="Y14" s="259"/>
      <c r="AE14" s="189"/>
    </row>
    <row r="15" spans="1:31" s="186" customFormat="1" ht="95.1" customHeight="1" x14ac:dyDescent="0.25">
      <c r="A15" s="246"/>
      <c r="B15" s="248" t="s">
        <v>322</v>
      </c>
      <c r="C15" s="248" t="s">
        <v>217</v>
      </c>
      <c r="D15" s="260" t="s">
        <v>321</v>
      </c>
      <c r="E15" s="250" t="s">
        <v>73</v>
      </c>
      <c r="F15" s="251"/>
      <c r="G15" s="252"/>
      <c r="H15" s="253">
        <v>5894</v>
      </c>
      <c r="I15" s="254">
        <v>0</v>
      </c>
      <c r="J15" s="253">
        <f>H15</f>
        <v>5894</v>
      </c>
      <c r="K15" s="256">
        <f t="shared" si="2"/>
        <v>0</v>
      </c>
      <c r="L15" s="256">
        <f t="shared" si="10"/>
        <v>5894</v>
      </c>
      <c r="M15" s="256">
        <f t="shared" si="3"/>
        <v>5514.76</v>
      </c>
      <c r="N15" s="256">
        <f t="shared" si="11"/>
        <v>379.23999999999978</v>
      </c>
      <c r="O15" s="257">
        <f t="shared" si="4"/>
        <v>0.1792</v>
      </c>
      <c r="P15" s="256">
        <f t="shared" si="12"/>
        <v>67.959807999999967</v>
      </c>
      <c r="Q15" s="258">
        <f t="shared" si="5"/>
        <v>504.3</v>
      </c>
      <c r="R15" s="256">
        <f t="shared" si="13"/>
        <v>572.25980800000002</v>
      </c>
      <c r="S15" s="289">
        <f t="shared" si="6"/>
        <v>0</v>
      </c>
      <c r="T15" s="256">
        <f t="shared" si="14"/>
        <v>572.26</v>
      </c>
      <c r="U15" s="255">
        <f t="shared" ref="U15" si="28">-IF(T15&gt;0,0,T15)</f>
        <v>0</v>
      </c>
      <c r="V15" s="255">
        <f t="shared" ref="V15" si="29">IF(T15&lt;0,0,T15)</f>
        <v>572.26</v>
      </c>
      <c r="W15" s="255">
        <f>SUM(V15:V15)</f>
        <v>572.26</v>
      </c>
      <c r="X15" s="255">
        <f>J15+U15-W15+I15</f>
        <v>5321.74</v>
      </c>
      <c r="Y15" s="259"/>
      <c r="AE15" s="189"/>
    </row>
    <row r="16" spans="1:31" s="186" customFormat="1" ht="95.1" customHeight="1" x14ac:dyDescent="0.25">
      <c r="A16" s="246"/>
      <c r="B16" s="247" t="s">
        <v>330</v>
      </c>
      <c r="C16" s="248" t="s">
        <v>139</v>
      </c>
      <c r="D16" s="250" t="s">
        <v>320</v>
      </c>
      <c r="E16" s="250" t="s">
        <v>73</v>
      </c>
      <c r="F16" s="251"/>
      <c r="G16" s="252"/>
      <c r="H16" s="253">
        <v>5894</v>
      </c>
      <c r="I16" s="254">
        <v>0</v>
      </c>
      <c r="J16" s="253">
        <f>H16</f>
        <v>5894</v>
      </c>
      <c r="K16" s="256">
        <f t="shared" si="2"/>
        <v>0</v>
      </c>
      <c r="L16" s="256">
        <f t="shared" si="10"/>
        <v>5894</v>
      </c>
      <c r="M16" s="256">
        <f t="shared" si="3"/>
        <v>5514.76</v>
      </c>
      <c r="N16" s="256">
        <f t="shared" si="11"/>
        <v>379.23999999999978</v>
      </c>
      <c r="O16" s="257">
        <f t="shared" si="4"/>
        <v>0.1792</v>
      </c>
      <c r="P16" s="256">
        <f t="shared" si="12"/>
        <v>67.959807999999967</v>
      </c>
      <c r="Q16" s="258">
        <f t="shared" si="5"/>
        <v>504.3</v>
      </c>
      <c r="R16" s="256">
        <f t="shared" si="13"/>
        <v>572.25980800000002</v>
      </c>
      <c r="S16" s="289">
        <f t="shared" si="6"/>
        <v>0</v>
      </c>
      <c r="T16" s="256">
        <f t="shared" si="14"/>
        <v>572.26</v>
      </c>
      <c r="U16" s="255">
        <f t="shared" ref="U16" si="30">-IF(T16&gt;0,0,T16)</f>
        <v>0</v>
      </c>
      <c r="V16" s="255">
        <f t="shared" ref="V16" si="31">IF(T16&lt;0,0,T16)</f>
        <v>572.26</v>
      </c>
      <c r="W16" s="255">
        <f>SUM(V16:V16)</f>
        <v>572.26</v>
      </c>
      <c r="X16" s="255">
        <f>J16+U16-W16+I16</f>
        <v>5321.74</v>
      </c>
      <c r="Y16" s="259"/>
      <c r="AE16" s="189"/>
    </row>
    <row r="17" spans="1:31" s="186" customFormat="1" ht="95.1" customHeight="1" x14ac:dyDescent="0.25">
      <c r="A17" s="246"/>
      <c r="B17" s="248" t="s">
        <v>135</v>
      </c>
      <c r="C17" s="248" t="s">
        <v>139</v>
      </c>
      <c r="D17" s="249" t="s">
        <v>74</v>
      </c>
      <c r="E17" s="250" t="s">
        <v>189</v>
      </c>
      <c r="F17" s="251">
        <v>15</v>
      </c>
      <c r="G17" s="252">
        <f>H17/F17</f>
        <v>537.4</v>
      </c>
      <c r="H17" s="253">
        <v>8061</v>
      </c>
      <c r="I17" s="254">
        <v>0</v>
      </c>
      <c r="J17" s="255">
        <f>SUM(H17:I17)</f>
        <v>8061</v>
      </c>
      <c r="K17" s="256">
        <f t="shared" si="2"/>
        <v>0</v>
      </c>
      <c r="L17" s="256">
        <f t="shared" si="10"/>
        <v>8061</v>
      </c>
      <c r="M17" s="256">
        <f t="shared" si="3"/>
        <v>6602.71</v>
      </c>
      <c r="N17" s="256">
        <f t="shared" si="11"/>
        <v>1458.29</v>
      </c>
      <c r="O17" s="257">
        <f t="shared" si="4"/>
        <v>0.21360000000000001</v>
      </c>
      <c r="P17" s="256">
        <f t="shared" si="12"/>
        <v>311.49074400000001</v>
      </c>
      <c r="Q17" s="258">
        <f t="shared" si="5"/>
        <v>699.3</v>
      </c>
      <c r="R17" s="256">
        <f t="shared" si="13"/>
        <v>1010.7907439999999</v>
      </c>
      <c r="S17" s="289">
        <f t="shared" si="6"/>
        <v>0</v>
      </c>
      <c r="T17" s="256">
        <f t="shared" si="14"/>
        <v>1010.79</v>
      </c>
      <c r="U17" s="255">
        <f>-IF(T17&gt;0,0,T17)</f>
        <v>0</v>
      </c>
      <c r="V17" s="255">
        <f>IF(T17&lt;0,0,T17)</f>
        <v>1010.79</v>
      </c>
      <c r="W17" s="255">
        <f>SUM(V17:V17)</f>
        <v>1010.79</v>
      </c>
      <c r="X17" s="255">
        <f>J17+U17-W17</f>
        <v>7050.21</v>
      </c>
      <c r="Y17" s="259"/>
      <c r="AE17" s="189"/>
    </row>
    <row r="18" spans="1:31" s="186" customFormat="1" ht="95.1" customHeight="1" x14ac:dyDescent="0.25">
      <c r="A18" s="246"/>
      <c r="B18" s="248" t="s">
        <v>304</v>
      </c>
      <c r="C18" s="248" t="s">
        <v>139</v>
      </c>
      <c r="D18" s="249" t="s">
        <v>305</v>
      </c>
      <c r="E18" s="250" t="s">
        <v>189</v>
      </c>
      <c r="F18" s="251">
        <v>15</v>
      </c>
      <c r="G18" s="252">
        <f t="shared" ref="G18" si="32">H18/F18</f>
        <v>537.4</v>
      </c>
      <c r="H18" s="253">
        <v>8061</v>
      </c>
      <c r="I18" s="254">
        <v>0</v>
      </c>
      <c r="J18" s="255">
        <f t="shared" ref="J18" si="33">SUM(H18:I18)</f>
        <v>8061</v>
      </c>
      <c r="K18" s="256">
        <f t="shared" si="2"/>
        <v>0</v>
      </c>
      <c r="L18" s="256">
        <f t="shared" si="10"/>
        <v>8061</v>
      </c>
      <c r="M18" s="256">
        <f t="shared" si="3"/>
        <v>6602.71</v>
      </c>
      <c r="N18" s="256">
        <f t="shared" si="11"/>
        <v>1458.29</v>
      </c>
      <c r="O18" s="257">
        <f t="shared" si="4"/>
        <v>0.21360000000000001</v>
      </c>
      <c r="P18" s="256">
        <f t="shared" si="12"/>
        <v>311.49074400000001</v>
      </c>
      <c r="Q18" s="258">
        <f t="shared" si="5"/>
        <v>699.3</v>
      </c>
      <c r="R18" s="256">
        <f t="shared" si="13"/>
        <v>1010.7907439999999</v>
      </c>
      <c r="S18" s="289">
        <f t="shared" si="6"/>
        <v>0</v>
      </c>
      <c r="T18" s="256">
        <f t="shared" si="14"/>
        <v>1010.79</v>
      </c>
      <c r="U18" s="255">
        <f>-IF(T18&gt;0,0,T18)</f>
        <v>0</v>
      </c>
      <c r="V18" s="255">
        <f>IF(T18&lt;0,0,T18)</f>
        <v>1010.79</v>
      </c>
      <c r="W18" s="255">
        <f>SUM(V18:V18)</f>
        <v>1010.79</v>
      </c>
      <c r="X18" s="255">
        <f>J18+U18-W18</f>
        <v>7050.21</v>
      </c>
      <c r="Y18" s="259"/>
      <c r="AE18" s="189"/>
    </row>
    <row r="19" spans="1:31" s="186" customFormat="1" ht="95.1" customHeight="1" x14ac:dyDescent="0.25">
      <c r="A19" s="246"/>
      <c r="B19" s="248" t="s">
        <v>338</v>
      </c>
      <c r="C19" s="248" t="s">
        <v>139</v>
      </c>
      <c r="D19" s="249" t="s">
        <v>339</v>
      </c>
      <c r="E19" s="250" t="s">
        <v>189</v>
      </c>
      <c r="F19" s="251">
        <v>15</v>
      </c>
      <c r="G19" s="252">
        <f t="shared" ref="G19" si="34">H19/F19</f>
        <v>537.4</v>
      </c>
      <c r="H19" s="253">
        <v>8061</v>
      </c>
      <c r="I19" s="254">
        <v>0</v>
      </c>
      <c r="J19" s="255">
        <f t="shared" ref="J19" si="35">SUM(H19:I19)</f>
        <v>8061</v>
      </c>
      <c r="K19" s="256">
        <f t="shared" si="2"/>
        <v>0</v>
      </c>
      <c r="L19" s="256">
        <f t="shared" si="10"/>
        <v>8061</v>
      </c>
      <c r="M19" s="256">
        <f t="shared" si="3"/>
        <v>6602.71</v>
      </c>
      <c r="N19" s="256">
        <f t="shared" si="11"/>
        <v>1458.29</v>
      </c>
      <c r="O19" s="257">
        <f t="shared" si="4"/>
        <v>0.21360000000000001</v>
      </c>
      <c r="P19" s="256">
        <f t="shared" si="12"/>
        <v>311.49074400000001</v>
      </c>
      <c r="Q19" s="258">
        <f t="shared" si="5"/>
        <v>699.3</v>
      </c>
      <c r="R19" s="256">
        <f t="shared" si="13"/>
        <v>1010.7907439999999</v>
      </c>
      <c r="S19" s="289">
        <f t="shared" si="6"/>
        <v>0</v>
      </c>
      <c r="T19" s="256">
        <f t="shared" si="14"/>
        <v>1010.79</v>
      </c>
      <c r="U19" s="255">
        <f>-IF(T19&gt;0,0,T19)</f>
        <v>0</v>
      </c>
      <c r="V19" s="255">
        <f>IF(T19&lt;0,0,T19)</f>
        <v>1010.79</v>
      </c>
      <c r="W19" s="255">
        <f>SUM(V19:V19)</f>
        <v>1010.79</v>
      </c>
      <c r="X19" s="255">
        <f>J19+U19-W19</f>
        <v>7050.21</v>
      </c>
      <c r="Y19" s="259"/>
      <c r="AE19" s="189"/>
    </row>
    <row r="20" spans="1:31" s="186" customFormat="1" ht="95.1" customHeight="1" x14ac:dyDescent="0.25">
      <c r="A20" s="246"/>
      <c r="B20" s="248" t="s">
        <v>179</v>
      </c>
      <c r="C20" s="248" t="s">
        <v>139</v>
      </c>
      <c r="D20" s="260" t="s">
        <v>177</v>
      </c>
      <c r="E20" s="250" t="s">
        <v>265</v>
      </c>
      <c r="F20" s="251">
        <v>15</v>
      </c>
      <c r="G20" s="252">
        <f t="shared" ref="G20:G35" si="36">H20/F20</f>
        <v>430</v>
      </c>
      <c r="H20" s="253">
        <v>6450</v>
      </c>
      <c r="I20" s="254">
        <v>0</v>
      </c>
      <c r="J20" s="255">
        <f t="shared" ref="J20:J35" si="37">SUM(H20:I20)</f>
        <v>6450</v>
      </c>
      <c r="K20" s="256">
        <f t="shared" si="2"/>
        <v>0</v>
      </c>
      <c r="L20" s="256">
        <f t="shared" si="10"/>
        <v>6450</v>
      </c>
      <c r="M20" s="256">
        <f t="shared" si="3"/>
        <v>5514.76</v>
      </c>
      <c r="N20" s="256">
        <f t="shared" si="11"/>
        <v>935.23999999999978</v>
      </c>
      <c r="O20" s="257">
        <f t="shared" si="4"/>
        <v>0.1792</v>
      </c>
      <c r="P20" s="256">
        <f t="shared" si="12"/>
        <v>167.59500799999995</v>
      </c>
      <c r="Q20" s="258">
        <f t="shared" si="5"/>
        <v>504.3</v>
      </c>
      <c r="R20" s="256">
        <f t="shared" si="13"/>
        <v>671.89500799999996</v>
      </c>
      <c r="S20" s="289">
        <f t="shared" si="6"/>
        <v>0</v>
      </c>
      <c r="T20" s="256">
        <f t="shared" si="14"/>
        <v>671.9</v>
      </c>
      <c r="U20" s="255">
        <f t="shared" ref="U20" si="38">-IF(T20&gt;0,0,T20)</f>
        <v>0</v>
      </c>
      <c r="V20" s="255">
        <f t="shared" ref="V20:V35" si="39">IF(T20&lt;0,0,T20)</f>
        <v>671.9</v>
      </c>
      <c r="W20" s="255">
        <f>SUM(V20:V20)</f>
        <v>671.9</v>
      </c>
      <c r="X20" s="255">
        <f>J20+U20-W20</f>
        <v>5778.1</v>
      </c>
      <c r="Y20" s="259"/>
      <c r="AE20" s="189"/>
    </row>
    <row r="21" spans="1:31" s="186" customFormat="1" ht="95.1" customHeight="1" x14ac:dyDescent="0.25">
      <c r="A21" s="246"/>
      <c r="B21" s="248" t="s">
        <v>328</v>
      </c>
      <c r="C21" s="248" t="s">
        <v>139</v>
      </c>
      <c r="D21" s="260" t="s">
        <v>329</v>
      </c>
      <c r="E21" s="250" t="s">
        <v>265</v>
      </c>
      <c r="F21" s="251"/>
      <c r="G21" s="252"/>
      <c r="H21" s="253">
        <v>6450</v>
      </c>
      <c r="I21" s="254">
        <v>0</v>
      </c>
      <c r="J21" s="255">
        <f>SUM(H21:I21)</f>
        <v>6450</v>
      </c>
      <c r="K21" s="256">
        <f t="shared" si="2"/>
        <v>0</v>
      </c>
      <c r="L21" s="256">
        <f t="shared" si="10"/>
        <v>6450</v>
      </c>
      <c r="M21" s="256">
        <f t="shared" si="3"/>
        <v>5514.76</v>
      </c>
      <c r="N21" s="256">
        <f t="shared" si="11"/>
        <v>935.23999999999978</v>
      </c>
      <c r="O21" s="257">
        <f t="shared" si="4"/>
        <v>0.1792</v>
      </c>
      <c r="P21" s="256">
        <f t="shared" si="12"/>
        <v>167.59500799999995</v>
      </c>
      <c r="Q21" s="258">
        <f t="shared" si="5"/>
        <v>504.3</v>
      </c>
      <c r="R21" s="256">
        <f t="shared" si="13"/>
        <v>671.89500799999996</v>
      </c>
      <c r="S21" s="289">
        <f t="shared" si="6"/>
        <v>0</v>
      </c>
      <c r="T21" s="256">
        <f t="shared" si="14"/>
        <v>671.9</v>
      </c>
      <c r="U21" s="255">
        <f>-IF(T21&gt;0,0,T21)</f>
        <v>0</v>
      </c>
      <c r="V21" s="255">
        <f>IF(T21&lt;0,0,T21)</f>
        <v>671.9</v>
      </c>
      <c r="W21" s="255">
        <f>SUM(V21:V21)</f>
        <v>671.9</v>
      </c>
      <c r="X21" s="255">
        <f>J21+U21-W21</f>
        <v>5778.1</v>
      </c>
      <c r="Y21" s="259"/>
      <c r="AE21" s="189"/>
    </row>
    <row r="22" spans="1:31" s="186" customFormat="1" ht="95.1" customHeight="1" x14ac:dyDescent="0.25">
      <c r="A22" s="266"/>
      <c r="B22" s="267"/>
      <c r="C22" s="267"/>
      <c r="D22" s="268"/>
      <c r="E22" s="269"/>
      <c r="F22" s="270"/>
      <c r="G22" s="271"/>
      <c r="H22" s="272"/>
      <c r="I22" s="273"/>
      <c r="J22" s="274"/>
      <c r="K22" s="275"/>
      <c r="L22" s="275"/>
      <c r="M22" s="275"/>
      <c r="N22" s="275"/>
      <c r="O22" s="276"/>
      <c r="P22" s="275"/>
      <c r="Q22" s="277"/>
      <c r="R22" s="275"/>
      <c r="S22" s="275"/>
      <c r="T22" s="275"/>
      <c r="U22" s="274"/>
      <c r="V22" s="274"/>
      <c r="W22" s="274"/>
      <c r="X22" s="274"/>
      <c r="Y22" s="263"/>
      <c r="AE22" s="189"/>
    </row>
    <row r="23" spans="1:31" s="186" customFormat="1" ht="95.1" customHeight="1" x14ac:dyDescent="0.25">
      <c r="A23" s="266"/>
      <c r="B23" s="267"/>
      <c r="C23" s="267"/>
      <c r="D23" s="268"/>
      <c r="E23" s="269"/>
      <c r="F23" s="270"/>
      <c r="G23" s="271"/>
      <c r="H23" s="272"/>
      <c r="I23" s="273"/>
      <c r="J23" s="274"/>
      <c r="K23" s="275"/>
      <c r="L23" s="275"/>
      <c r="M23" s="275"/>
      <c r="N23" s="275"/>
      <c r="O23" s="276"/>
      <c r="P23" s="275"/>
      <c r="Q23" s="277"/>
      <c r="R23" s="275"/>
      <c r="S23" s="275"/>
      <c r="T23" s="275"/>
      <c r="U23" s="274"/>
      <c r="V23" s="274"/>
      <c r="W23" s="274"/>
      <c r="X23" s="274"/>
      <c r="Y23" s="263"/>
      <c r="AE23" s="189"/>
    </row>
    <row r="24" spans="1:31" s="186" customFormat="1" ht="24" customHeight="1" x14ac:dyDescent="0.25">
      <c r="A24" s="266"/>
      <c r="B24" s="310" t="s">
        <v>91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189"/>
    </row>
    <row r="25" spans="1:31" s="186" customFormat="1" ht="23.25" customHeight="1" x14ac:dyDescent="0.25">
      <c r="A25" s="266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89"/>
    </row>
    <row r="26" spans="1:31" s="186" customFormat="1" ht="23.25" customHeight="1" x14ac:dyDescent="0.25">
      <c r="A26" s="266"/>
      <c r="B26" s="311" t="s">
        <v>380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E26" s="189"/>
    </row>
    <row r="27" spans="1:31" s="186" customFormat="1" ht="18.75" customHeight="1" x14ac:dyDescent="0.25">
      <c r="A27" s="266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17.25" customHeight="1" x14ac:dyDescent="0.25">
      <c r="A28" s="266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E28" s="189"/>
    </row>
    <row r="29" spans="1:31" s="186" customFormat="1" ht="20.25" customHeight="1" x14ac:dyDescent="0.25">
      <c r="A29" s="266"/>
      <c r="B29" s="65"/>
      <c r="C29" s="65"/>
      <c r="D29" s="65"/>
      <c r="E29" s="65"/>
      <c r="F29" s="66" t="s">
        <v>23</v>
      </c>
      <c r="G29" s="66" t="s">
        <v>6</v>
      </c>
      <c r="H29" s="313" t="s">
        <v>1</v>
      </c>
      <c r="I29" s="314"/>
      <c r="J29" s="315"/>
      <c r="K29" s="67" t="s">
        <v>26</v>
      </c>
      <c r="L29" s="68"/>
      <c r="M29" s="316" t="s">
        <v>9</v>
      </c>
      <c r="N29" s="317"/>
      <c r="O29" s="317"/>
      <c r="P29" s="317"/>
      <c r="Q29" s="317"/>
      <c r="R29" s="318"/>
      <c r="S29" s="67" t="s">
        <v>30</v>
      </c>
      <c r="T29" s="67" t="s">
        <v>10</v>
      </c>
      <c r="U29" s="66" t="s">
        <v>54</v>
      </c>
      <c r="V29" s="319" t="s">
        <v>2</v>
      </c>
      <c r="W29" s="320"/>
      <c r="X29" s="66" t="s">
        <v>0</v>
      </c>
      <c r="Y29" s="65"/>
      <c r="Z29" s="118"/>
      <c r="AE29" s="189"/>
    </row>
    <row r="30" spans="1:31" s="186" customFormat="1" ht="37.5" customHeight="1" x14ac:dyDescent="0.25">
      <c r="A30" s="266"/>
      <c r="B30" s="64" t="s">
        <v>118</v>
      </c>
      <c r="C30" s="64" t="s">
        <v>140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18"/>
      <c r="AE30" s="189"/>
    </row>
    <row r="31" spans="1:31" s="186" customFormat="1" ht="18.75" customHeight="1" x14ac:dyDescent="0.25">
      <c r="A31" s="266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157</v>
      </c>
      <c r="U31" s="79" t="s">
        <v>53</v>
      </c>
      <c r="V31" s="79"/>
      <c r="W31" s="79" t="s">
        <v>44</v>
      </c>
      <c r="X31" s="79" t="s">
        <v>5</v>
      </c>
      <c r="Y31" s="75"/>
      <c r="Z31" s="118"/>
      <c r="AE31" s="189"/>
    </row>
    <row r="32" spans="1:31" s="186" customFormat="1" ht="18" customHeight="1" x14ac:dyDescent="0.25">
      <c r="A32" s="266"/>
      <c r="B32" s="82"/>
      <c r="C32" s="82"/>
      <c r="D32" s="84" t="s">
        <v>75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89"/>
    </row>
    <row r="33" spans="1:31" s="186" customFormat="1" ht="94.5" customHeight="1" x14ac:dyDescent="0.25">
      <c r="A33" s="266"/>
      <c r="B33" s="248" t="s">
        <v>283</v>
      </c>
      <c r="C33" s="248" t="s">
        <v>139</v>
      </c>
      <c r="D33" s="260" t="s">
        <v>272</v>
      </c>
      <c r="E33" s="250" t="s">
        <v>265</v>
      </c>
      <c r="F33" s="251"/>
      <c r="G33" s="252"/>
      <c r="H33" s="253">
        <v>8061</v>
      </c>
      <c r="I33" s="254">
        <v>0</v>
      </c>
      <c r="J33" s="255">
        <f t="shared" ref="J33:J34" si="40">SUM(H33:I33)</f>
        <v>8061</v>
      </c>
      <c r="K33" s="256">
        <f t="shared" ref="K33:K34" si="41">IF(H33/15&lt;=SMG,0,I33/2)</f>
        <v>0</v>
      </c>
      <c r="L33" s="256">
        <f t="shared" ref="L33:L34" si="42">H33+K33</f>
        <v>8061</v>
      </c>
      <c r="M33" s="256">
        <f t="shared" ref="M33:M34" si="43">VLOOKUP(L33,Tarifa1,1)</f>
        <v>6602.71</v>
      </c>
      <c r="N33" s="256">
        <f t="shared" ref="N33:N34" si="44">L33-M33</f>
        <v>1458.29</v>
      </c>
      <c r="O33" s="257">
        <f t="shared" ref="O33:O34" si="45">VLOOKUP(L33,Tarifa1,3)</f>
        <v>0.21360000000000001</v>
      </c>
      <c r="P33" s="256">
        <f t="shared" ref="P33:P34" si="46">N33*O33</f>
        <v>311.49074400000001</v>
      </c>
      <c r="Q33" s="258">
        <f t="shared" ref="Q33:Q34" si="47">VLOOKUP(L33,Tarifa1,2)</f>
        <v>699.3</v>
      </c>
      <c r="R33" s="256">
        <f t="shared" ref="R33:R34" si="48">P33+Q33</f>
        <v>1010.7907439999999</v>
      </c>
      <c r="S33" s="289">
        <f t="shared" ref="S33:S34" si="49">VLOOKUP(L33,Credito1,2)</f>
        <v>0</v>
      </c>
      <c r="T33" s="256">
        <f t="shared" ref="T33:T34" si="50">ROUND(R33-S33,2)</f>
        <v>1010.79</v>
      </c>
      <c r="U33" s="255">
        <f>-IF(T33&gt;0,0,T33)</f>
        <v>0</v>
      </c>
      <c r="V33" s="255">
        <f>IF(T33&lt;0,0,T33)</f>
        <v>1010.79</v>
      </c>
      <c r="W33" s="255">
        <f>SUM(V33:V33)</f>
        <v>1010.79</v>
      </c>
      <c r="X33" s="255">
        <f>J33+U33-W33</f>
        <v>7050.21</v>
      </c>
      <c r="Y33" s="259"/>
      <c r="AE33" s="189"/>
    </row>
    <row r="34" spans="1:31" s="186" customFormat="1" ht="95.1" customHeight="1" x14ac:dyDescent="0.25">
      <c r="A34" s="246"/>
      <c r="B34" s="248" t="s">
        <v>295</v>
      </c>
      <c r="C34" s="248" t="s">
        <v>139</v>
      </c>
      <c r="D34" s="260" t="s">
        <v>296</v>
      </c>
      <c r="E34" s="250" t="s">
        <v>265</v>
      </c>
      <c r="F34" s="251"/>
      <c r="G34" s="252"/>
      <c r="H34" s="253">
        <v>8061</v>
      </c>
      <c r="I34" s="254">
        <v>0</v>
      </c>
      <c r="J34" s="255">
        <f t="shared" si="40"/>
        <v>8061</v>
      </c>
      <c r="K34" s="256">
        <f t="shared" si="41"/>
        <v>0</v>
      </c>
      <c r="L34" s="256">
        <f t="shared" si="42"/>
        <v>8061</v>
      </c>
      <c r="M34" s="256">
        <f t="shared" si="43"/>
        <v>6602.71</v>
      </c>
      <c r="N34" s="256">
        <f t="shared" si="44"/>
        <v>1458.29</v>
      </c>
      <c r="O34" s="257">
        <f t="shared" si="45"/>
        <v>0.21360000000000001</v>
      </c>
      <c r="P34" s="256">
        <f t="shared" si="46"/>
        <v>311.49074400000001</v>
      </c>
      <c r="Q34" s="258">
        <f t="shared" si="47"/>
        <v>699.3</v>
      </c>
      <c r="R34" s="256">
        <f t="shared" si="48"/>
        <v>1010.7907439999999</v>
      </c>
      <c r="S34" s="289">
        <f t="shared" si="49"/>
        <v>0</v>
      </c>
      <c r="T34" s="256">
        <f t="shared" si="50"/>
        <v>1010.79</v>
      </c>
      <c r="U34" s="255">
        <f>-IF(T34&gt;0,0,T34)</f>
        <v>0</v>
      </c>
      <c r="V34" s="255">
        <f>IF(T34&lt;0,0,T34)</f>
        <v>1010.79</v>
      </c>
      <c r="W34" s="255">
        <f>SUM(V34:V34)</f>
        <v>1010.79</v>
      </c>
      <c r="X34" s="255">
        <f>J34+U34-W34</f>
        <v>7050.21</v>
      </c>
      <c r="Y34" s="259"/>
      <c r="AE34" s="189"/>
    </row>
    <row r="35" spans="1:31" s="186" customFormat="1" ht="95.1" customHeight="1" x14ac:dyDescent="0.25">
      <c r="A35" s="246"/>
      <c r="B35" s="248" t="s">
        <v>285</v>
      </c>
      <c r="C35" s="248" t="s">
        <v>139</v>
      </c>
      <c r="D35" s="260" t="s">
        <v>266</v>
      </c>
      <c r="E35" s="250" t="s">
        <v>267</v>
      </c>
      <c r="F35" s="251">
        <v>15</v>
      </c>
      <c r="G35" s="252">
        <f t="shared" si="36"/>
        <v>292.36666666666667</v>
      </c>
      <c r="H35" s="253">
        <v>4385.5</v>
      </c>
      <c r="I35" s="254">
        <v>0</v>
      </c>
      <c r="J35" s="255">
        <f t="shared" si="37"/>
        <v>4385.5</v>
      </c>
      <c r="K35" s="256">
        <f t="shared" ref="K35:K36" si="51">IF(H35/15&lt;=SMG,0,I35/2)</f>
        <v>0</v>
      </c>
      <c r="L35" s="256">
        <f t="shared" ref="L35:L36" si="52">H35+K35</f>
        <v>4385.5</v>
      </c>
      <c r="M35" s="256">
        <f t="shared" ref="M35:M36" si="53">VLOOKUP(L35,Tarifa1,1)</f>
        <v>2699.41</v>
      </c>
      <c r="N35" s="256">
        <f t="shared" ref="N35:N36" si="54">L35-M35</f>
        <v>1686.0900000000001</v>
      </c>
      <c r="O35" s="257">
        <f t="shared" ref="O35:O36" si="55">VLOOKUP(L35,Tarifa1,3)</f>
        <v>0.10879999999999999</v>
      </c>
      <c r="P35" s="256">
        <f t="shared" ref="P35:P36" si="56">N35*O35</f>
        <v>183.44659200000001</v>
      </c>
      <c r="Q35" s="258">
        <f t="shared" ref="Q35:Q36" si="57">VLOOKUP(L35,Tarifa1,2)</f>
        <v>158.55000000000001</v>
      </c>
      <c r="R35" s="256">
        <f t="shared" ref="R35:R36" si="58">P35+Q35</f>
        <v>341.99659200000002</v>
      </c>
      <c r="S35" s="289">
        <f t="shared" ref="S35:S36" si="59">VLOOKUP(L35,Credito1,2)</f>
        <v>0</v>
      </c>
      <c r="T35" s="256">
        <f t="shared" ref="T35:T36" si="60">ROUND(R35-S35,2)</f>
        <v>342</v>
      </c>
      <c r="U35" s="255">
        <f>-IF(T35&gt;0,0,T35)</f>
        <v>0</v>
      </c>
      <c r="V35" s="255">
        <f t="shared" si="39"/>
        <v>342</v>
      </c>
      <c r="W35" s="255">
        <f>SUM(V35:V35)</f>
        <v>342</v>
      </c>
      <c r="X35" s="255">
        <f>J35+U35-W35</f>
        <v>4043.5</v>
      </c>
      <c r="Y35" s="259"/>
      <c r="AE35" s="189"/>
    </row>
    <row r="36" spans="1:31" s="186" customFormat="1" ht="95.1" customHeight="1" x14ac:dyDescent="0.25">
      <c r="A36" s="246"/>
      <c r="B36" s="248" t="s">
        <v>286</v>
      </c>
      <c r="C36" s="248" t="s">
        <v>139</v>
      </c>
      <c r="D36" s="260" t="s">
        <v>268</v>
      </c>
      <c r="E36" s="250" t="s">
        <v>269</v>
      </c>
      <c r="F36" s="251"/>
      <c r="G36" s="252"/>
      <c r="H36" s="253">
        <v>4659</v>
      </c>
      <c r="I36" s="254">
        <v>0</v>
      </c>
      <c r="J36" s="255">
        <f>SUM(H36:I36)</f>
        <v>4659</v>
      </c>
      <c r="K36" s="256">
        <f t="shared" si="51"/>
        <v>0</v>
      </c>
      <c r="L36" s="256">
        <f t="shared" si="52"/>
        <v>4659</v>
      </c>
      <c r="M36" s="256">
        <f t="shared" si="53"/>
        <v>2699.41</v>
      </c>
      <c r="N36" s="256">
        <f t="shared" si="54"/>
        <v>1959.5900000000001</v>
      </c>
      <c r="O36" s="257">
        <f t="shared" si="55"/>
        <v>0.10879999999999999</v>
      </c>
      <c r="P36" s="256">
        <f t="shared" si="56"/>
        <v>213.20339200000001</v>
      </c>
      <c r="Q36" s="258">
        <f t="shared" si="57"/>
        <v>158.55000000000001</v>
      </c>
      <c r="R36" s="256">
        <f t="shared" si="58"/>
        <v>371.75339200000002</v>
      </c>
      <c r="S36" s="289">
        <f t="shared" si="59"/>
        <v>0</v>
      </c>
      <c r="T36" s="256">
        <f t="shared" si="60"/>
        <v>371.75</v>
      </c>
      <c r="U36" s="255">
        <f>-IF(T36&gt;0,0,T36)</f>
        <v>0</v>
      </c>
      <c r="V36" s="255">
        <f>IF(T36&lt;0,0,T36)</f>
        <v>371.75</v>
      </c>
      <c r="W36" s="255">
        <f>SUM(V36:V36)</f>
        <v>371.75</v>
      </c>
      <c r="X36" s="255">
        <f>J36+U36-W36</f>
        <v>4287.25</v>
      </c>
      <c r="Y36" s="259"/>
      <c r="AE36" s="189"/>
    </row>
    <row r="37" spans="1:31" s="69" customFormat="1" ht="39" customHeight="1" thickBot="1" x14ac:dyDescent="0.3">
      <c r="A37" s="329" t="s">
        <v>45</v>
      </c>
      <c r="B37" s="330"/>
      <c r="C37" s="330"/>
      <c r="D37" s="330"/>
      <c r="E37" s="330"/>
      <c r="F37" s="330"/>
      <c r="G37" s="331"/>
      <c r="H37" s="261">
        <f t="shared" ref="H37:X37" si="61">SUM(H9:H36)</f>
        <v>114347.5</v>
      </c>
      <c r="I37" s="261">
        <f t="shared" si="61"/>
        <v>0</v>
      </c>
      <c r="J37" s="261">
        <f t="shared" si="61"/>
        <v>114347.5</v>
      </c>
      <c r="K37" s="262">
        <f t="shared" si="61"/>
        <v>0</v>
      </c>
      <c r="L37" s="262">
        <f t="shared" si="61"/>
        <v>114347.5</v>
      </c>
      <c r="M37" s="262">
        <f t="shared" si="61"/>
        <v>94008.470000000016</v>
      </c>
      <c r="N37" s="262">
        <f t="shared" si="61"/>
        <v>20339.030000000002</v>
      </c>
      <c r="O37" s="262">
        <f t="shared" si="61"/>
        <v>3.1103999999999998</v>
      </c>
      <c r="P37" s="262">
        <f t="shared" si="61"/>
        <v>3705.956576</v>
      </c>
      <c r="Q37" s="262">
        <f t="shared" si="61"/>
        <v>9095.85</v>
      </c>
      <c r="R37" s="262">
        <f t="shared" si="61"/>
        <v>12801.806575999997</v>
      </c>
      <c r="S37" s="262">
        <f t="shared" si="61"/>
        <v>0</v>
      </c>
      <c r="T37" s="262">
        <f t="shared" si="61"/>
        <v>12801.800000000003</v>
      </c>
      <c r="U37" s="261">
        <f t="shared" si="61"/>
        <v>0</v>
      </c>
      <c r="V37" s="261">
        <f t="shared" si="61"/>
        <v>12801.800000000003</v>
      </c>
      <c r="W37" s="261">
        <f t="shared" si="61"/>
        <v>12801.800000000003</v>
      </c>
      <c r="X37" s="261">
        <f t="shared" si="61"/>
        <v>101545.70000000001</v>
      </c>
      <c r="Y37" s="263"/>
    </row>
    <row r="38" spans="1:31" s="69" customFormat="1" ht="39" customHeight="1" thickTop="1" x14ac:dyDescent="0.25">
      <c r="A38" s="229"/>
      <c r="B38" s="229"/>
      <c r="C38" s="229"/>
      <c r="D38" s="229"/>
      <c r="E38" s="229"/>
      <c r="F38" s="229"/>
      <c r="G38" s="229"/>
      <c r="H38" s="230"/>
      <c r="I38" s="230"/>
      <c r="J38" s="230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0"/>
      <c r="V38" s="230"/>
      <c r="W38" s="230"/>
      <c r="X38" s="230"/>
    </row>
    <row r="39" spans="1:31" s="69" customFormat="1" ht="39" customHeight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39" customHeight="1" x14ac:dyDescent="0.25">
      <c r="A40" s="229"/>
      <c r="B40" s="229"/>
      <c r="C40" s="229"/>
      <c r="D40" s="229"/>
      <c r="E40" s="229"/>
      <c r="F40" s="229"/>
      <c r="G40" s="229"/>
      <c r="H40" s="230"/>
      <c r="I40" s="230"/>
      <c r="J40" s="230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0"/>
      <c r="V40" s="230"/>
      <c r="W40" s="230"/>
      <c r="X40" s="230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6"/>
      <c r="C43" s="186"/>
      <c r="D43" s="186" t="s">
        <v>379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 t="s">
        <v>107</v>
      </c>
      <c r="W43" s="186"/>
      <c r="X43" s="186"/>
    </row>
    <row r="44" spans="1:31" s="69" customFormat="1" ht="15" x14ac:dyDescent="0.25">
      <c r="B44" s="186"/>
      <c r="C44" s="186"/>
      <c r="D44" s="297" t="s">
        <v>377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91" t="s">
        <v>219</v>
      </c>
      <c r="W44" s="186"/>
      <c r="X44" s="186"/>
    </row>
    <row r="45" spans="1:31" s="69" customFormat="1" ht="15" x14ac:dyDescent="0.25">
      <c r="B45" s="186"/>
      <c r="C45" s="186"/>
      <c r="D45" s="297" t="s">
        <v>378</v>
      </c>
      <c r="E45" s="191"/>
      <c r="F45" s="191"/>
      <c r="G45" s="191"/>
      <c r="H45" s="191"/>
      <c r="I45" s="191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91" t="s">
        <v>95</v>
      </c>
      <c r="W45" s="191"/>
      <c r="X45" s="191"/>
      <c r="Y45" s="78"/>
    </row>
    <row r="46" spans="1:31" s="69" customFormat="1" ht="14.25" x14ac:dyDescent="0.2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</row>
  </sheetData>
  <mergeCells count="14">
    <mergeCell ref="C5:C7"/>
    <mergeCell ref="A1:Y1"/>
    <mergeCell ref="A2:Y2"/>
    <mergeCell ref="A3:Y3"/>
    <mergeCell ref="H5:J5"/>
    <mergeCell ref="M5:R5"/>
    <mergeCell ref="V5:W5"/>
    <mergeCell ref="H29:J29"/>
    <mergeCell ref="M29:R29"/>
    <mergeCell ref="V29:W29"/>
    <mergeCell ref="A37:G37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20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7" zoomScale="82" zoomScaleNormal="82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25" s="69" customFormat="1" ht="24" x14ac:dyDescent="0.2">
      <c r="A7" s="70" t="s">
        <v>125</v>
      </c>
      <c r="B7" s="64" t="s">
        <v>118</v>
      </c>
      <c r="C7" s="64" t="s">
        <v>156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157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76</v>
      </c>
      <c r="E9" s="192" t="s">
        <v>62</v>
      </c>
      <c r="F9" s="192"/>
      <c r="G9" s="192"/>
      <c r="H9" s="193">
        <f>SUM(H10:H27)</f>
        <v>40019.5</v>
      </c>
      <c r="I9" s="193">
        <f>SUM(I10:I27)</f>
        <v>1101.97</v>
      </c>
      <c r="J9" s="193">
        <f>SUM(J10:J27)</f>
        <v>41121.47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1480.5699999999997</v>
      </c>
      <c r="W9" s="193">
        <f>SUM(W10:W27)</f>
        <v>1480.5699999999997</v>
      </c>
      <c r="X9" s="193">
        <f>SUM(X10:X27)</f>
        <v>39640.9</v>
      </c>
      <c r="Y9" s="195"/>
    </row>
    <row r="10" spans="1:25" s="4" customFormat="1" ht="67.5" customHeight="1" x14ac:dyDescent="0.2">
      <c r="A10" s="59"/>
      <c r="B10" s="114" t="s">
        <v>287</v>
      </c>
      <c r="C10" s="114" t="s">
        <v>139</v>
      </c>
      <c r="D10" s="119" t="s">
        <v>280</v>
      </c>
      <c r="E10" s="119" t="s">
        <v>279</v>
      </c>
      <c r="F10" s="131">
        <v>15</v>
      </c>
      <c r="G10" s="132">
        <f>H10/F10</f>
        <v>220.2</v>
      </c>
      <c r="H10" s="117">
        <v>3303</v>
      </c>
      <c r="I10" s="124">
        <v>225.25</v>
      </c>
      <c r="J10" s="125">
        <f t="shared" ref="J10" si="0">SUM(H10:I10)</f>
        <v>3528.25</v>
      </c>
      <c r="K10" s="170">
        <f t="shared" ref="K10:K19" si="1">IF(H10/15&lt;=SMG,0,I10/2)</f>
        <v>112.625</v>
      </c>
      <c r="L10" s="170">
        <f t="shared" ref="L10" si="2">H10+K10</f>
        <v>3415.625</v>
      </c>
      <c r="M10" s="170">
        <f t="shared" ref="M10:M19" si="3">VLOOKUP(L10,Tarifa1,1)</f>
        <v>2699.41</v>
      </c>
      <c r="N10" s="170">
        <f t="shared" ref="N10" si="4">L10-M10</f>
        <v>716.21500000000015</v>
      </c>
      <c r="O10" s="171">
        <f t="shared" ref="O10:O19" si="5">VLOOKUP(L10,Tarifa1,3)</f>
        <v>0.10879999999999999</v>
      </c>
      <c r="P10" s="170">
        <f t="shared" ref="P10" si="6">N10*O10</f>
        <v>77.924192000000005</v>
      </c>
      <c r="Q10" s="172">
        <f t="shared" ref="Q10:Q19" si="7">VLOOKUP(L10,Tarifa1,2)</f>
        <v>158.55000000000001</v>
      </c>
      <c r="R10" s="170">
        <f t="shared" ref="R10" si="8">P10+Q10</f>
        <v>236.47419200000002</v>
      </c>
      <c r="S10" s="290">
        <f t="shared" ref="S10:S19" si="9">VLOOKUP(L10,Credito1,2)</f>
        <v>125.1</v>
      </c>
      <c r="T10" s="170">
        <f t="shared" ref="T10" si="10">ROUND(R10-S10,2)</f>
        <v>111.37</v>
      </c>
      <c r="U10" s="125">
        <f t="shared" ref="U10" si="11">-IF(T10&gt;0,0,T10)</f>
        <v>0</v>
      </c>
      <c r="V10" s="125">
        <f t="shared" ref="V10" si="12">IF(T10&lt;0,0,T10)</f>
        <v>111.37</v>
      </c>
      <c r="W10" s="125">
        <f>SUM(V10:V10)</f>
        <v>111.37</v>
      </c>
      <c r="X10" s="125">
        <f>J10+U10-W10</f>
        <v>3416.88</v>
      </c>
      <c r="Y10" s="120"/>
    </row>
    <row r="11" spans="1:25" s="4" customFormat="1" ht="67.5" customHeight="1" x14ac:dyDescent="0.2">
      <c r="A11" s="59"/>
      <c r="B11" s="114" t="s">
        <v>120</v>
      </c>
      <c r="C11" s="114" t="s">
        <v>139</v>
      </c>
      <c r="D11" s="119" t="s">
        <v>77</v>
      </c>
      <c r="E11" s="119" t="s">
        <v>78</v>
      </c>
      <c r="F11" s="131">
        <v>15</v>
      </c>
      <c r="G11" s="132">
        <f>H11/F11</f>
        <v>223.8</v>
      </c>
      <c r="H11" s="117">
        <v>3357</v>
      </c>
      <c r="I11" s="124">
        <v>228.42</v>
      </c>
      <c r="J11" s="125">
        <f t="shared" ref="J11" si="13">SUM(H11:I11)</f>
        <v>3585.42</v>
      </c>
      <c r="K11" s="170">
        <f t="shared" si="1"/>
        <v>114.21</v>
      </c>
      <c r="L11" s="170">
        <f t="shared" ref="L11:L19" si="14">H11+K11</f>
        <v>3471.21</v>
      </c>
      <c r="M11" s="170">
        <f t="shared" si="3"/>
        <v>2699.41</v>
      </c>
      <c r="N11" s="170">
        <f t="shared" ref="N11:N19" si="15">L11-M11</f>
        <v>771.80000000000018</v>
      </c>
      <c r="O11" s="171">
        <f t="shared" si="5"/>
        <v>0.10879999999999999</v>
      </c>
      <c r="P11" s="170">
        <f t="shared" ref="P11:P19" si="16">N11*O11</f>
        <v>83.971840000000014</v>
      </c>
      <c r="Q11" s="172">
        <f t="shared" si="7"/>
        <v>158.55000000000001</v>
      </c>
      <c r="R11" s="170">
        <f t="shared" ref="R11:R19" si="17">P11+Q11</f>
        <v>242.52184000000003</v>
      </c>
      <c r="S11" s="290">
        <f t="shared" si="9"/>
        <v>125.1</v>
      </c>
      <c r="T11" s="170">
        <f t="shared" ref="T11:T19" si="18">ROUND(R11-S11,2)</f>
        <v>117.42</v>
      </c>
      <c r="U11" s="125">
        <f t="shared" ref="U11:U12" si="19">-IF(T11&gt;0,0,T11)</f>
        <v>0</v>
      </c>
      <c r="V11" s="125">
        <f t="shared" ref="V11:V12" si="20">IF(T11&lt;0,0,T11)</f>
        <v>117.42</v>
      </c>
      <c r="W11" s="125">
        <f>SUM(V11:V11)</f>
        <v>117.42</v>
      </c>
      <c r="X11" s="125">
        <f>J11+U11-W11</f>
        <v>3468</v>
      </c>
      <c r="Y11" s="120"/>
    </row>
    <row r="12" spans="1:25" s="4" customFormat="1" ht="67.5" customHeight="1" x14ac:dyDescent="0.2">
      <c r="A12" s="59"/>
      <c r="B12" s="114" t="s">
        <v>334</v>
      </c>
      <c r="C12" s="114" t="s">
        <v>139</v>
      </c>
      <c r="D12" s="119" t="s">
        <v>335</v>
      </c>
      <c r="E12" s="119" t="s">
        <v>279</v>
      </c>
      <c r="F12" s="131"/>
      <c r="G12" s="132"/>
      <c r="H12" s="117">
        <v>3303</v>
      </c>
      <c r="I12" s="124">
        <v>225.25</v>
      </c>
      <c r="J12" s="125">
        <f t="shared" ref="J12" si="21">SUM(H12:I12)</f>
        <v>3528.25</v>
      </c>
      <c r="K12" s="170">
        <f t="shared" si="1"/>
        <v>112.625</v>
      </c>
      <c r="L12" s="170">
        <f t="shared" si="14"/>
        <v>3415.625</v>
      </c>
      <c r="M12" s="170">
        <f t="shared" si="3"/>
        <v>2699.41</v>
      </c>
      <c r="N12" s="170">
        <f t="shared" si="15"/>
        <v>716.21500000000015</v>
      </c>
      <c r="O12" s="171">
        <f t="shared" si="5"/>
        <v>0.10879999999999999</v>
      </c>
      <c r="P12" s="170">
        <f t="shared" si="16"/>
        <v>77.924192000000005</v>
      </c>
      <c r="Q12" s="172">
        <f t="shared" si="7"/>
        <v>158.55000000000001</v>
      </c>
      <c r="R12" s="170">
        <f t="shared" si="17"/>
        <v>236.47419200000002</v>
      </c>
      <c r="S12" s="290">
        <f t="shared" si="9"/>
        <v>125.1</v>
      </c>
      <c r="T12" s="170">
        <f t="shared" si="18"/>
        <v>111.37</v>
      </c>
      <c r="U12" s="125">
        <f t="shared" si="19"/>
        <v>0</v>
      </c>
      <c r="V12" s="125">
        <f t="shared" si="20"/>
        <v>111.37</v>
      </c>
      <c r="W12" s="125">
        <f>SUM(V12:V12)</f>
        <v>111.37</v>
      </c>
      <c r="X12" s="125">
        <f>J12+U12-W12</f>
        <v>3416.88</v>
      </c>
      <c r="Y12" s="120"/>
    </row>
    <row r="13" spans="1:25" s="4" customFormat="1" ht="67.5" customHeight="1" x14ac:dyDescent="0.2">
      <c r="A13" s="59"/>
      <c r="B13" s="114" t="s">
        <v>342</v>
      </c>
      <c r="C13" s="114" t="s">
        <v>139</v>
      </c>
      <c r="D13" s="119" t="s">
        <v>337</v>
      </c>
      <c r="E13" s="119" t="s">
        <v>78</v>
      </c>
      <c r="F13" s="131"/>
      <c r="G13" s="132"/>
      <c r="H13" s="117">
        <v>2791.5</v>
      </c>
      <c r="I13" s="124">
        <v>211.51</v>
      </c>
      <c r="J13" s="125">
        <f>SUM(H13:I13)</f>
        <v>3003.01</v>
      </c>
      <c r="K13" s="170">
        <f t="shared" si="1"/>
        <v>105.755</v>
      </c>
      <c r="L13" s="170">
        <f t="shared" si="14"/>
        <v>2897.2550000000001</v>
      </c>
      <c r="M13" s="170">
        <f t="shared" si="3"/>
        <v>2699.41</v>
      </c>
      <c r="N13" s="170">
        <f t="shared" si="15"/>
        <v>197.84500000000025</v>
      </c>
      <c r="O13" s="171">
        <f t="shared" si="5"/>
        <v>0.10879999999999999</v>
      </c>
      <c r="P13" s="170">
        <f t="shared" si="16"/>
        <v>21.525536000000027</v>
      </c>
      <c r="Q13" s="172">
        <f t="shared" si="7"/>
        <v>158.55000000000001</v>
      </c>
      <c r="R13" s="170">
        <f t="shared" si="17"/>
        <v>180.07553600000003</v>
      </c>
      <c r="S13" s="290">
        <f t="shared" si="9"/>
        <v>145.35</v>
      </c>
      <c r="T13" s="170">
        <f t="shared" si="18"/>
        <v>34.729999999999997</v>
      </c>
      <c r="U13" s="125">
        <f>-IF(T13&gt;0,0,T13)</f>
        <v>0</v>
      </c>
      <c r="V13" s="125">
        <f>IF(T13&lt;0,0,T13)</f>
        <v>34.729999999999997</v>
      </c>
      <c r="W13" s="125">
        <f>SUM(V13:V13)</f>
        <v>34.729999999999997</v>
      </c>
      <c r="X13" s="125">
        <f>J13+U13-W13</f>
        <v>2968.28</v>
      </c>
      <c r="Y13" s="120"/>
    </row>
    <row r="14" spans="1:25" s="4" customFormat="1" ht="67.5" customHeight="1" x14ac:dyDescent="0.2">
      <c r="A14" s="59"/>
      <c r="B14" s="114" t="s">
        <v>165</v>
      </c>
      <c r="C14" s="114" t="s">
        <v>139</v>
      </c>
      <c r="D14" s="122" t="s">
        <v>164</v>
      </c>
      <c r="E14" s="119" t="s">
        <v>119</v>
      </c>
      <c r="F14" s="131">
        <v>15</v>
      </c>
      <c r="G14" s="132">
        <f>H14/F14</f>
        <v>240.36666666666667</v>
      </c>
      <c r="H14" s="117">
        <v>3605.5</v>
      </c>
      <c r="I14" s="124">
        <v>211.54</v>
      </c>
      <c r="J14" s="125">
        <f t="shared" ref="J14" si="22">SUM(H14:I14)</f>
        <v>3817.04</v>
      </c>
      <c r="K14" s="170">
        <f t="shared" si="1"/>
        <v>105.77</v>
      </c>
      <c r="L14" s="170">
        <f t="shared" si="14"/>
        <v>3711.27</v>
      </c>
      <c r="M14" s="170">
        <f t="shared" si="3"/>
        <v>2699.41</v>
      </c>
      <c r="N14" s="170">
        <f t="shared" si="15"/>
        <v>1011.8600000000001</v>
      </c>
      <c r="O14" s="171">
        <f t="shared" si="5"/>
        <v>0.10879999999999999</v>
      </c>
      <c r="P14" s="170">
        <f t="shared" si="16"/>
        <v>110.09036800000001</v>
      </c>
      <c r="Q14" s="172">
        <f t="shared" si="7"/>
        <v>158.55000000000001</v>
      </c>
      <c r="R14" s="170">
        <f t="shared" si="17"/>
        <v>268.64036800000002</v>
      </c>
      <c r="S14" s="290">
        <f t="shared" si="9"/>
        <v>0</v>
      </c>
      <c r="T14" s="170">
        <f t="shared" si="18"/>
        <v>268.64</v>
      </c>
      <c r="U14" s="125">
        <f>-IF(T14&gt;0,0,T14)</f>
        <v>0</v>
      </c>
      <c r="V14" s="125">
        <f>IF(T14&lt;0,0,T14)</f>
        <v>268.64</v>
      </c>
      <c r="W14" s="125">
        <f>SUM(V14:V14)</f>
        <v>268.64</v>
      </c>
      <c r="X14" s="125">
        <f>J14+U14-W14</f>
        <v>3548.4</v>
      </c>
      <c r="Y14" s="120"/>
    </row>
    <row r="15" spans="1:25" s="4" customFormat="1" ht="67.5" customHeight="1" x14ac:dyDescent="0.2">
      <c r="A15" s="59"/>
      <c r="B15" s="114" t="s">
        <v>288</v>
      </c>
      <c r="C15" s="114" t="s">
        <v>139</v>
      </c>
      <c r="D15" s="122" t="s">
        <v>277</v>
      </c>
      <c r="E15" s="119" t="s">
        <v>278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90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309</v>
      </c>
      <c r="C16" s="114" t="s">
        <v>139</v>
      </c>
      <c r="D16" s="122" t="s">
        <v>310</v>
      </c>
      <c r="E16" s="121" t="s">
        <v>311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90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171</v>
      </c>
      <c r="C17" s="114" t="s">
        <v>139</v>
      </c>
      <c r="D17" s="119" t="s">
        <v>169</v>
      </c>
      <c r="E17" s="119" t="s">
        <v>170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90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238</v>
      </c>
      <c r="C18" s="114" t="s">
        <v>139</v>
      </c>
      <c r="D18" s="119" t="s">
        <v>192</v>
      </c>
      <c r="E18" s="119" t="s">
        <v>81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90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289</v>
      </c>
      <c r="C19" s="114" t="s">
        <v>139</v>
      </c>
      <c r="D19" s="119" t="s">
        <v>275</v>
      </c>
      <c r="E19" s="119" t="s">
        <v>276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90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78"/>
      <c r="C20" s="227"/>
      <c r="D20" s="279"/>
      <c r="E20" s="279"/>
      <c r="F20" s="280"/>
      <c r="G20" s="281"/>
      <c r="H20" s="282"/>
      <c r="I20" s="283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31" s="4" customFormat="1" ht="20.25" customHeight="1" x14ac:dyDescent="0.2">
      <c r="A21" s="227"/>
      <c r="B21" s="278"/>
      <c r="C21" s="227"/>
      <c r="D21" s="279"/>
      <c r="E21" s="279"/>
      <c r="F21" s="280"/>
      <c r="G21" s="281"/>
      <c r="H21" s="282"/>
      <c r="I21" s="283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</row>
    <row r="22" spans="1:31" s="4" customFormat="1" ht="28.5" customHeight="1" x14ac:dyDescent="0.25">
      <c r="A22" s="227"/>
      <c r="B22" s="310" t="s">
        <v>91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31" s="4" customFormat="1" ht="23.25" customHeight="1" x14ac:dyDescent="0.25">
      <c r="A23" s="227"/>
      <c r="B23" s="310" t="s">
        <v>66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31" s="4" customFormat="1" ht="23.25" customHeight="1" x14ac:dyDescent="0.2">
      <c r="A24" s="227"/>
      <c r="B24" s="311" t="s">
        <v>380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331</v>
      </c>
      <c r="C26" s="114" t="s">
        <v>139</v>
      </c>
      <c r="D26" s="121" t="s">
        <v>94</v>
      </c>
      <c r="E26" s="121" t="s">
        <v>300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90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355</v>
      </c>
      <c r="C27" s="114" t="s">
        <v>139</v>
      </c>
      <c r="D27" s="119" t="s">
        <v>299</v>
      </c>
      <c r="E27" s="119" t="s">
        <v>193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90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118</v>
      </c>
      <c r="C28" s="196" t="s">
        <v>156</v>
      </c>
      <c r="D28" s="192" t="s">
        <v>153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0</v>
      </c>
      <c r="J28" s="193">
        <f>SUM(J29:J30)</f>
        <v>9231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739.23</v>
      </c>
      <c r="W28" s="193">
        <f>SUM(W29:W30)</f>
        <v>739.23</v>
      </c>
      <c r="X28" s="193">
        <f>SUM(X29:X30)</f>
        <v>8491.77</v>
      </c>
      <c r="Y28" s="195"/>
    </row>
    <row r="29" spans="1:31" s="4" customFormat="1" ht="75" customHeight="1" x14ac:dyDescent="0.2">
      <c r="A29" s="59" t="s">
        <v>98</v>
      </c>
      <c r="B29" s="137" t="s">
        <v>239</v>
      </c>
      <c r="C29" s="114" t="s">
        <v>139</v>
      </c>
      <c r="D29" s="119" t="s">
        <v>196</v>
      </c>
      <c r="E29" s="121" t="s">
        <v>194</v>
      </c>
      <c r="F29" s="131">
        <v>15</v>
      </c>
      <c r="G29" s="132">
        <f>H29/F29</f>
        <v>323.03333333333336</v>
      </c>
      <c r="H29" s="167">
        <v>4845.5</v>
      </c>
      <c r="I29" s="168">
        <v>0</v>
      </c>
      <c r="J29" s="169">
        <f>SUM(H29:I29)</f>
        <v>4845.5</v>
      </c>
      <c r="K29" s="170">
        <f>IF(H29/15&lt;=SMG,0,I29/2)</f>
        <v>0</v>
      </c>
      <c r="L29" s="170">
        <f t="shared" ref="L29:L30" si="43">H29+K29</f>
        <v>4845.5</v>
      </c>
      <c r="M29" s="170">
        <f>VLOOKUP(L29,Tarifa1,1)</f>
        <v>4744.0600000000004</v>
      </c>
      <c r="N29" s="170">
        <f t="shared" ref="N29:N30" si="44">L29-M29</f>
        <v>101.4399999999996</v>
      </c>
      <c r="O29" s="171">
        <f>VLOOKUP(L29,Tarifa1,3)</f>
        <v>0.16</v>
      </c>
      <c r="P29" s="170">
        <f t="shared" ref="P29:P30" si="45">N29*O29</f>
        <v>16.230399999999936</v>
      </c>
      <c r="Q29" s="172">
        <f>VLOOKUP(L29,Tarifa1,2)</f>
        <v>381</v>
      </c>
      <c r="R29" s="170">
        <f t="shared" ref="R29:R30" si="46">P29+Q29</f>
        <v>397.23039999999992</v>
      </c>
      <c r="S29" s="290">
        <f>VLOOKUP(L29,Credito1,2)</f>
        <v>0</v>
      </c>
      <c r="T29" s="170">
        <f t="shared" ref="T29:T30" si="47">ROUND(R29-S29,2)</f>
        <v>397.23</v>
      </c>
      <c r="U29" s="169">
        <f>-IF(T29&gt;0,0,T29)</f>
        <v>0</v>
      </c>
      <c r="V29" s="169">
        <f>IF(T29&lt;0,0,T29)</f>
        <v>397.23</v>
      </c>
      <c r="W29" s="169">
        <f>SUM(V29:V29)</f>
        <v>397.23</v>
      </c>
      <c r="X29" s="169">
        <f>J29+U29-W29</f>
        <v>4448.2700000000004</v>
      </c>
      <c r="Y29" s="120"/>
      <c r="AE29" s="187"/>
    </row>
    <row r="30" spans="1:31" s="4" customFormat="1" ht="75" customHeight="1" x14ac:dyDescent="0.2">
      <c r="A30" s="59"/>
      <c r="B30" s="137" t="s">
        <v>290</v>
      </c>
      <c r="C30" s="114" t="s">
        <v>139</v>
      </c>
      <c r="D30" s="119" t="s">
        <v>273</v>
      </c>
      <c r="E30" s="121" t="s">
        <v>274</v>
      </c>
      <c r="F30" s="131"/>
      <c r="G30" s="132"/>
      <c r="H30" s="167">
        <v>4385.5</v>
      </c>
      <c r="I30" s="168">
        <v>0</v>
      </c>
      <c r="J30" s="169">
        <f>SUM(H30:I30)</f>
        <v>4385.5</v>
      </c>
      <c r="K30" s="170">
        <f>IF(H30/15&lt;=SMG,0,I30/2)</f>
        <v>0</v>
      </c>
      <c r="L30" s="170">
        <f t="shared" si="43"/>
        <v>4385.5</v>
      </c>
      <c r="M30" s="170">
        <f>VLOOKUP(L30,Tarifa1,1)</f>
        <v>2699.41</v>
      </c>
      <c r="N30" s="170">
        <f t="shared" si="44"/>
        <v>1686.0900000000001</v>
      </c>
      <c r="O30" s="171">
        <f>VLOOKUP(L30,Tarifa1,3)</f>
        <v>0.10879999999999999</v>
      </c>
      <c r="P30" s="170">
        <f t="shared" si="45"/>
        <v>183.44659200000001</v>
      </c>
      <c r="Q30" s="172">
        <f>VLOOKUP(L30,Tarifa1,2)</f>
        <v>158.55000000000001</v>
      </c>
      <c r="R30" s="170">
        <f t="shared" si="46"/>
        <v>341.99659200000002</v>
      </c>
      <c r="S30" s="290">
        <f>VLOOKUP(L30,Credito1,2)</f>
        <v>0</v>
      </c>
      <c r="T30" s="170">
        <f t="shared" si="47"/>
        <v>342</v>
      </c>
      <c r="U30" s="169">
        <f>-IF(T30&gt;0,0,T30)</f>
        <v>0</v>
      </c>
      <c r="V30" s="169">
        <f>IF(T30&lt;0,0,T30)</f>
        <v>342</v>
      </c>
      <c r="W30" s="169">
        <f>SUM(V30:V30)</f>
        <v>342</v>
      </c>
      <c r="X30" s="169">
        <f>J30+U30-W30</f>
        <v>4043.5</v>
      </c>
      <c r="Y30" s="120"/>
      <c r="AE30" s="187"/>
    </row>
    <row r="31" spans="1:31" s="4" customFormat="1" ht="39" customHeight="1" x14ac:dyDescent="0.2">
      <c r="A31" s="59"/>
      <c r="B31" s="196" t="s">
        <v>118</v>
      </c>
      <c r="C31" s="196" t="s">
        <v>156</v>
      </c>
      <c r="D31" s="192" t="s">
        <v>155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123</v>
      </c>
      <c r="C32" s="114" t="s">
        <v>139</v>
      </c>
      <c r="D32" s="119" t="s">
        <v>80</v>
      </c>
      <c r="E32" s="121" t="s">
        <v>158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90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326</v>
      </c>
      <c r="C33" s="114" t="s">
        <v>139</v>
      </c>
      <c r="D33" s="119" t="s">
        <v>325</v>
      </c>
      <c r="E33" s="121" t="s">
        <v>327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90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99</v>
      </c>
      <c r="B34" s="196" t="s">
        <v>118</v>
      </c>
      <c r="C34" s="196" t="s">
        <v>156</v>
      </c>
      <c r="D34" s="192" t="s">
        <v>154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100</v>
      </c>
      <c r="B35" s="114" t="s">
        <v>122</v>
      </c>
      <c r="C35" s="114" t="s">
        <v>139</v>
      </c>
      <c r="D35" s="119" t="s">
        <v>79</v>
      </c>
      <c r="E35" s="121" t="s">
        <v>195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90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7" t="s">
        <v>45</v>
      </c>
      <c r="B37" s="308"/>
      <c r="C37" s="308"/>
      <c r="D37" s="308"/>
      <c r="E37" s="308"/>
      <c r="F37" s="308"/>
      <c r="G37" s="309"/>
      <c r="H37" s="162">
        <f>SUM(H9+H28+H31+H34)</f>
        <v>57616</v>
      </c>
      <c r="I37" s="162">
        <f>SUM(I9+I28+I31+I34)</f>
        <v>1101.97</v>
      </c>
      <c r="J37" s="162">
        <f>SUM(J9+J28+J31+J34)</f>
        <v>58717.97</v>
      </c>
      <c r="K37" s="163">
        <f t="shared" ref="K37:T37" si="59">SUM(K10:K36)</f>
        <v>550.98500000000001</v>
      </c>
      <c r="L37" s="163">
        <f t="shared" si="59"/>
        <v>63549.485000000001</v>
      </c>
      <c r="M37" s="163">
        <f t="shared" si="59"/>
        <v>48570.64</v>
      </c>
      <c r="N37" s="163">
        <f t="shared" si="59"/>
        <v>14978.845000000001</v>
      </c>
      <c r="O37" s="163">
        <f t="shared" si="59"/>
        <v>2.0287999999999999</v>
      </c>
      <c r="P37" s="163">
        <f t="shared" si="59"/>
        <v>1448.3905599999998</v>
      </c>
      <c r="Q37" s="163">
        <f t="shared" si="59"/>
        <v>2930.1</v>
      </c>
      <c r="R37" s="163">
        <f t="shared" si="59"/>
        <v>4378.4905599999993</v>
      </c>
      <c r="S37" s="163">
        <f t="shared" si="59"/>
        <v>2068.5</v>
      </c>
      <c r="T37" s="163">
        <f t="shared" si="59"/>
        <v>2309.9900000000002</v>
      </c>
      <c r="U37" s="162">
        <f>SUM(U9+U28+U31+U34)</f>
        <v>20.98</v>
      </c>
      <c r="V37" s="162">
        <f>SUM(V9+V28+V31+V34)</f>
        <v>2307.9</v>
      </c>
      <c r="W37" s="162">
        <f>SUM(W9+W28+W31+W34)</f>
        <v>2307.9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222</v>
      </c>
      <c r="V40" s="4" t="s">
        <v>223</v>
      </c>
    </row>
    <row r="41" spans="1:37" s="4" customFormat="1" x14ac:dyDescent="0.2">
      <c r="D41" s="78" t="s">
        <v>377</v>
      </c>
      <c r="V41" s="51" t="s">
        <v>219</v>
      </c>
    </row>
    <row r="42" spans="1:37" s="4" customFormat="1" x14ac:dyDescent="0.2">
      <c r="D42" s="78" t="s">
        <v>378</v>
      </c>
      <c r="E42" s="51"/>
      <c r="F42" s="51"/>
      <c r="G42" s="51"/>
      <c r="H42" s="51"/>
      <c r="I42" s="51"/>
      <c r="V42" s="51" t="s">
        <v>95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6" zoomScale="86" zoomScaleNormal="86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2" t="s">
        <v>156</v>
      </c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118</v>
      </c>
      <c r="C7" s="333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4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157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118</v>
      </c>
      <c r="C9" s="201" t="s">
        <v>156</v>
      </c>
      <c r="D9" s="45" t="s">
        <v>202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98</v>
      </c>
      <c r="B10" s="136" t="s">
        <v>240</v>
      </c>
      <c r="C10" s="62" t="s">
        <v>139</v>
      </c>
      <c r="D10" s="175" t="s">
        <v>233</v>
      </c>
      <c r="E10" s="175" t="s">
        <v>264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90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99</v>
      </c>
      <c r="B11" s="62" t="s">
        <v>136</v>
      </c>
      <c r="C11" s="62" t="s">
        <v>139</v>
      </c>
      <c r="D11" s="164" t="s">
        <v>108</v>
      </c>
      <c r="E11" s="175" t="s">
        <v>198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90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118</v>
      </c>
      <c r="C12" s="201" t="s">
        <v>156</v>
      </c>
      <c r="D12" s="45" t="s">
        <v>258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256</v>
      </c>
      <c r="C13" s="62" t="s">
        <v>139</v>
      </c>
      <c r="D13" s="174" t="s">
        <v>257</v>
      </c>
      <c r="E13" s="175" t="s">
        <v>259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90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118</v>
      </c>
      <c r="C14" s="201" t="s">
        <v>156</v>
      </c>
      <c r="D14" s="45" t="s">
        <v>317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318</v>
      </c>
      <c r="C15" s="62" t="s">
        <v>139</v>
      </c>
      <c r="D15" s="174" t="s">
        <v>315</v>
      </c>
      <c r="E15" s="175" t="s">
        <v>316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90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118</v>
      </c>
      <c r="C16" s="201" t="s">
        <v>156</v>
      </c>
      <c r="D16" s="45" t="s">
        <v>160</v>
      </c>
      <c r="E16" s="45" t="s">
        <v>62</v>
      </c>
      <c r="F16" s="45"/>
      <c r="G16" s="45"/>
      <c r="H16" s="197">
        <f>SUM(H17:H19)</f>
        <v>13697</v>
      </c>
      <c r="I16" s="197">
        <f>SUM(I17:I19)</f>
        <v>475.88</v>
      </c>
      <c r="J16" s="197">
        <f>SUM(J17:J19)</f>
        <v>14172.880000000001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1197.31</v>
      </c>
      <c r="W16" s="197">
        <f>SUM(W17:W19)</f>
        <v>1197.31</v>
      </c>
      <c r="X16" s="197">
        <f>SUM(X17:X19)</f>
        <v>12975.57</v>
      </c>
      <c r="Y16" s="199"/>
      <c r="AE16" s="77"/>
    </row>
    <row r="17" spans="1:31" s="69" customFormat="1" ht="69.95" customHeight="1" x14ac:dyDescent="0.2">
      <c r="A17" s="62" t="s">
        <v>101</v>
      </c>
      <c r="B17" s="210">
        <v>185</v>
      </c>
      <c r="C17" s="62" t="s">
        <v>139</v>
      </c>
      <c r="D17" s="211" t="s">
        <v>214</v>
      </c>
      <c r="E17" s="175" t="s">
        <v>110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90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291</v>
      </c>
      <c r="C18" s="62" t="s">
        <v>139</v>
      </c>
      <c r="D18" s="174" t="s">
        <v>270</v>
      </c>
      <c r="E18" s="175" t="s">
        <v>271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90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323</v>
      </c>
      <c r="C19" s="62" t="s">
        <v>217</v>
      </c>
      <c r="D19" s="174" t="s">
        <v>319</v>
      </c>
      <c r="E19" s="175" t="s">
        <v>271</v>
      </c>
      <c r="F19" s="165"/>
      <c r="G19" s="166"/>
      <c r="H19" s="167">
        <v>3756</v>
      </c>
      <c r="I19" s="168">
        <v>475.88</v>
      </c>
      <c r="J19" s="169">
        <f>SUM(H19:I19)</f>
        <v>4231.88</v>
      </c>
      <c r="K19" s="170">
        <f>IF(H19/15&lt;=SMG,0,I19/2)</f>
        <v>237.94</v>
      </c>
      <c r="L19" s="170">
        <f t="shared" si="24"/>
        <v>3993.94</v>
      </c>
      <c r="M19" s="170">
        <f>VLOOKUP(L19,Tarifa1,1)</f>
        <v>2699.41</v>
      </c>
      <c r="N19" s="170">
        <f t="shared" si="25"/>
        <v>1294.5300000000002</v>
      </c>
      <c r="O19" s="171">
        <f>VLOOKUP(L19,Tarifa1,3)</f>
        <v>0.10879999999999999</v>
      </c>
      <c r="P19" s="170">
        <f t="shared" si="26"/>
        <v>140.844864</v>
      </c>
      <c r="Q19" s="172">
        <f>VLOOKUP(L19,Tarifa1,2)</f>
        <v>158.55000000000001</v>
      </c>
      <c r="R19" s="170">
        <f t="shared" si="27"/>
        <v>299.39486399999998</v>
      </c>
      <c r="S19" s="290">
        <f>VLOOKUP(L19,Credito1,2)</f>
        <v>0</v>
      </c>
      <c r="T19" s="170">
        <f t="shared" si="28"/>
        <v>299.39</v>
      </c>
      <c r="U19" s="169">
        <f>-IF(T19&gt;0,0,T19)</f>
        <v>0</v>
      </c>
      <c r="V19" s="173">
        <f>IF(T19&lt;0,0,T19)</f>
        <v>299.39</v>
      </c>
      <c r="W19" s="169">
        <f>SUM(V19:V19)</f>
        <v>299.39</v>
      </c>
      <c r="X19" s="169">
        <f>J19+U19-W19</f>
        <v>3932.4900000000002</v>
      </c>
      <c r="Y19" s="185"/>
      <c r="AE19" s="88"/>
    </row>
    <row r="20" spans="1:31" s="69" customFormat="1" ht="50.25" customHeight="1" x14ac:dyDescent="0.25">
      <c r="A20" s="62"/>
      <c r="B20" s="201" t="s">
        <v>118</v>
      </c>
      <c r="C20" s="201" t="s">
        <v>156</v>
      </c>
      <c r="D20" s="45" t="s">
        <v>161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102</v>
      </c>
      <c r="B21" s="62" t="s">
        <v>137</v>
      </c>
      <c r="C21" s="62" t="s">
        <v>139</v>
      </c>
      <c r="D21" s="174" t="s">
        <v>109</v>
      </c>
      <c r="E21" s="175" t="s">
        <v>111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90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241</v>
      </c>
      <c r="C22" s="62" t="s">
        <v>139</v>
      </c>
      <c r="D22" s="176" t="s">
        <v>200</v>
      </c>
      <c r="E22" s="175" t="s">
        <v>199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90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10" t="s">
        <v>91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E23" s="88"/>
    </row>
    <row r="24" spans="1:31" s="69" customFormat="1" ht="25.5" customHeight="1" x14ac:dyDescent="0.25">
      <c r="A24" s="228"/>
      <c r="B24" s="310" t="s">
        <v>66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88"/>
    </row>
    <row r="25" spans="1:31" s="69" customFormat="1" ht="23.25" customHeight="1" x14ac:dyDescent="0.2">
      <c r="A25" s="228"/>
      <c r="B25" s="311" t="s">
        <v>380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308</v>
      </c>
      <c r="C27" s="62" t="s">
        <v>139</v>
      </c>
      <c r="D27" s="176" t="s">
        <v>301</v>
      </c>
      <c r="E27" s="175" t="s">
        <v>302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90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118</v>
      </c>
      <c r="C28" s="201" t="s">
        <v>156</v>
      </c>
      <c r="D28" s="45" t="s">
        <v>162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103</v>
      </c>
      <c r="B29" s="62" t="s">
        <v>138</v>
      </c>
      <c r="C29" s="62" t="s">
        <v>139</v>
      </c>
      <c r="D29" s="176" t="s">
        <v>114</v>
      </c>
      <c r="E29" s="175" t="s">
        <v>117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90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118</v>
      </c>
      <c r="C30" s="201" t="s">
        <v>156</v>
      </c>
      <c r="D30" s="45" t="s">
        <v>166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172</v>
      </c>
      <c r="C31" s="62" t="s">
        <v>139</v>
      </c>
      <c r="D31" s="164" t="s">
        <v>167</v>
      </c>
      <c r="E31" s="175" t="s">
        <v>168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90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118</v>
      </c>
      <c r="C32" s="201" t="s">
        <v>156</v>
      </c>
      <c r="D32" s="45" t="s">
        <v>201</v>
      </c>
      <c r="E32" s="45" t="s">
        <v>62</v>
      </c>
      <c r="F32" s="45"/>
      <c r="G32" s="45"/>
      <c r="H32" s="197">
        <f>SUM(H33)</f>
        <v>4481.5</v>
      </c>
      <c r="I32" s="197">
        <f>SUM(I33)</f>
        <v>0</v>
      </c>
      <c r="J32" s="197">
        <f>SUM(J33)</f>
        <v>4481.5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352.44</v>
      </c>
      <c r="W32" s="197">
        <f>SUM(W33)</f>
        <v>352.44</v>
      </c>
      <c r="X32" s="197">
        <f>SUM(X33)</f>
        <v>4129.0600000000004</v>
      </c>
      <c r="Y32" s="199"/>
    </row>
    <row r="33" spans="1:37" s="69" customFormat="1" ht="69.95" customHeight="1" x14ac:dyDescent="0.2">
      <c r="A33" s="202"/>
      <c r="B33" s="136" t="s">
        <v>242</v>
      </c>
      <c r="C33" s="62" t="s">
        <v>139</v>
      </c>
      <c r="D33" s="164" t="s">
        <v>204</v>
      </c>
      <c r="E33" s="175" t="s">
        <v>205</v>
      </c>
      <c r="F33" s="165">
        <v>15</v>
      </c>
      <c r="G33" s="166">
        <f>H33/F33</f>
        <v>298.76666666666665</v>
      </c>
      <c r="H33" s="167">
        <v>4481.5</v>
      </c>
      <c r="I33" s="168">
        <v>0</v>
      </c>
      <c r="J33" s="169">
        <f>SUM(H33:I33)</f>
        <v>4481.5</v>
      </c>
      <c r="K33" s="170">
        <f>IF(H33/15&lt;=SMG,0,I33/2)</f>
        <v>0</v>
      </c>
      <c r="L33" s="170">
        <f t="shared" ref="L33" si="55">H33+K33</f>
        <v>4481.5</v>
      </c>
      <c r="M33" s="170">
        <f>VLOOKUP(L33,Tarifa1,1)</f>
        <v>2699.41</v>
      </c>
      <c r="N33" s="170">
        <f t="shared" ref="N33" si="56">L33-M33</f>
        <v>1782.0900000000001</v>
      </c>
      <c r="O33" s="171">
        <f>VLOOKUP(L33,Tarifa1,3)</f>
        <v>0.10879999999999999</v>
      </c>
      <c r="P33" s="170">
        <f t="shared" ref="P33" si="57">N33*O33</f>
        <v>193.891392</v>
      </c>
      <c r="Q33" s="172">
        <f>VLOOKUP(L33,Tarifa1,2)</f>
        <v>158.55000000000001</v>
      </c>
      <c r="R33" s="170">
        <f t="shared" ref="R33" si="58">P33+Q33</f>
        <v>352.44139200000001</v>
      </c>
      <c r="S33" s="290">
        <f>VLOOKUP(L33,Credito1,2)</f>
        <v>0</v>
      </c>
      <c r="T33" s="170">
        <f t="shared" ref="T33" si="59">ROUND(R33-S33,2)</f>
        <v>352.44</v>
      </c>
      <c r="U33" s="169">
        <f t="shared" ref="U33" si="60">-IF(T33&gt;0,0,T33)</f>
        <v>0</v>
      </c>
      <c r="V33" s="232">
        <f>IF(T33&lt;0,0,T33)</f>
        <v>352.44</v>
      </c>
      <c r="W33" s="169">
        <f>SUM(V33:V33)</f>
        <v>352.44</v>
      </c>
      <c r="X33" s="169">
        <f>J33+U33-W33</f>
        <v>4129.0600000000004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5" t="s">
        <v>45</v>
      </c>
      <c r="B35" s="335"/>
      <c r="C35" s="335"/>
      <c r="D35" s="335"/>
      <c r="E35" s="335"/>
      <c r="F35" s="335"/>
      <c r="G35" s="335"/>
      <c r="H35" s="205">
        <f>H9+H12+H16+H20+H28+H30+H32+H14</f>
        <v>69667</v>
      </c>
      <c r="I35" s="205">
        <f>I9+I12+I16+I20+I28+I30+I32+I14</f>
        <v>475.88</v>
      </c>
      <c r="J35" s="205">
        <f>J9+J12+J16+J20+J28+J30+J32+J14</f>
        <v>70142.880000000005</v>
      </c>
      <c r="K35" s="206">
        <f t="shared" ref="K35:T35" si="61">SUM(K10:K34)</f>
        <v>237.94</v>
      </c>
      <c r="L35" s="206">
        <f t="shared" si="61"/>
        <v>69904.94</v>
      </c>
      <c r="M35" s="206">
        <f t="shared" si="61"/>
        <v>60425.53</v>
      </c>
      <c r="N35" s="206">
        <f t="shared" si="61"/>
        <v>9479.41</v>
      </c>
      <c r="O35" s="206">
        <f t="shared" si="61"/>
        <v>2.0768</v>
      </c>
      <c r="P35" s="206">
        <f t="shared" si="61"/>
        <v>1249.9818239999997</v>
      </c>
      <c r="Q35" s="206">
        <f t="shared" si="61"/>
        <v>5360.5500000000011</v>
      </c>
      <c r="R35" s="206">
        <f t="shared" si="61"/>
        <v>6610.5318239999988</v>
      </c>
      <c r="S35" s="206">
        <f t="shared" si="61"/>
        <v>125.1</v>
      </c>
      <c r="T35" s="206">
        <f t="shared" si="61"/>
        <v>6485.44</v>
      </c>
      <c r="U35" s="205">
        <f>U9+U12+U16+U20+U28+U30+U32+U14</f>
        <v>0</v>
      </c>
      <c r="V35" s="205">
        <f>V9+V12+V16+V20+V28+V30+V32+V14</f>
        <v>6485.44</v>
      </c>
      <c r="W35" s="205">
        <f>W9+W12+W16+W20+W28+W30+W32+W14</f>
        <v>6485.44</v>
      </c>
      <c r="X35" s="205">
        <f>X9+X12+X16+X20+X28+X30+X32+X14</f>
        <v>63657.439999999995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222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224</v>
      </c>
      <c r="W45" s="4"/>
      <c r="X45" s="4"/>
    </row>
    <row r="46" spans="1:37" s="69" customFormat="1" x14ac:dyDescent="0.2">
      <c r="D46" s="78" t="s">
        <v>377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219</v>
      </c>
      <c r="W46" s="4"/>
      <c r="X46" s="4"/>
    </row>
    <row r="47" spans="1:37" s="69" customFormat="1" x14ac:dyDescent="0.2">
      <c r="D47" s="78" t="s">
        <v>378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95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33.7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133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97</v>
      </c>
      <c r="B10" s="114" t="s">
        <v>131</v>
      </c>
      <c r="C10" s="114" t="s">
        <v>139</v>
      </c>
      <c r="D10" s="119" t="s">
        <v>116</v>
      </c>
      <c r="E10" s="119" t="s">
        <v>82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90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99</v>
      </c>
      <c r="B11" s="114" t="s">
        <v>121</v>
      </c>
      <c r="C11" s="114" t="s">
        <v>139</v>
      </c>
      <c r="D11" s="119" t="s">
        <v>83</v>
      </c>
      <c r="E11" s="119" t="s">
        <v>88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90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J11+U11-W11+I11</f>
        <v>8177.91</v>
      </c>
      <c r="Y11" s="120"/>
    </row>
    <row r="12" spans="1:25" s="4" customFormat="1" ht="75" customHeight="1" x14ac:dyDescent="0.2">
      <c r="A12" s="59" t="s">
        <v>100</v>
      </c>
      <c r="B12" s="114" t="s">
        <v>132</v>
      </c>
      <c r="C12" s="114" t="s">
        <v>139</v>
      </c>
      <c r="D12" s="119" t="s">
        <v>112</v>
      </c>
      <c r="E12" s="119" t="s">
        <v>88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90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7" t="s">
        <v>45</v>
      </c>
      <c r="B14" s="308"/>
      <c r="C14" s="308"/>
      <c r="D14" s="308"/>
      <c r="E14" s="308"/>
      <c r="F14" s="308"/>
      <c r="G14" s="309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225</v>
      </c>
      <c r="V21" t="s">
        <v>107</v>
      </c>
    </row>
    <row r="22" spans="4:37" x14ac:dyDescent="0.2">
      <c r="D22" s="78" t="s">
        <v>377</v>
      </c>
      <c r="H22" s="4"/>
      <c r="V22" s="78" t="s">
        <v>226</v>
      </c>
    </row>
    <row r="23" spans="4:37" x14ac:dyDescent="0.2">
      <c r="D23" s="78" t="s">
        <v>378</v>
      </c>
      <c r="E23" s="51"/>
      <c r="F23" s="51"/>
      <c r="G23" s="51"/>
      <c r="H23" s="51"/>
      <c r="I23" s="51"/>
      <c r="V23" s="51" t="s">
        <v>227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3" workbookViewId="0">
      <selection activeCell="V13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5" ht="15" x14ac:dyDescent="0.2">
      <c r="A3" s="311" t="s">
        <v>380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3"/>
      <c r="J6" s="24" t="s">
        <v>26</v>
      </c>
      <c r="K6" s="25"/>
      <c r="L6" s="324" t="s">
        <v>9</v>
      </c>
      <c r="M6" s="325"/>
      <c r="N6" s="325"/>
      <c r="O6" s="325"/>
      <c r="P6" s="325"/>
      <c r="Q6" s="326"/>
      <c r="R6" s="24" t="s">
        <v>30</v>
      </c>
      <c r="S6" s="24" t="s">
        <v>10</v>
      </c>
      <c r="T6" s="23" t="s">
        <v>54</v>
      </c>
      <c r="U6" s="327" t="s">
        <v>2</v>
      </c>
      <c r="V6" s="328"/>
      <c r="W6" s="23" t="s">
        <v>0</v>
      </c>
      <c r="X6" s="42"/>
    </row>
    <row r="7" spans="1:25" ht="33.75" customHeight="1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97</v>
      </c>
      <c r="B10" s="137" t="s">
        <v>243</v>
      </c>
      <c r="C10" s="114" t="s">
        <v>139</v>
      </c>
      <c r="D10" s="119" t="s">
        <v>210</v>
      </c>
      <c r="E10" s="119" t="s">
        <v>85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98</v>
      </c>
      <c r="B11" s="137" t="s">
        <v>244</v>
      </c>
      <c r="C11" s="114" t="s">
        <v>139</v>
      </c>
      <c r="D11" s="119" t="s">
        <v>206</v>
      </c>
      <c r="E11" s="119" t="s">
        <v>85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99</v>
      </c>
      <c r="B12" s="137" t="s">
        <v>245</v>
      </c>
      <c r="C12" s="114" t="s">
        <v>139</v>
      </c>
      <c r="D12" s="119" t="s">
        <v>209</v>
      </c>
      <c r="E12" s="119" t="s">
        <v>85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100</v>
      </c>
      <c r="B13" s="137" t="s">
        <v>374</v>
      </c>
      <c r="C13" s="114" t="s">
        <v>139</v>
      </c>
      <c r="D13" s="119" t="s">
        <v>373</v>
      </c>
      <c r="E13" s="121" t="s">
        <v>376</v>
      </c>
      <c r="F13" s="131">
        <v>10</v>
      </c>
      <c r="G13" s="135">
        <f t="shared" si="7"/>
        <v>556.13300000000004</v>
      </c>
      <c r="H13" s="117">
        <v>5561.33</v>
      </c>
      <c r="I13" s="125">
        <f t="shared" si="0"/>
        <v>5561.33</v>
      </c>
      <c r="J13" s="170">
        <v>0</v>
      </c>
      <c r="K13" s="170">
        <f t="shared" si="8"/>
        <v>5561.33</v>
      </c>
      <c r="L13" s="170">
        <f t="shared" si="9"/>
        <v>5514.76</v>
      </c>
      <c r="M13" s="170">
        <f t="shared" si="10"/>
        <v>46.569999999999709</v>
      </c>
      <c r="N13" s="171">
        <f t="shared" si="11"/>
        <v>0.1792</v>
      </c>
      <c r="O13" s="170">
        <f t="shared" si="12"/>
        <v>8.3453439999999475</v>
      </c>
      <c r="P13" s="172">
        <f t="shared" si="13"/>
        <v>504.3</v>
      </c>
      <c r="Q13" s="170">
        <f t="shared" si="14"/>
        <v>512.64534399999991</v>
      </c>
      <c r="R13" s="170">
        <f t="shared" si="15"/>
        <v>0</v>
      </c>
      <c r="S13" s="170">
        <f t="shared" si="16"/>
        <v>512.65</v>
      </c>
      <c r="T13" s="125">
        <f t="shared" si="5"/>
        <v>0</v>
      </c>
      <c r="U13" s="125">
        <f t="shared" si="6"/>
        <v>512.65</v>
      </c>
      <c r="V13" s="125">
        <f>SUM(U13:U13)</f>
        <v>512.65</v>
      </c>
      <c r="W13" s="125">
        <f>I13+T13-V13</f>
        <v>5048.68</v>
      </c>
      <c r="X13" s="41"/>
    </row>
    <row r="14" spans="1:25" ht="65.25" customHeight="1" x14ac:dyDescent="0.2">
      <c r="A14" s="59" t="s">
        <v>101</v>
      </c>
      <c r="B14" s="137" t="s">
        <v>356</v>
      </c>
      <c r="C14" s="137" t="s">
        <v>139</v>
      </c>
      <c r="D14" s="122" t="s">
        <v>346</v>
      </c>
      <c r="E14" s="122" t="s">
        <v>85</v>
      </c>
      <c r="F14" s="149">
        <v>15</v>
      </c>
      <c r="G14" s="286">
        <f t="shared" si="7"/>
        <v>556.13333333333333</v>
      </c>
      <c r="H14" s="117">
        <v>8342</v>
      </c>
      <c r="I14" s="125">
        <f t="shared" ref="I14" si="1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18">-IF(S14&gt;0,0,S14)</f>
        <v>0</v>
      </c>
      <c r="U14" s="125">
        <f t="shared" ref="U14" si="1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102</v>
      </c>
      <c r="B15" s="137" t="s">
        <v>247</v>
      </c>
      <c r="C15" s="114" t="s">
        <v>139</v>
      </c>
      <c r="D15" s="119" t="s">
        <v>207</v>
      </c>
      <c r="E15" s="119" t="s">
        <v>85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103</v>
      </c>
      <c r="B16" s="137" t="s">
        <v>248</v>
      </c>
      <c r="C16" s="114" t="s">
        <v>139</v>
      </c>
      <c r="D16" s="119" t="s">
        <v>208</v>
      </c>
      <c r="E16" s="119" t="s">
        <v>85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104</v>
      </c>
      <c r="B17" s="137" t="s">
        <v>249</v>
      </c>
      <c r="C17" s="114" t="s">
        <v>139</v>
      </c>
      <c r="D17" s="119" t="s">
        <v>211</v>
      </c>
      <c r="E17" s="119" t="s">
        <v>85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105</v>
      </c>
      <c r="B18" s="137" t="s">
        <v>250</v>
      </c>
      <c r="C18" s="114" t="s">
        <v>139</v>
      </c>
      <c r="D18" s="119" t="s">
        <v>212</v>
      </c>
      <c r="E18" s="119" t="s">
        <v>85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7" t="s">
        <v>45</v>
      </c>
      <c r="B20" s="308"/>
      <c r="C20" s="308"/>
      <c r="D20" s="308"/>
      <c r="E20" s="308"/>
      <c r="F20" s="308"/>
      <c r="G20" s="309"/>
      <c r="H20" s="39">
        <f>SUM(H10:H19)</f>
        <v>72297.33</v>
      </c>
      <c r="I20" s="39">
        <f>SUM(I10:I19)</f>
        <v>72297.33</v>
      </c>
      <c r="J20" s="40">
        <f t="shared" ref="J20:S20" si="20">SUM(J10:J19)</f>
        <v>0</v>
      </c>
      <c r="K20" s="40">
        <f t="shared" si="20"/>
        <v>72297.33</v>
      </c>
      <c r="L20" s="40">
        <f t="shared" si="20"/>
        <v>58336.439999999995</v>
      </c>
      <c r="M20" s="40">
        <f t="shared" si="20"/>
        <v>13960.890000000003</v>
      </c>
      <c r="N20" s="40">
        <f t="shared" si="20"/>
        <v>1.8880000000000001</v>
      </c>
      <c r="O20" s="40">
        <f t="shared" si="20"/>
        <v>2980.4440960000006</v>
      </c>
      <c r="P20" s="40">
        <f t="shared" si="20"/>
        <v>6098.7000000000007</v>
      </c>
      <c r="Q20" s="40">
        <f t="shared" si="20"/>
        <v>9079.144096</v>
      </c>
      <c r="R20" s="40">
        <f t="shared" si="20"/>
        <v>0</v>
      </c>
      <c r="S20" s="40">
        <f t="shared" si="20"/>
        <v>9079.1299999999974</v>
      </c>
      <c r="T20" s="39">
        <f>SUM(T10:T19)</f>
        <v>0</v>
      </c>
      <c r="U20" s="39">
        <f>SUM(U10:U19)</f>
        <v>9079.1299999999974</v>
      </c>
      <c r="V20" s="39">
        <f>SUM(V10:V19)</f>
        <v>9079.1299999999974</v>
      </c>
      <c r="W20" s="39">
        <f>SUM(W10:W19)</f>
        <v>63218.200000000012</v>
      </c>
    </row>
    <row r="21" spans="1:37" ht="13.5" thickTop="1" x14ac:dyDescent="0.2"/>
    <row r="26" spans="1:37" x14ac:dyDescent="0.2">
      <c r="D26" s="78" t="s">
        <v>377</v>
      </c>
      <c r="H26" s="4"/>
    </row>
    <row r="27" spans="1:37" x14ac:dyDescent="0.2">
      <c r="D27" s="78" t="s">
        <v>378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2021-03-25T17:56:12Z</cp:lastPrinted>
  <dcterms:created xsi:type="dcterms:W3CDTF">2000-05-05T04:08:27Z</dcterms:created>
  <dcterms:modified xsi:type="dcterms:W3CDTF">2023-09-14T20:04:12Z</dcterms:modified>
</cp:coreProperties>
</file>