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3\"/>
    </mc:Choice>
  </mc:AlternateContent>
  <xr:revisionPtr revIDLastSave="0" documentId="13_ncr:1_{F3D5F02E-803E-44CF-9B4D-9F22D42F2697}" xr6:coauthVersionLast="47" xr6:coauthVersionMax="47" xr10:uidLastSave="{00000000-0000-0000-0000-000000000000}"/>
  <bookViews>
    <workbookView xWindow="-120" yWindow="-120" windowWidth="20640" windowHeight="11160" tabRatio="772" firstSheet="4" activeTab="11" xr2:uid="{00000000-000D-0000-FFFF-FFFF00000000}"/>
  </bookViews>
  <sheets>
    <sheet name="tarifa" sheetId="2" state="hidden" r:id="rId1"/>
    <sheet name="PRESIDENCIA" sheetId="119" r:id="rId2"/>
    <sheet name="CONTRALORIA " sheetId="134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36" r:id="rId9"/>
    <sheet name="CHOFERES" sheetId="132" r:id="rId10"/>
    <sheet name="SEGURIDAD " sheetId="135" r:id="rId11"/>
    <sheet name="SERV.MEDICOS" sheetId="133" r:id="rId12"/>
  </sheets>
  <definedNames>
    <definedName name="_xlnm.Print_Area" localSheetId="8">SINDICO!$1:$27</definedName>
    <definedName name="Credito1">tarifa!$F$38:$G$48</definedName>
    <definedName name="SMG">tarifa!$I$3</definedName>
    <definedName name="Tarifa1">tarifa!$B$41:$D$51</definedName>
    <definedName name="UMA">tarifa!$I$8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23" l="1"/>
  <c r="K17" i="123"/>
  <c r="L17" i="123"/>
  <c r="M17" i="123" s="1"/>
  <c r="N17" i="123" s="1"/>
  <c r="W17" i="123"/>
  <c r="X17" i="123" s="1"/>
  <c r="L15" i="121"/>
  <c r="M15" i="121" s="1"/>
  <c r="K15" i="121"/>
  <c r="L14" i="120"/>
  <c r="M14" i="120" s="1"/>
  <c r="K14" i="120"/>
  <c r="L25" i="120"/>
  <c r="M25" i="120" s="1"/>
  <c r="K25" i="120"/>
  <c r="L18" i="119"/>
  <c r="M18" i="119" s="1"/>
  <c r="K18" i="119"/>
  <c r="J14" i="135"/>
  <c r="K14" i="135" s="1"/>
  <c r="I14" i="135"/>
  <c r="J12" i="135"/>
  <c r="K12" i="135" s="1"/>
  <c r="I12" i="135"/>
  <c r="O17" i="123" l="1"/>
  <c r="T17" i="123"/>
  <c r="P17" i="123"/>
  <c r="R17" i="123"/>
  <c r="R15" i="121"/>
  <c r="N15" i="121"/>
  <c r="O15" i="121" s="1"/>
  <c r="T15" i="121"/>
  <c r="P15" i="121"/>
  <c r="P14" i="120"/>
  <c r="T14" i="120"/>
  <c r="R14" i="120"/>
  <c r="N14" i="120"/>
  <c r="O14" i="120" s="1"/>
  <c r="Q14" i="120" s="1"/>
  <c r="T25" i="120"/>
  <c r="P25" i="120"/>
  <c r="R25" i="120"/>
  <c r="N25" i="120"/>
  <c r="O25" i="120" s="1"/>
  <c r="T18" i="119"/>
  <c r="P18" i="119"/>
  <c r="R18" i="119"/>
  <c r="N18" i="119"/>
  <c r="O18" i="119" s="1"/>
  <c r="N14" i="135"/>
  <c r="R14" i="135"/>
  <c r="P14" i="135"/>
  <c r="L14" i="135"/>
  <c r="M14" i="135" s="1"/>
  <c r="R12" i="135"/>
  <c r="N12" i="135"/>
  <c r="P12" i="135"/>
  <c r="L12" i="135"/>
  <c r="M12" i="135" s="1"/>
  <c r="L29" i="121"/>
  <c r="M29" i="121" s="1"/>
  <c r="K29" i="121"/>
  <c r="J16" i="119"/>
  <c r="I16" i="119"/>
  <c r="J21" i="135"/>
  <c r="K21" i="135" s="1"/>
  <c r="I21" i="135"/>
  <c r="Q15" i="121" l="1"/>
  <c r="S15" i="121" s="1"/>
  <c r="U15" i="121" s="1"/>
  <c r="W15" i="121" s="1"/>
  <c r="X15" i="121" s="1"/>
  <c r="S14" i="120"/>
  <c r="U14" i="120" s="1"/>
  <c r="W14" i="120" s="1"/>
  <c r="X14" i="120" s="1"/>
  <c r="Q25" i="120"/>
  <c r="S25" i="120" s="1"/>
  <c r="U25" i="120" s="1"/>
  <c r="W25" i="120" s="1"/>
  <c r="X25" i="120" s="1"/>
  <c r="Q17" i="123"/>
  <c r="S17" i="123" s="1"/>
  <c r="U17" i="123" s="1"/>
  <c r="V17" i="123" s="1"/>
  <c r="Y17" i="123" s="1"/>
  <c r="V14" i="120"/>
  <c r="O14" i="135"/>
  <c r="Q14" i="135" s="1"/>
  <c r="S14" i="135" s="1"/>
  <c r="T14" i="135" s="1"/>
  <c r="Q18" i="119"/>
  <c r="S18" i="119" s="1"/>
  <c r="U18" i="119" s="1"/>
  <c r="V18" i="119" s="1"/>
  <c r="O12" i="135"/>
  <c r="Q12" i="135" s="1"/>
  <c r="S12" i="135" s="1"/>
  <c r="R29" i="121"/>
  <c r="N29" i="121"/>
  <c r="O29" i="121" s="1"/>
  <c r="T29" i="121"/>
  <c r="P29" i="121"/>
  <c r="R21" i="135"/>
  <c r="N21" i="135"/>
  <c r="P21" i="135"/>
  <c r="L21" i="135"/>
  <c r="M21" i="135" s="1"/>
  <c r="V15" i="121" l="1"/>
  <c r="Y15" i="121" s="1"/>
  <c r="V25" i="120"/>
  <c r="U14" i="135"/>
  <c r="V14" i="135" s="1"/>
  <c r="W14" i="135" s="1"/>
  <c r="Y14" i="120"/>
  <c r="Y25" i="120"/>
  <c r="W18" i="119"/>
  <c r="X18" i="119" s="1"/>
  <c r="O21" i="135"/>
  <c r="T12" i="135"/>
  <c r="U12" i="135"/>
  <c r="V12" i="135" s="1"/>
  <c r="Q29" i="121"/>
  <c r="S29" i="121" s="1"/>
  <c r="U29" i="121" s="1"/>
  <c r="W29" i="121" s="1"/>
  <c r="X29" i="121" s="1"/>
  <c r="Q21" i="135"/>
  <c r="S21" i="135" s="1"/>
  <c r="U21" i="135" s="1"/>
  <c r="V21" i="135" s="1"/>
  <c r="Y18" i="119" l="1"/>
  <c r="W12" i="135"/>
  <c r="V29" i="121"/>
  <c r="Y29" i="121" s="1"/>
  <c r="T21" i="135"/>
  <c r="W21" i="135" s="1"/>
  <c r="L31" i="123" l="1"/>
  <c r="M31" i="123" s="1"/>
  <c r="K31" i="123"/>
  <c r="L16" i="133"/>
  <c r="M16" i="133" s="1"/>
  <c r="K16" i="133"/>
  <c r="L15" i="133"/>
  <c r="M15" i="133" s="1"/>
  <c r="K15" i="133"/>
  <c r="L14" i="133"/>
  <c r="M14" i="133" s="1"/>
  <c r="K14" i="133"/>
  <c r="L13" i="133"/>
  <c r="M13" i="133" s="1"/>
  <c r="K13" i="133"/>
  <c r="L12" i="133"/>
  <c r="M12" i="133" s="1"/>
  <c r="K12" i="133"/>
  <c r="J20" i="135"/>
  <c r="K20" i="135" s="1"/>
  <c r="I20" i="135"/>
  <c r="L10" i="132"/>
  <c r="M10" i="132" s="1"/>
  <c r="K10" i="132"/>
  <c r="L10" i="118"/>
  <c r="M10" i="118" s="1"/>
  <c r="T10" i="118" s="1"/>
  <c r="K10" i="118"/>
  <c r="L10" i="119"/>
  <c r="M10" i="119" s="1"/>
  <c r="K10" i="119"/>
  <c r="K11" i="136"/>
  <c r="L11" i="136" s="1"/>
  <c r="J11" i="136"/>
  <c r="L14" i="123"/>
  <c r="M14" i="123" s="1"/>
  <c r="K14" i="123"/>
  <c r="N31" i="123" l="1"/>
  <c r="O31" i="123" s="1"/>
  <c r="T31" i="123"/>
  <c r="P31" i="123"/>
  <c r="R31" i="123"/>
  <c r="T16" i="133"/>
  <c r="R16" i="133"/>
  <c r="N16" i="133"/>
  <c r="O16" i="133" s="1"/>
  <c r="P16" i="133"/>
  <c r="R15" i="133"/>
  <c r="T15" i="133"/>
  <c r="P15" i="133"/>
  <c r="N15" i="133"/>
  <c r="O15" i="133" s="1"/>
  <c r="T14" i="133"/>
  <c r="R14" i="133"/>
  <c r="N14" i="133"/>
  <c r="O14" i="133" s="1"/>
  <c r="P14" i="133"/>
  <c r="P13" i="133"/>
  <c r="R13" i="133"/>
  <c r="N13" i="133"/>
  <c r="O13" i="133" s="1"/>
  <c r="T13" i="133"/>
  <c r="T12" i="133"/>
  <c r="P12" i="133"/>
  <c r="R12" i="133"/>
  <c r="N12" i="133"/>
  <c r="O12" i="133" s="1"/>
  <c r="R20" i="135"/>
  <c r="N20" i="135"/>
  <c r="P20" i="135"/>
  <c r="L20" i="135"/>
  <c r="M20" i="135" s="1"/>
  <c r="P10" i="132"/>
  <c r="T10" i="132"/>
  <c r="R10" i="132"/>
  <c r="N10" i="132"/>
  <c r="O10" i="132" s="1"/>
  <c r="N10" i="118"/>
  <c r="O10" i="118" s="1"/>
  <c r="R10" i="118"/>
  <c r="P10" i="118"/>
  <c r="T10" i="119"/>
  <c r="R10" i="119"/>
  <c r="N10" i="119"/>
  <c r="O10" i="119" s="1"/>
  <c r="P10" i="119"/>
  <c r="S11" i="136"/>
  <c r="O11" i="136"/>
  <c r="Q11" i="136"/>
  <c r="M11" i="136"/>
  <c r="N11" i="136" s="1"/>
  <c r="P11" i="136" s="1"/>
  <c r="R11" i="136" s="1"/>
  <c r="T14" i="123"/>
  <c r="P14" i="123"/>
  <c r="R14" i="123"/>
  <c r="N14" i="123"/>
  <c r="O14" i="123" s="1"/>
  <c r="Q10" i="119" l="1"/>
  <c r="Q15" i="133"/>
  <c r="S15" i="133" s="1"/>
  <c r="U15" i="133" s="1"/>
  <c r="W15" i="133" s="1"/>
  <c r="X15" i="133" s="1"/>
  <c r="Q16" i="133"/>
  <c r="S16" i="133" s="1"/>
  <c r="U16" i="133" s="1"/>
  <c r="W16" i="133" s="1"/>
  <c r="X16" i="133" s="1"/>
  <c r="T11" i="136"/>
  <c r="O20" i="135"/>
  <c r="S10" i="119"/>
  <c r="U10" i="119" s="1"/>
  <c r="W10" i="119" s="1"/>
  <c r="X10" i="119" s="1"/>
  <c r="Q31" i="123"/>
  <c r="S31" i="123"/>
  <c r="U31" i="123" s="1"/>
  <c r="W31" i="123" s="1"/>
  <c r="Q14" i="123"/>
  <c r="S14" i="123" s="1"/>
  <c r="U14" i="123" s="1"/>
  <c r="Q14" i="133"/>
  <c r="S14" i="133" s="1"/>
  <c r="U14" i="133" s="1"/>
  <c r="Q13" i="133"/>
  <c r="S13" i="133" s="1"/>
  <c r="U13" i="133" s="1"/>
  <c r="Q12" i="133"/>
  <c r="S12" i="133" s="1"/>
  <c r="U12" i="133" s="1"/>
  <c r="W12" i="133" s="1"/>
  <c r="X12" i="133" s="1"/>
  <c r="Q20" i="135"/>
  <c r="S20" i="135" s="1"/>
  <c r="Q10" i="132"/>
  <c r="S10" i="132" s="1"/>
  <c r="U10" i="132" s="1"/>
  <c r="W10" i="132" s="1"/>
  <c r="X10" i="132" s="1"/>
  <c r="Q10" i="118"/>
  <c r="S10" i="118" s="1"/>
  <c r="U10" i="118" s="1"/>
  <c r="V11" i="136"/>
  <c r="W11" i="136" s="1"/>
  <c r="U11" i="136"/>
  <c r="V15" i="133" l="1"/>
  <c r="Y15" i="133" s="1"/>
  <c r="V16" i="133"/>
  <c r="Y16" i="133" s="1"/>
  <c r="V10" i="119"/>
  <c r="Y10" i="119" s="1"/>
  <c r="V31" i="123"/>
  <c r="X31" i="123"/>
  <c r="X11" i="136"/>
  <c r="V14" i="133"/>
  <c r="W14" i="133"/>
  <c r="X14" i="133" s="1"/>
  <c r="W13" i="133"/>
  <c r="X13" i="133" s="1"/>
  <c r="V13" i="133"/>
  <c r="V12" i="133"/>
  <c r="Y12" i="133" s="1"/>
  <c r="U20" i="135"/>
  <c r="V20" i="135" s="1"/>
  <c r="T20" i="135"/>
  <c r="V10" i="132"/>
  <c r="Y10" i="132" s="1"/>
  <c r="W10" i="118"/>
  <c r="X10" i="118" s="1"/>
  <c r="V10" i="118"/>
  <c r="W14" i="123"/>
  <c r="X14" i="123" s="1"/>
  <c r="V14" i="123"/>
  <c r="Y31" i="123" l="1"/>
  <c r="Y13" i="133"/>
  <c r="Y14" i="133"/>
  <c r="Y10" i="118"/>
  <c r="W20" i="135"/>
  <c r="Y14" i="123"/>
  <c r="L12" i="123"/>
  <c r="M12" i="123" s="1"/>
  <c r="K12" i="123"/>
  <c r="L33" i="123"/>
  <c r="M33" i="123" s="1"/>
  <c r="K33" i="123"/>
  <c r="L12" i="134"/>
  <c r="M12" i="134" s="1"/>
  <c r="K12" i="134"/>
  <c r="L9" i="120"/>
  <c r="M9" i="120" s="1"/>
  <c r="K9" i="120"/>
  <c r="L10" i="134"/>
  <c r="M10" i="134" s="1"/>
  <c r="K10" i="134"/>
  <c r="L17" i="119"/>
  <c r="M17" i="119" s="1"/>
  <c r="K17" i="119"/>
  <c r="K16" i="119" s="1"/>
  <c r="L15" i="119"/>
  <c r="M15" i="119" s="1"/>
  <c r="K15" i="119"/>
  <c r="W14" i="121"/>
  <c r="W20" i="119"/>
  <c r="T12" i="123" l="1"/>
  <c r="P12" i="123"/>
  <c r="R12" i="123"/>
  <c r="N12" i="123"/>
  <c r="O12" i="123" s="1"/>
  <c r="R33" i="123"/>
  <c r="N33" i="123"/>
  <c r="O33" i="123" s="1"/>
  <c r="T33" i="123"/>
  <c r="P33" i="123"/>
  <c r="T12" i="134"/>
  <c r="P12" i="134"/>
  <c r="R12" i="134"/>
  <c r="N12" i="134"/>
  <c r="O12" i="134" s="1"/>
  <c r="T9" i="120"/>
  <c r="P9" i="120"/>
  <c r="R9" i="120"/>
  <c r="N9" i="120"/>
  <c r="O9" i="120" s="1"/>
  <c r="T10" i="134"/>
  <c r="P10" i="134"/>
  <c r="O10" i="134"/>
  <c r="Q10" i="134" s="1"/>
  <c r="R10" i="134"/>
  <c r="N10" i="134"/>
  <c r="T17" i="119"/>
  <c r="P17" i="119"/>
  <c r="R17" i="119"/>
  <c r="N17" i="119"/>
  <c r="O17" i="119" s="1"/>
  <c r="T15" i="119"/>
  <c r="P15" i="119"/>
  <c r="R15" i="119"/>
  <c r="N15" i="119"/>
  <c r="O15" i="119" s="1"/>
  <c r="L24" i="120"/>
  <c r="M24" i="120" s="1"/>
  <c r="K24" i="120"/>
  <c r="J13" i="134"/>
  <c r="I13" i="134"/>
  <c r="L14" i="134"/>
  <c r="M14" i="134" s="1"/>
  <c r="K14" i="134"/>
  <c r="K13" i="134" s="1"/>
  <c r="H14" i="134"/>
  <c r="Q15" i="119" l="1"/>
  <c r="S15" i="119" s="1"/>
  <c r="U15" i="119" s="1"/>
  <c r="Q9" i="120"/>
  <c r="S9" i="120" s="1"/>
  <c r="U9" i="120" s="1"/>
  <c r="V9" i="120" s="1"/>
  <c r="Q12" i="123"/>
  <c r="S12" i="123" s="1"/>
  <c r="U12" i="123" s="1"/>
  <c r="W12" i="123" s="1"/>
  <c r="X12" i="123" s="1"/>
  <c r="Q33" i="123"/>
  <c r="S33" i="123" s="1"/>
  <c r="U33" i="123" s="1"/>
  <c r="W33" i="123" s="1"/>
  <c r="X33" i="123" s="1"/>
  <c r="Q12" i="134"/>
  <c r="S12" i="134" s="1"/>
  <c r="U12" i="134" s="1"/>
  <c r="W12" i="134" s="1"/>
  <c r="X12" i="134" s="1"/>
  <c r="S10" i="134"/>
  <c r="U10" i="134" s="1"/>
  <c r="Q17" i="119"/>
  <c r="S17" i="119" s="1"/>
  <c r="U17" i="119" s="1"/>
  <c r="W17" i="119" s="1"/>
  <c r="W15" i="119"/>
  <c r="X15" i="119" s="1"/>
  <c r="V15" i="119"/>
  <c r="R14" i="134"/>
  <c r="N14" i="134"/>
  <c r="O14" i="134" s="1"/>
  <c r="P14" i="134"/>
  <c r="T14" i="134"/>
  <c r="N24" i="120"/>
  <c r="O24" i="120" s="1"/>
  <c r="T24" i="120"/>
  <c r="R24" i="120"/>
  <c r="P24" i="120"/>
  <c r="L21" i="120"/>
  <c r="M21" i="120" s="1"/>
  <c r="K21" i="120"/>
  <c r="L13" i="120"/>
  <c r="M13" i="120" s="1"/>
  <c r="K13" i="120"/>
  <c r="L11" i="120"/>
  <c r="M11" i="120" s="1"/>
  <c r="K11" i="120"/>
  <c r="Q14" i="134" l="1"/>
  <c r="S14" i="134" s="1"/>
  <c r="U14" i="134" s="1"/>
  <c r="X17" i="119"/>
  <c r="X16" i="119" s="1"/>
  <c r="W16" i="119"/>
  <c r="V33" i="123"/>
  <c r="Y33" i="123" s="1"/>
  <c r="W9" i="120"/>
  <c r="X9" i="120" s="1"/>
  <c r="Y9" i="120" s="1"/>
  <c r="V12" i="123"/>
  <c r="Y12" i="123" s="1"/>
  <c r="V12" i="134"/>
  <c r="Y12" i="134" s="1"/>
  <c r="W10" i="134"/>
  <c r="X10" i="134" s="1"/>
  <c r="V10" i="134"/>
  <c r="V17" i="119"/>
  <c r="Y15" i="119"/>
  <c r="R11" i="120"/>
  <c r="P11" i="120"/>
  <c r="N11" i="120"/>
  <c r="O11" i="120" s="1"/>
  <c r="T11" i="120"/>
  <c r="T21" i="120"/>
  <c r="N21" i="120"/>
  <c r="O21" i="120" s="1"/>
  <c r="R21" i="120"/>
  <c r="P21" i="120"/>
  <c r="T13" i="120"/>
  <c r="R13" i="120"/>
  <c r="P13" i="120"/>
  <c r="N13" i="120"/>
  <c r="O13" i="120" s="1"/>
  <c r="Q24" i="120"/>
  <c r="S24" i="120" s="1"/>
  <c r="U24" i="120" s="1"/>
  <c r="Y17" i="119" l="1"/>
  <c r="Y16" i="119" s="1"/>
  <c r="V16" i="119"/>
  <c r="Q11" i="120"/>
  <c r="S11" i="120" s="1"/>
  <c r="U11" i="120" s="1"/>
  <c r="V11" i="120" s="1"/>
  <c r="Q13" i="120"/>
  <c r="S13" i="120" s="1"/>
  <c r="U13" i="120" s="1"/>
  <c r="Y10" i="134"/>
  <c r="V24" i="120"/>
  <c r="W24" i="120"/>
  <c r="X24" i="120" s="1"/>
  <c r="Q21" i="120"/>
  <c r="S21" i="120" s="1"/>
  <c r="U21" i="120" s="1"/>
  <c r="V14" i="134"/>
  <c r="V13" i="134" s="1"/>
  <c r="W14" i="134"/>
  <c r="W11" i="120" l="1"/>
  <c r="X11" i="120" s="1"/>
  <c r="Y24" i="120"/>
  <c r="V13" i="120"/>
  <c r="W13" i="120"/>
  <c r="X13" i="120" s="1"/>
  <c r="X14" i="134"/>
  <c r="W13" i="134"/>
  <c r="W21" i="120"/>
  <c r="X21" i="120" s="1"/>
  <c r="V21" i="120"/>
  <c r="Y11" i="120"/>
  <c r="Y13" i="120" l="1"/>
  <c r="Y21" i="120"/>
  <c r="X13" i="134"/>
  <c r="Y14" i="134"/>
  <c r="Y13" i="134" s="1"/>
  <c r="L12" i="121"/>
  <c r="M12" i="121" s="1"/>
  <c r="K12" i="121"/>
  <c r="L17" i="121"/>
  <c r="M17" i="121" s="1"/>
  <c r="K17" i="121"/>
  <c r="N12" i="121" l="1"/>
  <c r="O12" i="121" s="1"/>
  <c r="R12" i="121"/>
  <c r="T12" i="121"/>
  <c r="P12" i="121"/>
  <c r="N17" i="121"/>
  <c r="O17" i="121" s="1"/>
  <c r="R17" i="121"/>
  <c r="P17" i="121"/>
  <c r="T17" i="121"/>
  <c r="L10" i="133"/>
  <c r="M10" i="133" s="1"/>
  <c r="K10" i="133"/>
  <c r="J19" i="133"/>
  <c r="I19" i="133"/>
  <c r="J22" i="135"/>
  <c r="K22" i="135" s="1"/>
  <c r="I22" i="135"/>
  <c r="L23" i="120"/>
  <c r="M23" i="120" s="1"/>
  <c r="K23" i="120"/>
  <c r="L13" i="132"/>
  <c r="M13" i="132" s="1"/>
  <c r="K13" i="132"/>
  <c r="R23" i="120" l="1"/>
  <c r="P23" i="120"/>
  <c r="T23" i="120"/>
  <c r="N23" i="120"/>
  <c r="O23" i="120" s="1"/>
  <c r="N13" i="132"/>
  <c r="O13" i="132" s="1"/>
  <c r="T13" i="132"/>
  <c r="P13" i="132"/>
  <c r="R13" i="132"/>
  <c r="N22" i="135"/>
  <c r="P22" i="135"/>
  <c r="L22" i="135"/>
  <c r="M22" i="135" s="1"/>
  <c r="R22" i="135"/>
  <c r="N10" i="133"/>
  <c r="O10" i="133" s="1"/>
  <c r="T10" i="133"/>
  <c r="R10" i="133"/>
  <c r="P10" i="133"/>
  <c r="Q17" i="121"/>
  <c r="S17" i="121" s="1"/>
  <c r="U17" i="121" s="1"/>
  <c r="Q12" i="121"/>
  <c r="S12" i="121" s="1"/>
  <c r="U12" i="121" s="1"/>
  <c r="O22" i="135" l="1"/>
  <c r="Q22" i="135"/>
  <c r="S22" i="135" s="1"/>
  <c r="T22" i="135" s="1"/>
  <c r="Q23" i="120"/>
  <c r="S23" i="120" s="1"/>
  <c r="U23" i="120" s="1"/>
  <c r="Q10" i="133"/>
  <c r="S10" i="133" s="1"/>
  <c r="U10" i="133" s="1"/>
  <c r="V17" i="121"/>
  <c r="W17" i="121"/>
  <c r="X17" i="121" s="1"/>
  <c r="Q13" i="132"/>
  <c r="S13" i="132" s="1"/>
  <c r="U13" i="132" s="1"/>
  <c r="W12" i="121"/>
  <c r="X12" i="121" s="1"/>
  <c r="V12" i="121"/>
  <c r="U22" i="135" l="1"/>
  <c r="V22" i="135" s="1"/>
  <c r="W22" i="135" s="1"/>
  <c r="Y12" i="121"/>
  <c r="Y17" i="121"/>
  <c r="V23" i="120"/>
  <c r="W23" i="120"/>
  <c r="X23" i="120" s="1"/>
  <c r="W10" i="133"/>
  <c r="X10" i="133" s="1"/>
  <c r="V10" i="133"/>
  <c r="V13" i="132"/>
  <c r="W13" i="132"/>
  <c r="X13" i="132" s="1"/>
  <c r="Y23" i="120" l="1"/>
  <c r="Y13" i="132"/>
  <c r="Y10" i="133"/>
  <c r="L37" i="123"/>
  <c r="M37" i="123" s="1"/>
  <c r="K37" i="123"/>
  <c r="L16" i="121"/>
  <c r="M16" i="121" s="1"/>
  <c r="K16" i="121"/>
  <c r="R37" i="123" l="1"/>
  <c r="P37" i="123"/>
  <c r="T37" i="123"/>
  <c r="N37" i="123"/>
  <c r="O37" i="123" s="1"/>
  <c r="N16" i="121"/>
  <c r="O16" i="121" s="1"/>
  <c r="T16" i="121"/>
  <c r="P16" i="121"/>
  <c r="R16" i="121"/>
  <c r="Q37" i="123" l="1"/>
  <c r="S37" i="123" s="1"/>
  <c r="U37" i="123" s="1"/>
  <c r="W37" i="123" s="1"/>
  <c r="X37" i="123" s="1"/>
  <c r="Q16" i="121"/>
  <c r="S16" i="121" s="1"/>
  <c r="U16" i="121" s="1"/>
  <c r="V37" i="123" l="1"/>
  <c r="Y37" i="123" s="1"/>
  <c r="W16" i="121"/>
  <c r="X16" i="121" s="1"/>
  <c r="V16" i="121"/>
  <c r="L10" i="123"/>
  <c r="M10" i="123" s="1"/>
  <c r="K10" i="123"/>
  <c r="L35" i="123"/>
  <c r="M35" i="123" s="1"/>
  <c r="K35" i="123"/>
  <c r="I34" i="123"/>
  <c r="T10" i="123" l="1"/>
  <c r="P10" i="123"/>
  <c r="R10" i="123"/>
  <c r="N10" i="123"/>
  <c r="O10" i="123" s="1"/>
  <c r="Y16" i="121"/>
  <c r="T35" i="123"/>
  <c r="R35" i="123"/>
  <c r="N35" i="123"/>
  <c r="O35" i="123" s="1"/>
  <c r="P35" i="123"/>
  <c r="J34" i="123"/>
  <c r="K34" i="123"/>
  <c r="Q35" i="123" l="1"/>
  <c r="S35" i="123" s="1"/>
  <c r="U35" i="123" s="1"/>
  <c r="Q10" i="123"/>
  <c r="S10" i="123" s="1"/>
  <c r="U10" i="123"/>
  <c r="V10" i="123" s="1"/>
  <c r="V35" i="123"/>
  <c r="W35" i="123"/>
  <c r="W10" i="123" l="1"/>
  <c r="X10" i="123" s="1"/>
  <c r="Y10" i="123" s="1"/>
  <c r="W34" i="123"/>
  <c r="V34" i="123"/>
  <c r="X35" i="123" l="1"/>
  <c r="Y35" i="123" s="1"/>
  <c r="Y34" i="123" s="1"/>
  <c r="X34" i="123" l="1"/>
  <c r="J13" i="135"/>
  <c r="K13" i="135" s="1"/>
  <c r="I13" i="135"/>
  <c r="J11" i="135"/>
  <c r="K11" i="135" s="1"/>
  <c r="I11" i="135"/>
  <c r="L26" i="120"/>
  <c r="M26" i="120" s="1"/>
  <c r="K26" i="120"/>
  <c r="P13" i="135" l="1"/>
  <c r="L13" i="135"/>
  <c r="M13" i="135" s="1"/>
  <c r="R13" i="135"/>
  <c r="N13" i="135"/>
  <c r="T26" i="120"/>
  <c r="R26" i="120"/>
  <c r="N26" i="120"/>
  <c r="O26" i="120" s="1"/>
  <c r="P26" i="120"/>
  <c r="R11" i="135"/>
  <c r="L11" i="135"/>
  <c r="M11" i="135" s="1"/>
  <c r="N11" i="135"/>
  <c r="P11" i="135"/>
  <c r="L11" i="132"/>
  <c r="M11" i="132" s="1"/>
  <c r="K11" i="132"/>
  <c r="G23" i="135"/>
  <c r="H23" i="135"/>
  <c r="J19" i="135"/>
  <c r="K19" i="135" s="1"/>
  <c r="I19" i="135"/>
  <c r="L12" i="120"/>
  <c r="M12" i="120" s="1"/>
  <c r="K12" i="120"/>
  <c r="L10" i="120"/>
  <c r="M10" i="120" s="1"/>
  <c r="K10" i="120"/>
  <c r="H10" i="120"/>
  <c r="L20" i="119"/>
  <c r="M20" i="119" s="1"/>
  <c r="K20" i="119"/>
  <c r="O13" i="135" l="1"/>
  <c r="Q13" i="135" s="1"/>
  <c r="S13" i="135" s="1"/>
  <c r="Q26" i="120"/>
  <c r="S26" i="120" s="1"/>
  <c r="U26" i="120" s="1"/>
  <c r="V26" i="120" s="1"/>
  <c r="U13" i="135"/>
  <c r="T13" i="135"/>
  <c r="O11" i="135"/>
  <c r="Q11" i="135" s="1"/>
  <c r="S11" i="135" s="1"/>
  <c r="N19" i="135"/>
  <c r="P19" i="135"/>
  <c r="R19" i="135"/>
  <c r="L19" i="135"/>
  <c r="M19" i="135" s="1"/>
  <c r="T20" i="119"/>
  <c r="N20" i="119"/>
  <c r="O20" i="119" s="1"/>
  <c r="P20" i="119"/>
  <c r="R20" i="119"/>
  <c r="N12" i="120"/>
  <c r="O12" i="120" s="1"/>
  <c r="R12" i="120"/>
  <c r="P12" i="120"/>
  <c r="T12" i="120"/>
  <c r="R11" i="132"/>
  <c r="T11" i="132"/>
  <c r="N11" i="132"/>
  <c r="O11" i="132" s="1"/>
  <c r="P11" i="132"/>
  <c r="R10" i="120"/>
  <c r="N10" i="120"/>
  <c r="O10" i="120" s="1"/>
  <c r="P10" i="120"/>
  <c r="T10" i="120"/>
  <c r="J18" i="135"/>
  <c r="K18" i="135" s="1"/>
  <c r="I18" i="135"/>
  <c r="Q20" i="119" l="1"/>
  <c r="S20" i="119"/>
  <c r="U20" i="119" s="1"/>
  <c r="W26" i="120"/>
  <c r="X26" i="120" s="1"/>
  <c r="Q11" i="132"/>
  <c r="S11" i="132" s="1"/>
  <c r="U11" i="132" s="1"/>
  <c r="O19" i="135"/>
  <c r="Q10" i="120"/>
  <c r="S10" i="120" s="1"/>
  <c r="U10" i="120" s="1"/>
  <c r="V10" i="120" s="1"/>
  <c r="N18" i="135"/>
  <c r="P18" i="135"/>
  <c r="R18" i="135"/>
  <c r="L18" i="135"/>
  <c r="M18" i="135" s="1"/>
  <c r="Q12" i="120"/>
  <c r="S12" i="120" s="1"/>
  <c r="U12" i="120" s="1"/>
  <c r="Q19" i="135"/>
  <c r="S19" i="135" s="1"/>
  <c r="T11" i="135"/>
  <c r="U11" i="135"/>
  <c r="V11" i="135" s="1"/>
  <c r="V13" i="135"/>
  <c r="W13" i="135" s="1"/>
  <c r="X20" i="119"/>
  <c r="W10" i="120" l="1"/>
  <c r="X10" i="120" s="1"/>
  <c r="Y10" i="120" s="1"/>
  <c r="V11" i="132"/>
  <c r="W11" i="132"/>
  <c r="X11" i="132" s="1"/>
  <c r="O18" i="135"/>
  <c r="Q18" i="135" s="1"/>
  <c r="S18" i="135" s="1"/>
  <c r="T19" i="135"/>
  <c r="U19" i="135"/>
  <c r="V19" i="135" s="1"/>
  <c r="W12" i="120"/>
  <c r="X12" i="120" s="1"/>
  <c r="V12" i="120"/>
  <c r="W11" i="135"/>
  <c r="Y26" i="120"/>
  <c r="V20" i="119"/>
  <c r="Y11" i="132" l="1"/>
  <c r="W19" i="135"/>
  <c r="T18" i="135"/>
  <c r="U18" i="135"/>
  <c r="V18" i="135" s="1"/>
  <c r="Y12" i="120"/>
  <c r="W18" i="135" l="1"/>
  <c r="H10" i="134"/>
  <c r="J9" i="134"/>
  <c r="I9" i="134"/>
  <c r="K9" i="134" l="1"/>
  <c r="V9" i="134" l="1"/>
  <c r="X9" i="134"/>
  <c r="W9" i="134"/>
  <c r="Y9" i="134" l="1"/>
  <c r="L20" i="121" l="1"/>
  <c r="M20" i="121" s="1"/>
  <c r="K20" i="121"/>
  <c r="L16" i="123"/>
  <c r="M16" i="123" s="1"/>
  <c r="K16" i="123"/>
  <c r="L9" i="123"/>
  <c r="M9" i="123" s="1"/>
  <c r="K9" i="123"/>
  <c r="L12" i="132"/>
  <c r="M12" i="132" s="1"/>
  <c r="K12" i="132"/>
  <c r="J11" i="134"/>
  <c r="J15" i="134" s="1"/>
  <c r="I11" i="134"/>
  <c r="I15" i="134" s="1"/>
  <c r="H12" i="134"/>
  <c r="T16" i="123" l="1"/>
  <c r="R16" i="123"/>
  <c r="P16" i="123"/>
  <c r="N16" i="123"/>
  <c r="O16" i="123" s="1"/>
  <c r="R12" i="132"/>
  <c r="P12" i="132"/>
  <c r="T12" i="132"/>
  <c r="N12" i="132"/>
  <c r="O12" i="132" s="1"/>
  <c r="R9" i="123"/>
  <c r="P9" i="123"/>
  <c r="N9" i="123"/>
  <c r="O9" i="123" s="1"/>
  <c r="T9" i="123"/>
  <c r="R20" i="121"/>
  <c r="T20" i="121"/>
  <c r="P20" i="121"/>
  <c r="N20" i="121"/>
  <c r="O20" i="121" s="1"/>
  <c r="K11" i="134"/>
  <c r="K15" i="134" s="1"/>
  <c r="Q9" i="123" l="1"/>
  <c r="S9" i="123" s="1"/>
  <c r="U9" i="123" s="1"/>
  <c r="Q20" i="121"/>
  <c r="S20" i="121" s="1"/>
  <c r="U20" i="121" s="1"/>
  <c r="V20" i="121" s="1"/>
  <c r="Q16" i="123"/>
  <c r="S16" i="123" s="1"/>
  <c r="U16" i="123" s="1"/>
  <c r="W16" i="123" s="1"/>
  <c r="X16" i="123" s="1"/>
  <c r="Q12" i="132"/>
  <c r="S12" i="132" s="1"/>
  <c r="U12" i="132" s="1"/>
  <c r="V12" i="132" s="1"/>
  <c r="W20" i="121" l="1"/>
  <c r="X20" i="121" s="1"/>
  <c r="Y20" i="121" s="1"/>
  <c r="V16" i="123"/>
  <c r="Y16" i="123" s="1"/>
  <c r="W12" i="132"/>
  <c r="X12" i="132" s="1"/>
  <c r="Y12" i="132" s="1"/>
  <c r="V9" i="123"/>
  <c r="W9" i="123"/>
  <c r="X9" i="123" s="1"/>
  <c r="W11" i="134"/>
  <c r="W15" i="134" s="1"/>
  <c r="Y9" i="123" l="1"/>
  <c r="V11" i="134"/>
  <c r="V15" i="134" s="1"/>
  <c r="X11" i="134"/>
  <c r="X15" i="134" s="1"/>
  <c r="Y11" i="134" l="1"/>
  <c r="Y15" i="134" s="1"/>
  <c r="L11" i="133" l="1"/>
  <c r="M11" i="133" s="1"/>
  <c r="K11" i="133"/>
  <c r="N11" i="133" l="1"/>
  <c r="O11" i="133" s="1"/>
  <c r="P11" i="133"/>
  <c r="R11" i="133"/>
  <c r="T11" i="133"/>
  <c r="Q11" i="133" l="1"/>
  <c r="S11" i="133" s="1"/>
  <c r="U11" i="133" s="1"/>
  <c r="W11" i="133" l="1"/>
  <c r="X11" i="133" s="1"/>
  <c r="V11" i="133"/>
  <c r="L14" i="121"/>
  <c r="M14" i="121" s="1"/>
  <c r="K14" i="121"/>
  <c r="Y11" i="133" l="1"/>
  <c r="R14" i="121"/>
  <c r="N14" i="121"/>
  <c r="O14" i="121" s="1"/>
  <c r="P14" i="121"/>
  <c r="T14" i="121"/>
  <c r="X14" i="121"/>
  <c r="Q14" i="121" l="1"/>
  <c r="S14" i="121" s="1"/>
  <c r="U14" i="121" s="1"/>
  <c r="V14" i="121" s="1"/>
  <c r="Y14" i="121" s="1"/>
  <c r="L19" i="121" l="1"/>
  <c r="M19" i="121" s="1"/>
  <c r="K19" i="121"/>
  <c r="P19" i="121" l="1"/>
  <c r="N19" i="121"/>
  <c r="O19" i="121" s="1"/>
  <c r="Q19" i="121" s="1"/>
  <c r="S19" i="121" s="1"/>
  <c r="R19" i="121"/>
  <c r="T19" i="121"/>
  <c r="J8" i="123"/>
  <c r="I8" i="123"/>
  <c r="K8" i="123"/>
  <c r="U19" i="121" l="1"/>
  <c r="V19" i="121"/>
  <c r="W19" i="121"/>
  <c r="X19" i="121" s="1"/>
  <c r="Y19" i="121" l="1"/>
  <c r="V8" i="123" l="1"/>
  <c r="X8" i="123"/>
  <c r="W8" i="123"/>
  <c r="Y8" i="123" l="1"/>
  <c r="J17" i="135" l="1"/>
  <c r="K17" i="135" s="1"/>
  <c r="I17" i="135"/>
  <c r="N17" i="135" l="1"/>
  <c r="P17" i="135"/>
  <c r="L17" i="135"/>
  <c r="M17" i="135" s="1"/>
  <c r="R17" i="135"/>
  <c r="O17" i="135" l="1"/>
  <c r="Q17" i="135" s="1"/>
  <c r="S17" i="135" s="1"/>
  <c r="U17" i="135" s="1"/>
  <c r="V17" i="135" s="1"/>
  <c r="T17" i="135" l="1"/>
  <c r="W17" i="135"/>
  <c r="I13" i="136"/>
  <c r="H13" i="136"/>
  <c r="K13" i="136"/>
  <c r="G11" i="136"/>
  <c r="J13" i="136" l="1"/>
  <c r="S13" i="136" l="1"/>
  <c r="Q13" i="136"/>
  <c r="O13" i="136"/>
  <c r="L13" i="136"/>
  <c r="M13" i="136" l="1"/>
  <c r="N13" i="136"/>
  <c r="P13" i="136" l="1"/>
  <c r="R13" i="136" l="1"/>
  <c r="T13" i="136" l="1"/>
  <c r="W13" i="136" l="1"/>
  <c r="V13" i="136"/>
  <c r="U13" i="136"/>
  <c r="X13" i="136" l="1"/>
  <c r="J13" i="131" l="1"/>
  <c r="L13" i="131" l="1"/>
  <c r="L9" i="119"/>
  <c r="M9" i="119" s="1"/>
  <c r="K9" i="119"/>
  <c r="M13" i="131" l="1"/>
  <c r="N13" i="131" s="1"/>
  <c r="P13" i="131" s="1"/>
  <c r="Q13" i="131"/>
  <c r="O13" i="131"/>
  <c r="R9" i="119"/>
  <c r="N9" i="119"/>
  <c r="O9" i="119" s="1"/>
  <c r="S13" i="131"/>
  <c r="T9" i="119"/>
  <c r="P9" i="119"/>
  <c r="R13" i="131" l="1"/>
  <c r="T13" i="131"/>
  <c r="Q9" i="119"/>
  <c r="S9" i="119" s="1"/>
  <c r="U9" i="119" s="1"/>
  <c r="W9" i="119" l="1"/>
  <c r="X9" i="119" s="1"/>
  <c r="U13" i="131"/>
  <c r="V13" i="131"/>
  <c r="W13" i="131" s="1"/>
  <c r="V9" i="119"/>
  <c r="X13" i="131" l="1"/>
  <c r="Y9" i="119"/>
  <c r="L22" i="120"/>
  <c r="M22" i="120" s="1"/>
  <c r="K22" i="120"/>
  <c r="N22" i="120" l="1"/>
  <c r="O22" i="120" s="1"/>
  <c r="R22" i="120"/>
  <c r="T22" i="120"/>
  <c r="P22" i="120"/>
  <c r="Q22" i="120" l="1"/>
  <c r="S22" i="120" s="1"/>
  <c r="U22" i="120" s="1"/>
  <c r="L17" i="133"/>
  <c r="M17" i="133" s="1"/>
  <c r="L18" i="133"/>
  <c r="M18" i="133" s="1"/>
  <c r="J10" i="135"/>
  <c r="K10" i="135" s="1"/>
  <c r="J15" i="135"/>
  <c r="K15" i="135" s="1"/>
  <c r="J16" i="135"/>
  <c r="K16" i="135" s="1"/>
  <c r="J9" i="135"/>
  <c r="K9" i="135" s="1"/>
  <c r="L11" i="118"/>
  <c r="M11" i="118" s="1"/>
  <c r="L12" i="118"/>
  <c r="M12" i="118" s="1"/>
  <c r="L15" i="123"/>
  <c r="M15" i="123" s="1"/>
  <c r="L28" i="121"/>
  <c r="M28" i="121" s="1"/>
  <c r="L18" i="121"/>
  <c r="M18" i="121" s="1"/>
  <c r="L10" i="121"/>
  <c r="M10" i="121" s="1"/>
  <c r="L11" i="121"/>
  <c r="M11" i="121" s="1"/>
  <c r="L13" i="121"/>
  <c r="M13" i="121" s="1"/>
  <c r="L9" i="121"/>
  <c r="M9" i="121" s="1"/>
  <c r="L27" i="120"/>
  <c r="M27" i="120" s="1"/>
  <c r="L15" i="120"/>
  <c r="M15" i="120" s="1"/>
  <c r="L13" i="119"/>
  <c r="M13" i="119" s="1"/>
  <c r="L11" i="119"/>
  <c r="M11" i="119" s="1"/>
  <c r="P9" i="121" l="1"/>
  <c r="R9" i="121"/>
  <c r="N9" i="121"/>
  <c r="O9" i="121" s="1"/>
  <c r="T9" i="121"/>
  <c r="R27" i="120"/>
  <c r="N27" i="120"/>
  <c r="O27" i="120" s="1"/>
  <c r="T27" i="120"/>
  <c r="P27" i="120"/>
  <c r="P10" i="121"/>
  <c r="R10" i="121"/>
  <c r="T10" i="121"/>
  <c r="N10" i="121"/>
  <c r="O10" i="121" s="1"/>
  <c r="R9" i="135"/>
  <c r="L9" i="135"/>
  <c r="M9" i="135" s="1"/>
  <c r="P9" i="135"/>
  <c r="N9" i="135"/>
  <c r="R10" i="135"/>
  <c r="L10" i="135"/>
  <c r="M10" i="135" s="1"/>
  <c r="N10" i="135"/>
  <c r="P10" i="135"/>
  <c r="P11" i="119"/>
  <c r="N11" i="119"/>
  <c r="O11" i="119" s="1"/>
  <c r="Q11" i="119" s="1"/>
  <c r="T11" i="119"/>
  <c r="R11" i="119"/>
  <c r="N15" i="120"/>
  <c r="O15" i="120" s="1"/>
  <c r="R15" i="120"/>
  <c r="P15" i="120"/>
  <c r="T15" i="120"/>
  <c r="T13" i="121"/>
  <c r="P13" i="121"/>
  <c r="R13" i="121"/>
  <c r="N13" i="121"/>
  <c r="O13" i="121" s="1"/>
  <c r="N28" i="121"/>
  <c r="O28" i="121" s="1"/>
  <c r="P28" i="121"/>
  <c r="T28" i="121"/>
  <c r="R28" i="121"/>
  <c r="T12" i="118"/>
  <c r="P12" i="118"/>
  <c r="R12" i="118"/>
  <c r="N12" i="118"/>
  <c r="O12" i="118" s="1"/>
  <c r="P16" i="135"/>
  <c r="R16" i="135"/>
  <c r="L16" i="135"/>
  <c r="M16" i="135" s="1"/>
  <c r="N16" i="135"/>
  <c r="N17" i="133"/>
  <c r="O17" i="133" s="1"/>
  <c r="T17" i="133"/>
  <c r="P17" i="133"/>
  <c r="R17" i="133"/>
  <c r="P18" i="121"/>
  <c r="N18" i="121"/>
  <c r="O18" i="121" s="1"/>
  <c r="Q18" i="121" s="1"/>
  <c r="T18" i="121"/>
  <c r="R18" i="121"/>
  <c r="T18" i="133"/>
  <c r="N18" i="133"/>
  <c r="O18" i="133" s="1"/>
  <c r="P18" i="133"/>
  <c r="R18" i="133"/>
  <c r="T13" i="119"/>
  <c r="N13" i="119"/>
  <c r="O13" i="119" s="1"/>
  <c r="R13" i="119"/>
  <c r="P13" i="119"/>
  <c r="R11" i="121"/>
  <c r="T11" i="121"/>
  <c r="N11" i="121"/>
  <c r="O11" i="121" s="1"/>
  <c r="P11" i="121"/>
  <c r="R15" i="123"/>
  <c r="N15" i="123"/>
  <c r="O15" i="123" s="1"/>
  <c r="P15" i="123"/>
  <c r="T15" i="123"/>
  <c r="P11" i="118"/>
  <c r="N11" i="118"/>
  <c r="O11" i="118" s="1"/>
  <c r="Q11" i="118" s="1"/>
  <c r="R11" i="118"/>
  <c r="T11" i="118"/>
  <c r="P15" i="135"/>
  <c r="R15" i="135"/>
  <c r="L15" i="135"/>
  <c r="M15" i="135" s="1"/>
  <c r="N15" i="135"/>
  <c r="V22" i="120"/>
  <c r="W22" i="120"/>
  <c r="X22" i="120" s="1"/>
  <c r="S11" i="118" l="1"/>
  <c r="U11" i="118" s="1"/>
  <c r="S18" i="121"/>
  <c r="U18" i="121" s="1"/>
  <c r="V18" i="121" s="1"/>
  <c r="Q11" i="121"/>
  <c r="Q13" i="119"/>
  <c r="S13" i="119" s="1"/>
  <c r="U13" i="119" s="1"/>
  <c r="W13" i="119" s="1"/>
  <c r="Q13" i="121"/>
  <c r="S13" i="121" s="1"/>
  <c r="U13" i="121" s="1"/>
  <c r="Q9" i="121"/>
  <c r="S9" i="121" s="1"/>
  <c r="U9" i="121" s="1"/>
  <c r="Q12" i="118"/>
  <c r="S12" i="118" s="1"/>
  <c r="U12" i="118" s="1"/>
  <c r="O10" i="135"/>
  <c r="Q10" i="135" s="1"/>
  <c r="S10" i="135" s="1"/>
  <c r="U10" i="135" s="1"/>
  <c r="S11" i="119"/>
  <c r="U11" i="119" s="1"/>
  <c r="W11" i="119" s="1"/>
  <c r="X11" i="119" s="1"/>
  <c r="Q28" i="121"/>
  <c r="S28" i="121" s="1"/>
  <c r="U28" i="121" s="1"/>
  <c r="Q17" i="133"/>
  <c r="S17" i="133" s="1"/>
  <c r="U17" i="133" s="1"/>
  <c r="V17" i="133" s="1"/>
  <c r="S11" i="121"/>
  <c r="U11" i="121" s="1"/>
  <c r="V11" i="121" s="1"/>
  <c r="Q15" i="120"/>
  <c r="S15" i="120" s="1"/>
  <c r="U15" i="120" s="1"/>
  <c r="W15" i="120" s="1"/>
  <c r="O9" i="135"/>
  <c r="Q9" i="135" s="1"/>
  <c r="S9" i="135" s="1"/>
  <c r="U9" i="135" s="1"/>
  <c r="Y22" i="120"/>
  <c r="Q27" i="120"/>
  <c r="S27" i="120" s="1"/>
  <c r="U27" i="120" s="1"/>
  <c r="V27" i="120" s="1"/>
  <c r="V11" i="118"/>
  <c r="W11" i="118"/>
  <c r="W18" i="121"/>
  <c r="Q18" i="133"/>
  <c r="S18" i="133" s="1"/>
  <c r="U18" i="133" s="1"/>
  <c r="O16" i="135"/>
  <c r="Q16" i="135" s="1"/>
  <c r="S16" i="135" s="1"/>
  <c r="O15" i="135"/>
  <c r="Q15" i="135" s="1"/>
  <c r="S15" i="135" s="1"/>
  <c r="Q15" i="123"/>
  <c r="S15" i="123" s="1"/>
  <c r="U15" i="123" s="1"/>
  <c r="Q10" i="121"/>
  <c r="S10" i="121" s="1"/>
  <c r="U10" i="121" s="1"/>
  <c r="J14" i="131"/>
  <c r="L14" i="131" s="1"/>
  <c r="W27" i="120" l="1"/>
  <c r="T10" i="135"/>
  <c r="W28" i="121"/>
  <c r="V28" i="121"/>
  <c r="W17" i="133"/>
  <c r="W11" i="121"/>
  <c r="V15" i="120"/>
  <c r="T9" i="135"/>
  <c r="V15" i="123"/>
  <c r="W15" i="123"/>
  <c r="W9" i="121"/>
  <c r="V9" i="121"/>
  <c r="T15" i="135"/>
  <c r="U15" i="135"/>
  <c r="V13" i="121"/>
  <c r="W13" i="121"/>
  <c r="V12" i="118"/>
  <c r="W12" i="118"/>
  <c r="T16" i="135"/>
  <c r="U16" i="135"/>
  <c r="Q14" i="131"/>
  <c r="M14" i="131"/>
  <c r="N14" i="131" s="1"/>
  <c r="O14" i="131"/>
  <c r="W10" i="121"/>
  <c r="V10" i="121"/>
  <c r="W18" i="133"/>
  <c r="V18" i="133"/>
  <c r="S14" i="131"/>
  <c r="P14" i="131" l="1"/>
  <c r="R14" i="131" s="1"/>
  <c r="T14" i="131" s="1"/>
  <c r="H14" i="131"/>
  <c r="V14" i="131" l="1"/>
  <c r="W14" i="131" s="1"/>
  <c r="U14" i="131"/>
  <c r="X14" i="131" l="1"/>
  <c r="K15" i="120"/>
  <c r="X15" i="120" l="1"/>
  <c r="Y15" i="120" l="1"/>
  <c r="K18" i="133" l="1"/>
  <c r="H18" i="133"/>
  <c r="X18" i="133" l="1"/>
  <c r="Y18" i="133" l="1"/>
  <c r="K13" i="121"/>
  <c r="X13" i="121" l="1"/>
  <c r="Y13" i="121" l="1"/>
  <c r="K11" i="121"/>
  <c r="X11" i="121" l="1"/>
  <c r="Y11" i="121" s="1"/>
  <c r="I16" i="135" l="1"/>
  <c r="K17" i="133" l="1"/>
  <c r="J11" i="123" l="1"/>
  <c r="P23" i="135" l="1"/>
  <c r="L23" i="135"/>
  <c r="J23" i="135"/>
  <c r="I15" i="135"/>
  <c r="I9" i="135"/>
  <c r="I10" i="135" l="1"/>
  <c r="I23" i="135" l="1"/>
  <c r="K23" i="135"/>
  <c r="M23" i="135" l="1"/>
  <c r="J18" i="131" l="1"/>
  <c r="L18" i="131" s="1"/>
  <c r="J17" i="131"/>
  <c r="L17" i="131" s="1"/>
  <c r="J16" i="131"/>
  <c r="L16" i="131" s="1"/>
  <c r="J15" i="131"/>
  <c r="L15" i="131" s="1"/>
  <c r="J12" i="131"/>
  <c r="L12" i="131" s="1"/>
  <c r="J11" i="131"/>
  <c r="L11" i="131" s="1"/>
  <c r="J10" i="131"/>
  <c r="L10" i="131" s="1"/>
  <c r="M15" i="131" l="1"/>
  <c r="N15" i="131" s="1"/>
  <c r="Q15" i="131"/>
  <c r="O15" i="131"/>
  <c r="Q16" i="131"/>
  <c r="M16" i="131"/>
  <c r="N16" i="131" s="1"/>
  <c r="O16" i="131"/>
  <c r="M17" i="131"/>
  <c r="N17" i="131" s="1"/>
  <c r="P17" i="131" s="1"/>
  <c r="Q17" i="131"/>
  <c r="O17" i="131"/>
  <c r="O10" i="131"/>
  <c r="M10" i="131"/>
  <c r="N10" i="131" s="1"/>
  <c r="P10" i="131" s="1"/>
  <c r="R10" i="131" s="1"/>
  <c r="S10" i="131"/>
  <c r="Q10" i="131"/>
  <c r="M11" i="131"/>
  <c r="N11" i="131" s="1"/>
  <c r="Q11" i="131"/>
  <c r="Q12" i="131"/>
  <c r="M12" i="131"/>
  <c r="O12" i="131"/>
  <c r="N12" i="131"/>
  <c r="Q18" i="131"/>
  <c r="M18" i="131"/>
  <c r="O18" i="131"/>
  <c r="N18" i="131"/>
  <c r="S17" i="131"/>
  <c r="O11" i="131"/>
  <c r="S11" i="131"/>
  <c r="S12" i="131"/>
  <c r="S18" i="131"/>
  <c r="S16" i="131"/>
  <c r="S15" i="131"/>
  <c r="J28" i="120"/>
  <c r="P11" i="131" l="1"/>
  <c r="P16" i="131"/>
  <c r="R16" i="131" s="1"/>
  <c r="T16" i="131" s="1"/>
  <c r="V16" i="131" s="1"/>
  <c r="P15" i="131"/>
  <c r="R15" i="131" s="1"/>
  <c r="T15" i="131" s="1"/>
  <c r="V15" i="131" s="1"/>
  <c r="T10" i="131"/>
  <c r="U10" i="131" s="1"/>
  <c r="P18" i="131"/>
  <c r="P12" i="131"/>
  <c r="R12" i="131" s="1"/>
  <c r="T12" i="131" s="1"/>
  <c r="V12" i="131" s="1"/>
  <c r="R18" i="131"/>
  <c r="T18" i="131" s="1"/>
  <c r="V18" i="131" s="1"/>
  <c r="R11" i="131"/>
  <c r="T11" i="131" s="1"/>
  <c r="V11" i="131" s="1"/>
  <c r="R17" i="131"/>
  <c r="T17" i="131" s="1"/>
  <c r="V17" i="131" s="1"/>
  <c r="V10" i="131" l="1"/>
  <c r="J8" i="121"/>
  <c r="J19" i="119"/>
  <c r="I19" i="119"/>
  <c r="J13" i="123" l="1"/>
  <c r="K9" i="121" l="1"/>
  <c r="R15" i="134" l="1"/>
  <c r="N15" i="134"/>
  <c r="L15" i="134"/>
  <c r="M15" i="134" l="1"/>
  <c r="P15" i="134" l="1"/>
  <c r="O15" i="134"/>
  <c r="J27" i="121" l="1"/>
  <c r="J31" i="121" s="1"/>
  <c r="Q15" i="134" l="1"/>
  <c r="S15" i="134"/>
  <c r="H10" i="121" l="1"/>
  <c r="K27" i="120"/>
  <c r="H27" i="120"/>
  <c r="K10" i="121" l="1"/>
  <c r="K13" i="119" l="1"/>
  <c r="I27" i="121" l="1"/>
  <c r="I13" i="123"/>
  <c r="I11" i="123"/>
  <c r="I8" i="121" l="1"/>
  <c r="I31" i="121" s="1"/>
  <c r="K28" i="121" l="1"/>
  <c r="K27" i="121" s="1"/>
  <c r="K11" i="123" l="1"/>
  <c r="K15" i="123" l="1"/>
  <c r="K13" i="123" s="1"/>
  <c r="K18" i="121" l="1"/>
  <c r="H37" i="123" l="1"/>
  <c r="J36" i="123"/>
  <c r="I36" i="123"/>
  <c r="H17" i="133" l="1"/>
  <c r="R19" i="133"/>
  <c r="N19" i="133"/>
  <c r="L19" i="133"/>
  <c r="V36" i="123" l="1"/>
  <c r="K36" i="123"/>
  <c r="O19" i="133" l="1"/>
  <c r="W36" i="123"/>
  <c r="K19" i="133"/>
  <c r="M19" i="133" l="1"/>
  <c r="X36" i="123"/>
  <c r="Y36" i="123"/>
  <c r="K11" i="118" l="1"/>
  <c r="J14" i="118" l="1"/>
  <c r="J8" i="119" l="1"/>
  <c r="I8" i="119"/>
  <c r="K32" i="123" l="1"/>
  <c r="J32" i="123"/>
  <c r="I32" i="123"/>
  <c r="H15" i="123"/>
  <c r="I30" i="123" l="1"/>
  <c r="I39" i="123" s="1"/>
  <c r="K30" i="123"/>
  <c r="K39" i="123" s="1"/>
  <c r="J30" i="123"/>
  <c r="J39" i="123" s="1"/>
  <c r="H18" i="121"/>
  <c r="K8" i="121"/>
  <c r="K31" i="121" s="1"/>
  <c r="H16" i="121"/>
  <c r="H12" i="121"/>
  <c r="H9" i="121"/>
  <c r="J14" i="119" l="1"/>
  <c r="J12" i="119"/>
  <c r="I12" i="119"/>
  <c r="K11" i="119"/>
  <c r="I22" i="119" l="1"/>
  <c r="J22" i="119"/>
  <c r="R15" i="132"/>
  <c r="N15" i="132"/>
  <c r="L15" i="132"/>
  <c r="J15" i="132"/>
  <c r="I15" i="132" l="1"/>
  <c r="K15" i="132" l="1"/>
  <c r="T15" i="132"/>
  <c r="O15" i="132"/>
  <c r="M15" i="132"/>
  <c r="K12" i="119" l="1"/>
  <c r="H11" i="131" l="1"/>
  <c r="H12" i="131"/>
  <c r="H13" i="131"/>
  <c r="H15" i="131"/>
  <c r="H16" i="131"/>
  <c r="H17" i="131"/>
  <c r="H18" i="131"/>
  <c r="H10" i="131"/>
  <c r="H11" i="118"/>
  <c r="H12" i="118"/>
  <c r="H10" i="118"/>
  <c r="H33" i="123"/>
  <c r="H14" i="123"/>
  <c r="H12" i="123"/>
  <c r="H28" i="121"/>
  <c r="K20" i="131" l="1"/>
  <c r="I20" i="131"/>
  <c r="L20" i="131" l="1"/>
  <c r="J20" i="131"/>
  <c r="M20" i="131" l="1"/>
  <c r="Q20" i="131"/>
  <c r="N20" i="131" l="1"/>
  <c r="K12" i="118" l="1"/>
  <c r="K14" i="118" l="1"/>
  <c r="L14" i="118"/>
  <c r="L39" i="123"/>
  <c r="L31" i="121"/>
  <c r="L28" i="120"/>
  <c r="I14" i="118" l="1"/>
  <c r="M39" i="123"/>
  <c r="M31" i="121"/>
  <c r="M14" i="118" l="1"/>
  <c r="L22" i="119" l="1"/>
  <c r="K19" i="119"/>
  <c r="K14" i="119" l="1"/>
  <c r="K8" i="119"/>
  <c r="K22" i="119" l="1"/>
  <c r="M22" i="119"/>
  <c r="W18" i="131" l="1"/>
  <c r="R23" i="135"/>
  <c r="X15" i="123"/>
  <c r="X27" i="120"/>
  <c r="T15" i="134"/>
  <c r="W12" i="131"/>
  <c r="X13" i="119"/>
  <c r="V13" i="119"/>
  <c r="U15" i="131"/>
  <c r="V16" i="135"/>
  <c r="W11" i="131"/>
  <c r="U11" i="131"/>
  <c r="N23" i="135"/>
  <c r="W10" i="131"/>
  <c r="W16" i="131"/>
  <c r="U16" i="131"/>
  <c r="U17" i="131"/>
  <c r="W17" i="131"/>
  <c r="X9" i="121"/>
  <c r="P31" i="121"/>
  <c r="X18" i="121"/>
  <c r="X10" i="121"/>
  <c r="T19" i="133"/>
  <c r="P19" i="133"/>
  <c r="P15" i="132"/>
  <c r="V11" i="119"/>
  <c r="S20" i="131"/>
  <c r="O20" i="131"/>
  <c r="R28" i="120"/>
  <c r="P39" i="123"/>
  <c r="T22" i="119"/>
  <c r="T39" i="123"/>
  <c r="R31" i="121"/>
  <c r="N28" i="120"/>
  <c r="N39" i="123"/>
  <c r="T14" i="118"/>
  <c r="P22" i="119"/>
  <c r="R14" i="118"/>
  <c r="R39" i="123"/>
  <c r="T31" i="121"/>
  <c r="N22" i="119"/>
  <c r="R22" i="119"/>
  <c r="P14" i="118"/>
  <c r="N14" i="118"/>
  <c r="N31" i="121"/>
  <c r="X17" i="133" l="1"/>
  <c r="X19" i="133" s="1"/>
  <c r="W19" i="133"/>
  <c r="X13" i="123"/>
  <c r="W15" i="131"/>
  <c r="X15" i="131" s="1"/>
  <c r="U18" i="131"/>
  <c r="X18" i="131" s="1"/>
  <c r="V15" i="135"/>
  <c r="W15" i="135" s="1"/>
  <c r="V10" i="135"/>
  <c r="W10" i="135" s="1"/>
  <c r="U12" i="131"/>
  <c r="X12" i="131" s="1"/>
  <c r="Y27" i="120"/>
  <c r="Y15" i="123"/>
  <c r="Y10" i="121"/>
  <c r="Y18" i="121"/>
  <c r="Y9" i="121"/>
  <c r="X16" i="131"/>
  <c r="X10" i="131"/>
  <c r="X11" i="131"/>
  <c r="V27" i="121"/>
  <c r="U15" i="134"/>
  <c r="X28" i="121"/>
  <c r="X27" i="121" s="1"/>
  <c r="W27" i="121"/>
  <c r="Y13" i="119"/>
  <c r="X17" i="131"/>
  <c r="V13" i="123"/>
  <c r="W16" i="135"/>
  <c r="O23" i="135"/>
  <c r="V11" i="123"/>
  <c r="X11" i="123"/>
  <c r="X39" i="123" s="1"/>
  <c r="W11" i="123"/>
  <c r="W8" i="121"/>
  <c r="V8" i="121"/>
  <c r="X11" i="118"/>
  <c r="Y11" i="118" s="1"/>
  <c r="Q19" i="133"/>
  <c r="Y11" i="119"/>
  <c r="X32" i="123"/>
  <c r="X30" i="123" s="1"/>
  <c r="W32" i="123"/>
  <c r="W30" i="123" s="1"/>
  <c r="P20" i="131"/>
  <c r="S15" i="132"/>
  <c r="Q15" i="132"/>
  <c r="V32" i="123"/>
  <c r="V30" i="123" s="1"/>
  <c r="X12" i="118"/>
  <c r="Y12" i="118" s="1"/>
  <c r="O39" i="123"/>
  <c r="O22" i="119"/>
  <c r="V14" i="119"/>
  <c r="O31" i="121"/>
  <c r="V19" i="119"/>
  <c r="W19" i="119"/>
  <c r="O14" i="118"/>
  <c r="V39" i="123" l="1"/>
  <c r="Y17" i="133"/>
  <c r="Y19" i="133" s="1"/>
  <c r="W31" i="121"/>
  <c r="V31" i="121"/>
  <c r="W13" i="123"/>
  <c r="W39" i="123" s="1"/>
  <c r="Y28" i="121"/>
  <c r="Y27" i="121" s="1"/>
  <c r="Y13" i="123"/>
  <c r="Q23" i="135"/>
  <c r="Y11" i="123"/>
  <c r="X8" i="121"/>
  <c r="X31" i="121" s="1"/>
  <c r="Y8" i="121"/>
  <c r="S19" i="133"/>
  <c r="Y32" i="123"/>
  <c r="Y30" i="123" s="1"/>
  <c r="V12" i="119"/>
  <c r="U15" i="132"/>
  <c r="R20" i="131"/>
  <c r="X12" i="119"/>
  <c r="W12" i="119"/>
  <c r="X14" i="119"/>
  <c r="W14" i="119"/>
  <c r="X19" i="119"/>
  <c r="Q14" i="118"/>
  <c r="Q31" i="121"/>
  <c r="Q39" i="123"/>
  <c r="Q22" i="119"/>
  <c r="Y39" i="123" l="1"/>
  <c r="Y31" i="121"/>
  <c r="S23" i="135"/>
  <c r="U19" i="133"/>
  <c r="W15" i="132"/>
  <c r="X15" i="132"/>
  <c r="V15" i="132"/>
  <c r="T20" i="131"/>
  <c r="Y12" i="119"/>
  <c r="Y14" i="119"/>
  <c r="Y20" i="119"/>
  <c r="Y19" i="119" s="1"/>
  <c r="S31" i="121"/>
  <c r="S39" i="123"/>
  <c r="S14" i="118"/>
  <c r="S22" i="119"/>
  <c r="T23" i="135" l="1"/>
  <c r="U23" i="135"/>
  <c r="V9" i="135"/>
  <c r="V19" i="133"/>
  <c r="Y15" i="132"/>
  <c r="W20" i="131"/>
  <c r="V20" i="131"/>
  <c r="U20" i="131"/>
  <c r="W8" i="119"/>
  <c r="W22" i="119" s="1"/>
  <c r="U22" i="119"/>
  <c r="V8" i="119"/>
  <c r="V22" i="119" s="1"/>
  <c r="V14" i="118"/>
  <c r="W14" i="118"/>
  <c r="U14" i="118"/>
  <c r="U39" i="123"/>
  <c r="U31" i="121"/>
  <c r="V23" i="135" l="1"/>
  <c r="W9" i="135"/>
  <c r="W23" i="135" s="1"/>
  <c r="X20" i="131"/>
  <c r="X8" i="119"/>
  <c r="X22" i="119" s="1"/>
  <c r="X14" i="118"/>
  <c r="Y8" i="119" l="1"/>
  <c r="Y22" i="119" s="1"/>
  <c r="Y14" i="118"/>
  <c r="I28" i="120"/>
  <c r="H9" i="120"/>
  <c r="T28" i="120" l="1"/>
  <c r="P28" i="120"/>
  <c r="M28" i="120"/>
  <c r="O28" i="120"/>
  <c r="K28" i="120"/>
  <c r="Q28" i="120" l="1"/>
  <c r="S28" i="120" l="1"/>
  <c r="U28" i="120" l="1"/>
  <c r="V28" i="120" l="1"/>
  <c r="X28" i="120"/>
  <c r="W28" i="120" l="1"/>
  <c r="Y28" i="120"/>
</calcChain>
</file>

<file path=xl/sharedStrings.xml><?xml version="1.0" encoding="utf-8"?>
<sst xmlns="http://schemas.openxmlformats.org/spreadsheetml/2006/main" count="1099" uniqueCount="325">
  <si>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</si>
  <si>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</si>
  <si>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</si>
  <si>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</si>
  <si>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</si>
  <si>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</si>
  <si>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</si>
  <si>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</si>
  <si>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</si>
  <si>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</si>
  <si>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</si>
  <si>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</si>
  <si>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</si>
  <si>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</si>
  <si>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</si>
  <si>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</si>
  <si>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</si>
  <si>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</si>
  <si>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</si>
  <si>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</si>
  <si>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</si>
  <si>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</si>
  <si>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</si>
  <si>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</si>
  <si>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</si>
  <si>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</si>
  <si>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</si>
  <si>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</si>
  <si>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</si>
  <si>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</si>
  <si>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</si>
  <si>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</si>
  <si>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</si>
  <si>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</si>
  <si>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</si>
  <si>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</si>
  <si>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</si>
  <si>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</si>
  <si>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</si>
  <si>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</si>
  <si>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</si>
  <si>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</si>
  <si>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</si>
  <si>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</si>
  <si>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</si>
  <si>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</si>
  <si>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</si>
  <si>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</si>
  <si>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</si>
  <si>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</si>
  <si>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</si>
  <si>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</si>
  <si>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</si>
  <si>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</si>
  <si>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</si>
  <si>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</si>
  <si>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</si>
  <si>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</si>
  <si>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</si>
  <si>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</si>
  <si>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</si>
  <si>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</si>
  <si>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</si>
  <si>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</si>
  <si>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</si>
  <si>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</si>
  <si>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</si>
  <si>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</si>
  <si>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</si>
  <si>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</si>
  <si>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</si>
  <si>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</si>
  <si>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</si>
  <si>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</si>
  <si>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</si>
  <si>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</si>
  <si>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</si>
  <si>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</si>
  <si>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</si>
  <si>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</si>
  <si>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</si>
  <si>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</si>
  <si>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</si>
  <si>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</si>
  <si>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</si>
  <si>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</si>
  <si>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</si>
  <si>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</si>
  <si>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</si>
  <si>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</si>
  <si>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</si>
  <si>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</si>
  <si>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</si>
  <si>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</si>
  <si>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</si>
  <si>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</si>
  <si>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</si>
  <si>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</si>
  <si>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</si>
  <si>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</si>
  <si>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</si>
  <si>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</si>
  <si>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</si>
  <si>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</si>
  <si>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</si>
  <si>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</si>
  <si>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</si>
  <si>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</si>
  <si>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</si>
  <si>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</si>
  <si>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</si>
  <si>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</si>
  <si>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</si>
  <si>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</si>
  <si>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</si>
  <si>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</si>
  <si>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</si>
  <si>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</si>
  <si>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</si>
  <si>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</si>
  <si>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</si>
  <si>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</si>
  <si>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</si>
  <si>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</si>
  <si>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</si>
  <si>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</si>
  <si>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</si>
  <si>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</si>
  <si>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</si>
  <si>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</si>
  <si>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</si>
  <si>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</si>
  <si>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</si>
  <si>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</si>
  <si>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</si>
  <si>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</si>
  <si>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</si>
  <si>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</si>
  <si>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</si>
  <si>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</si>
  <si>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</si>
  <si>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 xml:space="preserve">ENCARGADA DE COMEDOR </t>
  </si>
  <si>
    <t>AUXILIAR DISTRIBUCIÓN DE AGUA POTABLE</t>
  </si>
  <si>
    <t>JOSE MAGDALENO CASTRO AVELAR</t>
  </si>
  <si>
    <t>SECRETARIA DESARROLLO SOCIAL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</si>
  <si>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</si>
  <si>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</si>
  <si>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</si>
  <si>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</si>
  <si>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</si>
  <si>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</si>
  <si>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</si>
  <si>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</si>
  <si>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</si>
  <si>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</si>
  <si>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</si>
  <si>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</si>
  <si>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</si>
  <si>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</si>
  <si>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</si>
  <si>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</si>
  <si>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</si>
  <si>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</si>
  <si>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</si>
  <si>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</si>
  <si>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</si>
  <si>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</si>
  <si>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</si>
  <si>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</si>
  <si>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</si>
  <si>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</si>
  <si>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</si>
  <si>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</si>
  <si>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</si>
  <si>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</si>
  <si>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</si>
  <si>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</si>
  <si>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</si>
  <si>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</si>
  <si>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</si>
  <si>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</si>
  <si>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</si>
  <si>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</si>
  <si>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</si>
  <si>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</si>
  <si>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</si>
  <si>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</si>
  <si>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</si>
  <si>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236</t>
  </si>
  <si>
    <t>241</t>
  </si>
  <si>
    <t>JOSE SANDOVAL VITELA</t>
  </si>
  <si>
    <t>015</t>
  </si>
  <si>
    <t>242</t>
  </si>
  <si>
    <t>245</t>
  </si>
  <si>
    <t>DAVID CASTRO AVILA</t>
  </si>
  <si>
    <t>248</t>
  </si>
  <si>
    <t>GILBERTO CASTRO BALTIERRA</t>
  </si>
  <si>
    <t>EMILIA RAMIREZ CASTRO</t>
  </si>
  <si>
    <t>251</t>
  </si>
  <si>
    <t>SAMUEL LLAMAS AGUAYO</t>
  </si>
  <si>
    <t>256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</si>
  <si>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</si>
  <si>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</si>
  <si>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</si>
  <si>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</si>
  <si>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</si>
  <si>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</si>
  <si>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</si>
  <si>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</si>
  <si>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</si>
  <si>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</si>
  <si>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</si>
  <si>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</si>
  <si>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</si>
  <si>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</si>
  <si>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</si>
  <si>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</si>
  <si>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</si>
  <si>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</si>
  <si>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</si>
  <si>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</si>
  <si>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</si>
  <si>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</si>
  <si>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</si>
  <si>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</si>
  <si>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</si>
  <si>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</si>
  <si>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</si>
  <si>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</si>
  <si>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</si>
  <si>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</si>
  <si>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</si>
  <si>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</si>
  <si>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</si>
  <si>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</si>
  <si>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</si>
  <si>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</si>
  <si>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</si>
  <si>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</si>
  <si>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</si>
  <si>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</si>
  <si>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</si>
  <si>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</si>
  <si>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</si>
  <si>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</si>
  <si>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</si>
  <si>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</si>
  <si>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</si>
  <si>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</si>
  <si>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</si>
  <si>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</si>
  <si>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</si>
  <si>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</si>
  <si>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</si>
  <si>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</si>
  <si>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</si>
  <si>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 xml:space="preserve">JUEZ MUNICIPAL 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</si>
  <si>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</si>
  <si>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</si>
  <si>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</si>
  <si>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</si>
  <si>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</si>
  <si>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</si>
  <si>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</si>
  <si>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</si>
  <si>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</si>
  <si>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</si>
  <si>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SUPERVISOR DE TURNO</t>
  </si>
  <si>
    <t>296</t>
  </si>
  <si>
    <t>RAMIRO CASTRO HORTA</t>
  </si>
  <si>
    <t>JOSE BLANCO FRIAS</t>
  </si>
  <si>
    <t>MECANICO MUNICIPAL</t>
  </si>
  <si>
    <t>032</t>
  </si>
  <si>
    <t>ULISES LOPEZ RODRIGUEZ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</si>
  <si>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</si>
  <si>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</si>
  <si>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</si>
  <si>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</si>
  <si>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</si>
  <si>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</si>
  <si>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</si>
  <si>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300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</si>
  <si>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</si>
  <si>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</si>
  <si>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</si>
  <si>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</si>
  <si>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</si>
  <si>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</si>
  <si>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</si>
  <si>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304</t>
  </si>
  <si>
    <t>SUPERVISOR BODEGA MUNICIPAL</t>
  </si>
  <si>
    <t>GERARDO AVILA SILVA</t>
  </si>
  <si>
    <t>305</t>
  </si>
  <si>
    <t>RAFAEL NUÑEZ SILVA</t>
  </si>
  <si>
    <t>ISR Salarios</t>
  </si>
  <si>
    <t>TABLAS PUBLICADAS EL 27 DE DICIEMBRE DE 2022</t>
  </si>
  <si>
    <t>VIGENTES PARA 2023</t>
  </si>
  <si>
    <t>EJERCICIO 2023</t>
  </si>
  <si>
    <t>306</t>
  </si>
  <si>
    <t>ALICIA CASTRO CASTRO</t>
  </si>
  <si>
    <t>307</t>
  </si>
  <si>
    <t>308</t>
  </si>
  <si>
    <t>ALEJANDRA URZUA AVILA</t>
  </si>
  <si>
    <t>AFANADORA CASA DE LA CULTURA</t>
  </si>
  <si>
    <t>309</t>
  </si>
  <si>
    <t>TANIA LIZBETH ALVAREZ HERNANDEZ</t>
  </si>
  <si>
    <t>310</t>
  </si>
  <si>
    <t>DANIEL RODRIGUEZ VEGA</t>
  </si>
  <si>
    <t>311</t>
  </si>
  <si>
    <t>SANDRA SUJEY RODRIGUEZ GONZALEZ</t>
  </si>
  <si>
    <t>312</t>
  </si>
  <si>
    <t>EGDAR ALEJANDRO CEJA MUÑOZ</t>
  </si>
  <si>
    <t>313</t>
  </si>
  <si>
    <t>EUNICE MIREN HERNANDEZ BARAJAS</t>
  </si>
  <si>
    <t>FEHA DE INGRESO</t>
  </si>
  <si>
    <t>FECHA DE INGRESO</t>
  </si>
  <si>
    <t>DIRECTOR DE OBRAS PÚBLICAS</t>
  </si>
  <si>
    <t>113</t>
  </si>
  <si>
    <t>MA. GUADALUPE CASTRO RAMIREZ</t>
  </si>
  <si>
    <t>314</t>
  </si>
  <si>
    <t>143</t>
  </si>
  <si>
    <t>CESAR ALBERTO GUZMAN LOPEZ</t>
  </si>
  <si>
    <t>315</t>
  </si>
  <si>
    <t>SUELDO  DEL 16 AL 31 DE MAYO DE 2023</t>
  </si>
  <si>
    <t>J NIEVES AVELAR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</si>
</sst>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  <font>
      <sz val="16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32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7" fillId="4" borderId="2" xfId="0" applyFont="1" applyFill="1" applyBorder="1"/>
    <xf numFmtId="0" fontId="28" fillId="4" borderId="4" xfId="0" applyFont="1" applyFill="1" applyBorder="1" applyAlignment="1">
      <alignment horizontal="center" wrapText="1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9" fontId="29" fillId="0" borderId="1" xfId="0" applyNumberFormat="1" applyFont="1" applyBorder="1" applyAlignment="1">
      <alignment horizontal="center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49" fontId="29" fillId="0" borderId="0" xfId="5" applyNumberFormat="1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49" fontId="33" fillId="5" borderId="14" xfId="5" applyNumberFormat="1" applyFont="1" applyFill="1" applyBorder="1" applyAlignment="1" applyProtection="1">
      <alignment vertical="center" wrapText="1"/>
      <protection locked="0"/>
    </xf>
    <xf numFmtId="49" fontId="33" fillId="0" borderId="4" xfId="5" applyNumberFormat="1" applyFont="1" applyBorder="1" applyAlignment="1" applyProtection="1">
      <alignment wrapText="1"/>
      <protection locked="0"/>
    </xf>
    <xf numFmtId="49" fontId="33" fillId="5" borderId="2" xfId="5" applyNumberFormat="1" applyFont="1" applyFill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horizontal="left" wrapText="1"/>
      <protection locked="0"/>
    </xf>
    <xf numFmtId="0" fontId="33" fillId="0" borderId="4" xfId="0" applyFont="1" applyBorder="1" applyAlignment="1" applyProtection="1">
      <alignment horizontal="left"/>
      <protection locked="0"/>
    </xf>
    <xf numFmtId="0" fontId="33" fillId="5" borderId="4" xfId="0" applyFont="1" applyFill="1" applyBorder="1" applyAlignment="1" applyProtection="1">
      <alignment horizontal="left" wrapText="1"/>
      <protection locked="0"/>
    </xf>
    <xf numFmtId="14" fontId="29" fillId="0" borderId="4" xfId="0" applyNumberFormat="1" applyFont="1" applyBorder="1" applyAlignment="1" applyProtection="1">
      <alignment horizontal="left"/>
      <protection locked="0"/>
    </xf>
    <xf numFmtId="14" fontId="29" fillId="0" borderId="4" xfId="5" applyNumberFormat="1" applyFont="1" applyBorder="1" applyAlignment="1" applyProtection="1">
      <alignment horizontal="center" vertical="center" wrapText="1"/>
      <protection locked="0"/>
    </xf>
    <xf numFmtId="14" fontId="29" fillId="0" borderId="4" xfId="0" applyNumberFormat="1" applyFont="1" applyBorder="1" applyAlignment="1" applyProtection="1">
      <alignment horizontal="center"/>
      <protection locked="0"/>
    </xf>
    <xf numFmtId="14" fontId="29" fillId="5" borderId="2" xfId="5" applyNumberFormat="1" applyFont="1" applyFill="1" applyBorder="1" applyAlignment="1" applyProtection="1">
      <alignment horizontal="center" vertical="center" wrapText="1"/>
      <protection locked="0"/>
    </xf>
    <xf numFmtId="14" fontId="29" fillId="0" borderId="2" xfId="0" applyNumberFormat="1" applyFont="1" applyBorder="1" applyAlignment="1">
      <alignment horizontal="center"/>
    </xf>
    <xf numFmtId="14" fontId="29" fillId="5" borderId="4" xfId="5" applyNumberFormat="1" applyFont="1" applyFill="1" applyBorder="1" applyAlignment="1" applyProtection="1">
      <alignment horizontal="center" vertical="center" wrapText="1"/>
      <protection locked="0"/>
    </xf>
    <xf numFmtId="14" fontId="29" fillId="5" borderId="4" xfId="0" applyNumberFormat="1" applyFont="1" applyFill="1" applyBorder="1" applyAlignment="1" applyProtection="1">
      <alignment horizontal="center"/>
      <protection locked="0"/>
    </xf>
    <xf numFmtId="14" fontId="29" fillId="5" borderId="4" xfId="0" applyNumberFormat="1" applyFont="1" applyFill="1" applyBorder="1" applyAlignment="1">
      <alignment horizontal="center"/>
    </xf>
    <xf numFmtId="14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4" fontId="29" fillId="0" borderId="0" xfId="0" applyNumberFormat="1" applyFont="1" applyAlignment="1">
      <alignment horizontal="center"/>
    </xf>
    <xf numFmtId="0" fontId="32" fillId="4" borderId="1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/>
    </xf>
    <xf numFmtId="165" fontId="32" fillId="4" borderId="1" xfId="0" applyNumberFormat="1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7" borderId="1" xfId="0" applyFont="1" applyFill="1" applyBorder="1" applyAlignment="1">
      <alignment horizontal="center"/>
    </xf>
    <xf numFmtId="14" fontId="32" fillId="4" borderId="1" xfId="0" applyNumberFormat="1" applyFont="1" applyFill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29" fillId="0" borderId="16" xfId="0" applyFont="1" applyBorder="1" applyAlignment="1" applyProtection="1">
      <alignment horizontal="left"/>
      <protection locked="0"/>
    </xf>
    <xf numFmtId="2" fontId="29" fillId="0" borderId="17" xfId="0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Fill="1" applyBorder="1" applyAlignment="1" applyProtection="1">
      <alignment horizontal="right"/>
    </xf>
    <xf numFmtId="165" fontId="29" fillId="0" borderId="3" xfId="2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Border="1" applyAlignment="1" applyProtection="1">
      <alignment horizontal="right"/>
    </xf>
    <xf numFmtId="165" fontId="29" fillId="2" borderId="3" xfId="2" applyNumberFormat="1" applyFont="1" applyFill="1" applyBorder="1" applyAlignment="1" applyProtection="1">
      <alignment horizontal="right"/>
    </xf>
    <xf numFmtId="10" fontId="29" fillId="2" borderId="3" xfId="3" applyNumberFormat="1" applyFont="1" applyFill="1" applyBorder="1" applyAlignment="1" applyProtection="1">
      <alignment horizontal="right"/>
    </xf>
    <xf numFmtId="0" fontId="32" fillId="4" borderId="3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165" fontId="32" fillId="4" borderId="4" xfId="0" applyNumberFormat="1" applyFont="1" applyFill="1" applyBorder="1" applyAlignment="1">
      <alignment horizontal="center"/>
    </xf>
    <xf numFmtId="0" fontId="29" fillId="4" borderId="2" xfId="0" applyFont="1" applyFill="1" applyBorder="1"/>
    <xf numFmtId="0" fontId="32" fillId="7" borderId="4" xfId="0" applyFont="1" applyFill="1" applyBorder="1" applyAlignment="1">
      <alignment horizontal="center"/>
    </xf>
    <xf numFmtId="0" fontId="29" fillId="4" borderId="4" xfId="0" applyFont="1" applyFill="1" applyBorder="1"/>
    <xf numFmtId="9" fontId="29" fillId="0" borderId="0" xfId="0" applyNumberFormat="1" applyFont="1"/>
    <xf numFmtId="1" fontId="32" fillId="0" borderId="4" xfId="2" applyNumberFormat="1" applyFont="1" applyBorder="1" applyAlignment="1" applyProtection="1">
      <alignment horizontal="right"/>
    </xf>
    <xf numFmtId="1" fontId="32" fillId="0" borderId="4" xfId="2" applyNumberFormat="1" applyFont="1" applyFill="1" applyBorder="1" applyAlignment="1" applyProtection="1">
      <alignment horizontal="right"/>
    </xf>
    <xf numFmtId="0" fontId="28" fillId="7" borderId="3" xfId="0" applyFont="1" applyFill="1" applyBorder="1" applyAlignment="1">
      <alignment horizontal="center"/>
    </xf>
    <xf numFmtId="49" fontId="29" fillId="5" borderId="1" xfId="0" applyNumberFormat="1" applyFont="1" applyFill="1" applyBorder="1" applyAlignment="1">
      <alignment horizontal="center"/>
    </xf>
    <xf numFmtId="14" fontId="29" fillId="0" borderId="1" xfId="0" applyNumberFormat="1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33" fillId="0" borderId="3" xfId="0" applyFont="1" applyBorder="1" applyAlignment="1" applyProtection="1">
      <alignment horizontal="left" wrapText="1"/>
      <protection locked="0"/>
    </xf>
    <xf numFmtId="0" fontId="33" fillId="5" borderId="4" xfId="0" applyFont="1" applyFill="1" applyBorder="1" applyAlignment="1">
      <alignment horizontal="left" wrapText="1"/>
    </xf>
    <xf numFmtId="49" fontId="33" fillId="5" borderId="4" xfId="5" applyNumberFormat="1" applyFont="1" applyFill="1" applyBorder="1" applyAlignment="1" applyProtection="1">
      <alignment vertical="center" wrapText="1"/>
      <protection locked="0"/>
    </xf>
    <xf numFmtId="0" fontId="33" fillId="0" borderId="2" xfId="0" applyFont="1" applyBorder="1" applyAlignment="1">
      <alignment wrapText="1"/>
    </xf>
    <xf numFmtId="0" fontId="33" fillId="5" borderId="4" xfId="0" applyFont="1" applyFill="1" applyBorder="1" applyAlignment="1" applyProtection="1">
      <alignment horizontal="left"/>
      <protection locked="0"/>
    </xf>
    <xf numFmtId="49" fontId="29" fillId="0" borderId="9" xfId="0" applyNumberFormat="1" applyFont="1" applyBorder="1" applyAlignment="1">
      <alignment horizontal="center"/>
    </xf>
    <xf numFmtId="0" fontId="27" fillId="0" borderId="9" xfId="0" applyFont="1" applyBorder="1"/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43" fontId="28" fillId="0" borderId="1" xfId="2" applyFont="1" applyBorder="1" applyAlignment="1" applyProtection="1">
      <alignment horizontal="center"/>
    </xf>
    <xf numFmtId="0" fontId="5" fillId="4" borderId="1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4</xdr:col>
      <xdr:colOff>123184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16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126845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25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9" sqref="I9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55</v>
      </c>
      <c r="C2" s="7"/>
      <c r="D2" s="7"/>
      <c r="E2" s="7"/>
      <c r="F2" s="7"/>
      <c r="G2" s="7"/>
      <c r="I2" s="114" t="s">
        <v>201</v>
      </c>
    </row>
    <row r="3" spans="1:9" x14ac:dyDescent="0.2">
      <c r="B3" s="8" t="s">
        <v>47</v>
      </c>
      <c r="C3" s="7"/>
      <c r="D3" s="7"/>
      <c r="E3" s="7"/>
      <c r="F3" s="7"/>
      <c r="G3" s="7"/>
      <c r="I3" s="113">
        <v>207.44</v>
      </c>
    </row>
    <row r="4" spans="1:9" x14ac:dyDescent="0.2">
      <c r="B4" s="19" t="s">
        <v>297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82" t="s">
        <v>10</v>
      </c>
      <c r="C7" s="282"/>
      <c r="D7" s="282"/>
      <c r="E7" s="7"/>
      <c r="F7" s="275" t="s">
        <v>48</v>
      </c>
      <c r="G7" s="276"/>
      <c r="I7" s="114" t="s">
        <v>202</v>
      </c>
    </row>
    <row r="8" spans="1:9" ht="14.25" customHeight="1" x14ac:dyDescent="0.2">
      <c r="B8" s="279" t="s">
        <v>9</v>
      </c>
      <c r="C8" s="279"/>
      <c r="D8" s="279"/>
      <c r="E8" s="7"/>
      <c r="F8" s="280" t="s">
        <v>49</v>
      </c>
      <c r="G8" s="281"/>
      <c r="I8" s="113">
        <v>96.22</v>
      </c>
    </row>
    <row r="9" spans="1:9" ht="8.25" customHeight="1" x14ac:dyDescent="0.2">
      <c r="B9" s="283"/>
      <c r="C9" s="283"/>
      <c r="D9" s="283"/>
      <c r="E9" s="7"/>
      <c r="F9" s="277"/>
      <c r="G9" s="278"/>
    </row>
    <row r="10" spans="1:9" ht="16.5" customHeight="1" x14ac:dyDescent="0.2">
      <c r="B10" s="9" t="s">
        <v>11</v>
      </c>
      <c r="C10" s="9" t="s">
        <v>13</v>
      </c>
      <c r="D10" s="9" t="s">
        <v>7</v>
      </c>
      <c r="E10" s="7"/>
      <c r="F10" s="9" t="s">
        <v>16</v>
      </c>
      <c r="G10" s="9" t="s">
        <v>50</v>
      </c>
    </row>
    <row r="11" spans="1:9" x14ac:dyDescent="0.2">
      <c r="A11" s="2"/>
      <c r="B11" s="9" t="s">
        <v>12</v>
      </c>
      <c r="C11" s="9" t="s">
        <v>14</v>
      </c>
      <c r="D11" s="9" t="s">
        <v>15</v>
      </c>
      <c r="E11" s="7"/>
      <c r="F11" s="9"/>
      <c r="G11" s="9" t="s">
        <v>51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746.05</v>
      </c>
      <c r="C14" s="20">
        <v>14.32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6332.06</v>
      </c>
      <c r="C15" s="20">
        <v>371.83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11128.02</v>
      </c>
      <c r="C16" s="20">
        <v>893.63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12935.83</v>
      </c>
      <c r="C17" s="20">
        <v>1182.8800000000001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15487.72</v>
      </c>
      <c r="C18" s="20">
        <v>1640.18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31236.5</v>
      </c>
      <c r="C19" s="20">
        <v>5004.12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49233.01</v>
      </c>
      <c r="C20" s="20">
        <v>9236.89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93993.91</v>
      </c>
      <c r="C21" s="20">
        <v>22665.17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125325.21</v>
      </c>
      <c r="C22" s="20">
        <v>32691.18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375975.62</v>
      </c>
      <c r="C23" s="20">
        <v>117912.32000000001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19</v>
      </c>
      <c r="C27" s="7"/>
      <c r="D27" s="7"/>
    </row>
    <row r="28" spans="1:7" ht="15.75" x14ac:dyDescent="0.25">
      <c r="B28" s="18" t="s">
        <v>295</v>
      </c>
      <c r="C28" s="7"/>
      <c r="D28" s="7"/>
    </row>
    <row r="29" spans="1:7" x14ac:dyDescent="0.2">
      <c r="B29" s="32" t="s">
        <v>296</v>
      </c>
      <c r="C29" s="7"/>
      <c r="D29" s="7"/>
    </row>
    <row r="32" spans="1:7" ht="17.25" customHeight="1" x14ac:dyDescent="0.2">
      <c r="B32" s="5" t="s">
        <v>45</v>
      </c>
      <c r="E32" s="7"/>
      <c r="F32" s="275" t="s">
        <v>53</v>
      </c>
      <c r="G32" s="276"/>
    </row>
    <row r="33" spans="2:7" x14ac:dyDescent="0.2">
      <c r="E33" s="7"/>
      <c r="F33" s="280" t="s">
        <v>54</v>
      </c>
      <c r="G33" s="281"/>
    </row>
    <row r="34" spans="2:7" ht="5.25" customHeight="1" x14ac:dyDescent="0.2">
      <c r="E34" s="7"/>
      <c r="F34" s="277"/>
      <c r="G34" s="278"/>
    </row>
    <row r="35" spans="2:7" x14ac:dyDescent="0.2">
      <c r="B35" s="282" t="s">
        <v>10</v>
      </c>
      <c r="C35" s="282"/>
      <c r="D35" s="282"/>
      <c r="E35" s="7"/>
      <c r="F35" s="9" t="s">
        <v>16</v>
      </c>
      <c r="G35" s="9" t="s">
        <v>17</v>
      </c>
    </row>
    <row r="36" spans="2:7" x14ac:dyDescent="0.2">
      <c r="B36" s="279" t="s">
        <v>9</v>
      </c>
      <c r="C36" s="279"/>
      <c r="D36" s="279"/>
      <c r="E36" s="7"/>
      <c r="F36" s="9"/>
      <c r="G36" s="9" t="s">
        <v>18</v>
      </c>
    </row>
    <row r="37" spans="2:7" x14ac:dyDescent="0.2">
      <c r="B37" s="283"/>
      <c r="C37" s="283"/>
      <c r="D37" s="283"/>
      <c r="E37" s="11"/>
      <c r="F37" s="10"/>
      <c r="G37" s="10"/>
    </row>
    <row r="38" spans="2:7" ht="15.95" customHeight="1" x14ac:dyDescent="0.2">
      <c r="B38" s="9" t="s">
        <v>11</v>
      </c>
      <c r="C38" s="9" t="s">
        <v>13</v>
      </c>
      <c r="D38" s="9" t="s">
        <v>7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12</v>
      </c>
      <c r="C39" s="9" t="s">
        <v>14</v>
      </c>
      <c r="D39" s="9" t="s">
        <v>15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368.11</v>
      </c>
      <c r="C42" s="12">
        <v>7.05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3124.36</v>
      </c>
      <c r="C43" s="12">
        <v>183.45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5490.76</v>
      </c>
      <c r="C44" s="12">
        <v>441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6382.81</v>
      </c>
      <c r="C45" s="12">
        <v>583.65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7641.91</v>
      </c>
      <c r="C46" s="12">
        <v>809.25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15412.81</v>
      </c>
      <c r="C47" s="12">
        <v>2469.15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24292.66</v>
      </c>
      <c r="C48" s="12">
        <v>4557.75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46378.51</v>
      </c>
      <c r="C49" s="12">
        <v>11183.4</v>
      </c>
      <c r="D49" s="13">
        <v>0.32</v>
      </c>
      <c r="E49" s="7"/>
      <c r="F49" s="17"/>
      <c r="G49" s="17"/>
    </row>
    <row r="50" spans="2:7" x14ac:dyDescent="0.2">
      <c r="B50" s="12">
        <v>61838.11</v>
      </c>
      <c r="C50" s="12">
        <v>16130.55</v>
      </c>
      <c r="D50" s="13">
        <v>0.34</v>
      </c>
    </row>
    <row r="51" spans="2:7" x14ac:dyDescent="0.2">
      <c r="B51" s="12">
        <v>185514.31</v>
      </c>
      <c r="C51" s="12">
        <v>58180.35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6"/>
  <sheetViews>
    <sheetView topLeftCell="B11" zoomScale="77" zoomScaleNormal="77" workbookViewId="0">
      <selection activeCell="X11" sqref="X1:X1048576"/>
    </sheetView>
  </sheetViews>
  <sheetFormatPr baseColWidth="10" defaultRowHeight="12.75" x14ac:dyDescent="0.2"/>
  <cols>
    <col min="1" max="1" width="4.140625" hidden="1" customWidth="1"/>
    <col min="2" max="2" width="10.5703125" customWidth="1"/>
    <col min="3" max="3" width="8.85546875" customWidth="1"/>
    <col min="4" max="4" width="31" customWidth="1"/>
    <col min="5" max="5" width="16.5703125" customWidth="1"/>
    <col min="6" max="6" width="18.85546875" customWidth="1"/>
    <col min="7" max="7" width="8.28515625" hidden="1" customWidth="1"/>
    <col min="8" max="8" width="0.28515625" hidden="1" customWidth="1"/>
    <col min="9" max="9" width="14.5703125" customWidth="1"/>
    <col min="10" max="10" width="12.5703125" customWidth="1"/>
    <col min="11" max="11" width="13.85546875" customWidth="1"/>
    <col min="12" max="12" width="11.42578125" hidden="1" customWidth="1"/>
    <col min="13" max="15" width="16" hidden="1" customWidth="1"/>
    <col min="16" max="21" width="11.42578125" hidden="1" customWidth="1"/>
    <col min="22" max="22" width="9" customWidth="1"/>
    <col min="23" max="23" width="13" customWidth="1"/>
    <col min="24" max="24" width="12.85546875" bestFit="1" customWidth="1"/>
    <col min="25" max="25" width="14.28515625" customWidth="1"/>
    <col min="26" max="26" width="85.5703125" customWidth="1"/>
  </cols>
  <sheetData>
    <row r="1" spans="1:26" ht="18" x14ac:dyDescent="0.25">
      <c r="A1" s="297" t="s">
        <v>77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9.5" x14ac:dyDescent="0.25">
      <c r="A3" s="288" t="s">
        <v>323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321" t="s">
        <v>100</v>
      </c>
      <c r="C6" s="321" t="s">
        <v>114</v>
      </c>
      <c r="D6" s="22"/>
      <c r="E6" s="22"/>
      <c r="F6" s="22"/>
      <c r="G6" s="23" t="s">
        <v>22</v>
      </c>
      <c r="H6" s="23" t="s">
        <v>5</v>
      </c>
      <c r="I6" s="298" t="s">
        <v>1</v>
      </c>
      <c r="J6" s="299"/>
      <c r="K6" s="300"/>
      <c r="L6" s="24" t="s">
        <v>25</v>
      </c>
      <c r="M6" s="25"/>
      <c r="N6" s="301" t="s">
        <v>8</v>
      </c>
      <c r="O6" s="302"/>
      <c r="P6" s="302"/>
      <c r="Q6" s="302"/>
      <c r="R6" s="302"/>
      <c r="S6" s="303"/>
      <c r="T6" s="24" t="s">
        <v>29</v>
      </c>
      <c r="U6" s="24" t="s">
        <v>9</v>
      </c>
      <c r="V6" s="23" t="s">
        <v>52</v>
      </c>
      <c r="W6" s="304" t="s">
        <v>2</v>
      </c>
      <c r="X6" s="305"/>
      <c r="Y6" s="23" t="s">
        <v>0</v>
      </c>
      <c r="Z6" s="34"/>
    </row>
    <row r="7" spans="1:26" ht="12.75" customHeight="1" x14ac:dyDescent="0.2">
      <c r="A7" s="26" t="s">
        <v>20</v>
      </c>
      <c r="B7" s="322"/>
      <c r="C7" s="322"/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294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323"/>
      <c r="C8" s="323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ht="42" customHeight="1" x14ac:dyDescent="0.25">
      <c r="A9" s="132"/>
      <c r="B9" s="191"/>
      <c r="C9" s="116"/>
      <c r="D9" s="135" t="s">
        <v>115</v>
      </c>
      <c r="E9" s="135" t="s">
        <v>315</v>
      </c>
      <c r="F9" s="132" t="s">
        <v>60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3"/>
      <c r="V9" s="132"/>
      <c r="W9" s="132"/>
      <c r="X9" s="132"/>
      <c r="Y9" s="132"/>
      <c r="Z9" s="41"/>
    </row>
    <row r="10" spans="1:26" s="93" customFormat="1" ht="126" customHeight="1" x14ac:dyDescent="0.25">
      <c r="A10" s="109" t="s">
        <v>84</v>
      </c>
      <c r="B10" s="151" t="s">
        <v>160</v>
      </c>
      <c r="C10" s="192" t="s">
        <v>113</v>
      </c>
      <c r="D10" s="213" t="s">
        <v>152</v>
      </c>
      <c r="E10" s="222">
        <v>43374</v>
      </c>
      <c r="F10" s="153" t="s">
        <v>116</v>
      </c>
      <c r="G10" s="155">
        <v>9</v>
      </c>
      <c r="H10" s="156"/>
      <c r="I10" s="157">
        <v>3985</v>
      </c>
      <c r="J10" s="158">
        <v>0</v>
      </c>
      <c r="K10" s="159">
        <f>SUM(I10:J10)</f>
        <v>3985</v>
      </c>
      <c r="L10" s="160">
        <f>IF(I10/15&lt;=SMG,0,J10/2)</f>
        <v>0</v>
      </c>
      <c r="M10" s="160">
        <f t="shared" ref="M10" si="0">I10+L10</f>
        <v>3985</v>
      </c>
      <c r="N10" s="160">
        <f>VLOOKUP(M10,Tarifa1,1)</f>
        <v>3124.36</v>
      </c>
      <c r="O10" s="160">
        <f t="shared" ref="O10" si="1">M10-N10</f>
        <v>860.63999999999987</v>
      </c>
      <c r="P10" s="161">
        <f>VLOOKUP(M10,Tarifa1,3)</f>
        <v>0.10879999999999999</v>
      </c>
      <c r="Q10" s="160">
        <f t="shared" ref="Q10" si="2">O10*P10</f>
        <v>93.637631999999982</v>
      </c>
      <c r="R10" s="162">
        <f>VLOOKUP(M10,Tarifa1,2)</f>
        <v>183.45</v>
      </c>
      <c r="S10" s="160">
        <f t="shared" ref="S10" si="3">Q10+R10</f>
        <v>277.08763199999999</v>
      </c>
      <c r="T10" s="160">
        <f>VLOOKUP(M10,Credito1,2)</f>
        <v>0</v>
      </c>
      <c r="U10" s="160">
        <f t="shared" ref="U10" si="4">ROUND(S10-T10,2)</f>
        <v>277.08999999999997</v>
      </c>
      <c r="V10" s="159">
        <f t="shared" ref="V10" si="5">-IF(U10&gt;0,0,U10)</f>
        <v>0</v>
      </c>
      <c r="W10" s="159">
        <f>IF(I10/15&lt;=SMG,0,IF(U10&lt;0,0,U10))</f>
        <v>277.08999999999997</v>
      </c>
      <c r="X10" s="159">
        <f>SUM(W10:W10)</f>
        <v>277.08999999999997</v>
      </c>
      <c r="Y10" s="159">
        <f>K10+V10-X10</f>
        <v>3707.91</v>
      </c>
      <c r="Z10" s="92"/>
    </row>
    <row r="11" spans="1:26" s="93" customFormat="1" ht="126" customHeight="1" x14ac:dyDescent="0.3">
      <c r="A11" s="165"/>
      <c r="B11" s="186">
        <v>188</v>
      </c>
      <c r="C11" s="192" t="s">
        <v>113</v>
      </c>
      <c r="D11" s="264" t="s">
        <v>161</v>
      </c>
      <c r="E11" s="223">
        <v>43389</v>
      </c>
      <c r="F11" s="154" t="s">
        <v>261</v>
      </c>
      <c r="G11" s="155">
        <v>15</v>
      </c>
      <c r="H11" s="156"/>
      <c r="I11" s="157">
        <v>6253</v>
      </c>
      <c r="J11" s="158">
        <v>0</v>
      </c>
      <c r="K11" s="157">
        <f>I11</f>
        <v>6253</v>
      </c>
      <c r="L11" s="160">
        <f t="shared" ref="L11" si="6">IF(I11/15&lt;=SMG,0,J11/2)</f>
        <v>0</v>
      </c>
      <c r="M11" s="160">
        <f t="shared" ref="M11:M13" si="7">I11+L11</f>
        <v>6253</v>
      </c>
      <c r="N11" s="160">
        <f>VLOOKUP(M11,Tarifa1,1)</f>
        <v>5490.76</v>
      </c>
      <c r="O11" s="160">
        <f t="shared" ref="O11:O13" si="8">M11-N11</f>
        <v>762.23999999999978</v>
      </c>
      <c r="P11" s="161">
        <f>VLOOKUP(M11,Tarifa1,3)</f>
        <v>0.16</v>
      </c>
      <c r="Q11" s="160">
        <f t="shared" ref="Q11:Q13" si="9">O11*P11</f>
        <v>121.95839999999997</v>
      </c>
      <c r="R11" s="162">
        <f>VLOOKUP(M11,Tarifa1,2)</f>
        <v>441</v>
      </c>
      <c r="S11" s="160">
        <f t="shared" ref="S11:S13" si="10">Q11+R11</f>
        <v>562.95839999999998</v>
      </c>
      <c r="T11" s="160">
        <f>VLOOKUP(M11,Credito1,2)</f>
        <v>0</v>
      </c>
      <c r="U11" s="160">
        <f t="shared" ref="U11:U13" si="11">ROUND(S11-T11,2)</f>
        <v>562.96</v>
      </c>
      <c r="V11" s="159">
        <f t="shared" ref="V11:V13" si="12">-IF(U11&gt;0,0,U11)</f>
        <v>0</v>
      </c>
      <c r="W11" s="159">
        <f>IF(I11/15&lt;=SMG,0,IF(U11&lt;0,0,U11))</f>
        <v>562.96</v>
      </c>
      <c r="X11" s="159">
        <f>SUM(W11:W11)</f>
        <v>562.96</v>
      </c>
      <c r="Y11" s="159">
        <f>K11+V11-X11+J11</f>
        <v>5690.04</v>
      </c>
      <c r="Z11" s="92"/>
    </row>
    <row r="12" spans="1:26" s="93" customFormat="1" ht="126" customHeight="1" x14ac:dyDescent="0.3">
      <c r="A12" s="193"/>
      <c r="B12" s="152" t="s">
        <v>238</v>
      </c>
      <c r="C12" s="152" t="s">
        <v>113</v>
      </c>
      <c r="D12" s="214" t="s">
        <v>239</v>
      </c>
      <c r="E12" s="220">
        <v>43512</v>
      </c>
      <c r="F12" s="153" t="s">
        <v>116</v>
      </c>
      <c r="G12" s="155">
        <v>15</v>
      </c>
      <c r="H12" s="156"/>
      <c r="I12" s="157">
        <v>3985</v>
      </c>
      <c r="J12" s="158">
        <v>0</v>
      </c>
      <c r="K12" s="159">
        <f>SUM(I12:J12)</f>
        <v>3985</v>
      </c>
      <c r="L12" s="160">
        <f>IF(I12/15&lt;=SMG,0,J12/2)</f>
        <v>0</v>
      </c>
      <c r="M12" s="160">
        <f t="shared" si="7"/>
        <v>3985</v>
      </c>
      <c r="N12" s="160">
        <f>VLOOKUP(M12,Tarifa1,1)</f>
        <v>3124.36</v>
      </c>
      <c r="O12" s="160">
        <f t="shared" si="8"/>
        <v>860.63999999999987</v>
      </c>
      <c r="P12" s="161">
        <f>VLOOKUP(M12,Tarifa1,3)</f>
        <v>0.10879999999999999</v>
      </c>
      <c r="Q12" s="160">
        <f t="shared" si="9"/>
        <v>93.637631999999982</v>
      </c>
      <c r="R12" s="162">
        <f>VLOOKUP(M12,Tarifa1,2)</f>
        <v>183.45</v>
      </c>
      <c r="S12" s="160">
        <f t="shared" si="10"/>
        <v>277.08763199999999</v>
      </c>
      <c r="T12" s="160">
        <f>VLOOKUP(M12,Credito1,2)</f>
        <v>0</v>
      </c>
      <c r="U12" s="160">
        <f t="shared" si="11"/>
        <v>277.08999999999997</v>
      </c>
      <c r="V12" s="159">
        <f t="shared" si="12"/>
        <v>0</v>
      </c>
      <c r="W12" s="159">
        <f>IF(I12/15&lt;=SMG,0,IF(U12&lt;0,0,U12))</f>
        <v>277.08999999999997</v>
      </c>
      <c r="X12" s="159">
        <f>SUM(W12:W12)</f>
        <v>277.08999999999997</v>
      </c>
      <c r="Y12" s="159">
        <f>K12+V12-X12</f>
        <v>3707.91</v>
      </c>
      <c r="Z12" s="92"/>
    </row>
    <row r="13" spans="1:26" s="93" customFormat="1" ht="126" customHeight="1" x14ac:dyDescent="0.25">
      <c r="A13" s="193"/>
      <c r="B13" s="186">
        <v>284</v>
      </c>
      <c r="C13" s="152" t="s">
        <v>113</v>
      </c>
      <c r="D13" s="215" t="s">
        <v>235</v>
      </c>
      <c r="E13" s="222">
        <v>44473</v>
      </c>
      <c r="F13" s="153" t="s">
        <v>116</v>
      </c>
      <c r="G13" s="155">
        <v>15</v>
      </c>
      <c r="H13" s="156"/>
      <c r="I13" s="157">
        <v>3985</v>
      </c>
      <c r="J13" s="158">
        <v>0</v>
      </c>
      <c r="K13" s="159">
        <f>SUM(I13:J13)</f>
        <v>3985</v>
      </c>
      <c r="L13" s="160">
        <f>IF(I13/15&lt;=SMG,0,J13/2)</f>
        <v>0</v>
      </c>
      <c r="M13" s="160">
        <f t="shared" si="7"/>
        <v>3985</v>
      </c>
      <c r="N13" s="160">
        <f>VLOOKUP(M13,Tarifa1,1)</f>
        <v>3124.36</v>
      </c>
      <c r="O13" s="160">
        <f t="shared" si="8"/>
        <v>860.63999999999987</v>
      </c>
      <c r="P13" s="161">
        <f>VLOOKUP(M13,Tarifa1,3)</f>
        <v>0.10879999999999999</v>
      </c>
      <c r="Q13" s="160">
        <f t="shared" si="9"/>
        <v>93.637631999999982</v>
      </c>
      <c r="R13" s="162">
        <f>VLOOKUP(M13,Tarifa1,2)</f>
        <v>183.45</v>
      </c>
      <c r="S13" s="160">
        <f t="shared" si="10"/>
        <v>277.08763199999999</v>
      </c>
      <c r="T13" s="160">
        <f>VLOOKUP(M13,Credito1,2)</f>
        <v>0</v>
      </c>
      <c r="U13" s="160">
        <f t="shared" si="11"/>
        <v>277.08999999999997</v>
      </c>
      <c r="V13" s="159">
        <f t="shared" si="12"/>
        <v>0</v>
      </c>
      <c r="W13" s="159">
        <f>IF(I13/15&lt;=SMG,0,IF(U13&lt;0,0,U13))</f>
        <v>277.08999999999997</v>
      </c>
      <c r="X13" s="159">
        <f>SUM(W13:W13)</f>
        <v>277.08999999999997</v>
      </c>
      <c r="Y13" s="159">
        <f>K13+V13-X13</f>
        <v>3707.91</v>
      </c>
      <c r="Z13" s="92"/>
    </row>
    <row r="14" spans="1:26" ht="18" x14ac:dyDescent="0.25">
      <c r="A14" s="176"/>
      <c r="B14" s="176"/>
      <c r="C14" s="176"/>
      <c r="D14" s="176"/>
      <c r="E14" s="176"/>
      <c r="F14" s="176"/>
      <c r="G14" s="177"/>
      <c r="H14" s="176"/>
      <c r="I14" s="178"/>
      <c r="J14" s="178"/>
      <c r="K14" s="178"/>
      <c r="L14" s="179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</row>
    <row r="15" spans="1:26" ht="45" customHeight="1" thickBot="1" x14ac:dyDescent="0.3">
      <c r="A15" s="284" t="s">
        <v>44</v>
      </c>
      <c r="B15" s="285"/>
      <c r="C15" s="285"/>
      <c r="D15" s="285"/>
      <c r="E15" s="285"/>
      <c r="F15" s="285"/>
      <c r="G15" s="285"/>
      <c r="H15" s="286"/>
      <c r="I15" s="163">
        <f t="shared" ref="I15:Y15" si="13">SUM(I10:I14)</f>
        <v>18208</v>
      </c>
      <c r="J15" s="163">
        <f t="shared" si="13"/>
        <v>0</v>
      </c>
      <c r="K15" s="163">
        <f t="shared" si="13"/>
        <v>18208</v>
      </c>
      <c r="L15" s="164">
        <f t="shared" si="13"/>
        <v>0</v>
      </c>
      <c r="M15" s="164">
        <f t="shared" si="13"/>
        <v>18208</v>
      </c>
      <c r="N15" s="164">
        <f t="shared" si="13"/>
        <v>14863.840000000002</v>
      </c>
      <c r="O15" s="164">
        <f t="shared" si="13"/>
        <v>3344.1599999999994</v>
      </c>
      <c r="P15" s="164">
        <f t="shared" si="13"/>
        <v>0.4864</v>
      </c>
      <c r="Q15" s="164">
        <f t="shared" si="13"/>
        <v>402.87129599999992</v>
      </c>
      <c r="R15" s="164">
        <f t="shared" si="13"/>
        <v>991.35000000000014</v>
      </c>
      <c r="S15" s="164">
        <f t="shared" si="13"/>
        <v>1394.2212959999999</v>
      </c>
      <c r="T15" s="164">
        <f t="shared" si="13"/>
        <v>0</v>
      </c>
      <c r="U15" s="164">
        <f t="shared" si="13"/>
        <v>1394.2299999999998</v>
      </c>
      <c r="V15" s="163">
        <f t="shared" si="13"/>
        <v>0</v>
      </c>
      <c r="W15" s="163">
        <f t="shared" si="13"/>
        <v>1394.2299999999998</v>
      </c>
      <c r="X15" s="163">
        <f t="shared" si="13"/>
        <v>1394.2299999999998</v>
      </c>
      <c r="Y15" s="163">
        <f t="shared" si="13"/>
        <v>16813.77</v>
      </c>
    </row>
    <row r="16" spans="1:26" ht="13.5" thickTop="1" x14ac:dyDescent="0.2"/>
  </sheetData>
  <mergeCells count="9">
    <mergeCell ref="W6:X6"/>
    <mergeCell ref="A15:H15"/>
    <mergeCell ref="A1:Z1"/>
    <mergeCell ref="A2:Z2"/>
    <mergeCell ref="A3:Z3"/>
    <mergeCell ref="I6:K6"/>
    <mergeCell ref="N6:S6"/>
    <mergeCell ref="B6:B8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E13 D10:E10" xr:uid="{00000000-0002-0000-0900-000000000000}"/>
  </dataValidation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4"/>
  <sheetViews>
    <sheetView topLeftCell="B15" zoomScale="68" zoomScaleNormal="68" workbookViewId="0">
      <selection activeCell="V15" sqref="V1:V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15.28515625" style="67" customWidth="1"/>
    <col min="5" max="5" width="22" style="67" customWidth="1"/>
    <col min="6" max="6" width="11.28515625" style="67" hidden="1" customWidth="1"/>
    <col min="7" max="7" width="17.5703125" style="67" customWidth="1"/>
    <col min="8" max="8" width="14" style="67" customWidth="1"/>
    <col min="9" max="9" width="15.42578125" style="67" customWidth="1"/>
    <col min="10" max="10" width="12.7109375" style="67" hidden="1" customWidth="1"/>
    <col min="11" max="11" width="13.140625" style="67" hidden="1" customWidth="1"/>
    <col min="12" max="12" width="14.42578125" style="67" hidden="1" customWidth="1"/>
    <col min="13" max="13" width="15" style="67" hidden="1" customWidth="1"/>
    <col min="14" max="14" width="11" style="67" hidden="1" customWidth="1"/>
    <col min="15" max="16" width="13.140625" style="67" hidden="1" customWidth="1"/>
    <col min="17" max="17" width="15.42578125" style="67" hidden="1" customWidth="1"/>
    <col min="18" max="18" width="10.42578125" style="67" hidden="1" customWidth="1"/>
    <col min="19" max="19" width="13.140625" style="67" hidden="1" customWidth="1"/>
    <col min="20" max="20" width="11.5703125" style="67" customWidth="1"/>
    <col min="21" max="21" width="15.5703125" style="67" customWidth="1"/>
    <col min="22" max="22" width="15.85546875" style="67" customWidth="1"/>
    <col min="23" max="23" width="15.42578125" style="67" customWidth="1"/>
    <col min="24" max="24" width="71" style="67" customWidth="1"/>
    <col min="25" max="25" width="73.42578125" style="67" customWidth="1"/>
    <col min="26" max="16384" width="11.42578125" style="67"/>
  </cols>
  <sheetData>
    <row r="1" spans="1:26" ht="18" x14ac:dyDescent="0.25">
      <c r="A1" s="297" t="s">
        <v>76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4"/>
    </row>
    <row r="2" spans="1:26" ht="18" x14ac:dyDescent="0.25">
      <c r="A2" s="297" t="s">
        <v>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4"/>
    </row>
    <row r="3" spans="1:26" ht="19.5" x14ac:dyDescent="0.25">
      <c r="A3" s="42" t="s">
        <v>187</v>
      </c>
      <c r="B3" s="288" t="s">
        <v>323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197"/>
      <c r="Z3" s="197"/>
    </row>
    <row r="4" spans="1:26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"/>
    </row>
    <row r="5" spans="1:26" x14ac:dyDescent="0.2">
      <c r="A5" s="22"/>
      <c r="B5" s="22"/>
      <c r="C5" s="22"/>
      <c r="D5" s="22"/>
      <c r="E5" s="22"/>
      <c r="F5" s="23" t="s">
        <v>22</v>
      </c>
      <c r="G5" s="298" t="s">
        <v>1</v>
      </c>
      <c r="H5" s="299"/>
      <c r="I5" s="300"/>
      <c r="J5" s="24" t="s">
        <v>25</v>
      </c>
      <c r="K5" s="25"/>
      <c r="L5" s="301" t="s">
        <v>8</v>
      </c>
      <c r="M5" s="302"/>
      <c r="N5" s="302"/>
      <c r="O5" s="302"/>
      <c r="P5" s="302"/>
      <c r="Q5" s="303"/>
      <c r="R5" s="24" t="s">
        <v>29</v>
      </c>
      <c r="S5" s="24" t="s">
        <v>9</v>
      </c>
      <c r="T5" s="23" t="s">
        <v>52</v>
      </c>
      <c r="U5" s="304" t="s">
        <v>2</v>
      </c>
      <c r="V5" s="305"/>
      <c r="W5" s="23" t="s">
        <v>0</v>
      </c>
      <c r="X5" s="103"/>
      <c r="Y5" s="4"/>
    </row>
    <row r="6" spans="1:26" ht="32.25" customHeight="1" x14ac:dyDescent="0.2">
      <c r="A6" s="26" t="s">
        <v>20</v>
      </c>
      <c r="B6" s="44" t="s">
        <v>100</v>
      </c>
      <c r="C6" s="44" t="s">
        <v>114</v>
      </c>
      <c r="D6" s="26"/>
      <c r="E6" s="26"/>
      <c r="F6" s="27" t="s">
        <v>23</v>
      </c>
      <c r="G6" s="23" t="s">
        <v>5</v>
      </c>
      <c r="H6" s="23" t="s">
        <v>57</v>
      </c>
      <c r="I6" s="23" t="s">
        <v>27</v>
      </c>
      <c r="J6" s="28" t="s">
        <v>26</v>
      </c>
      <c r="K6" s="25" t="s">
        <v>31</v>
      </c>
      <c r="L6" s="25" t="s">
        <v>11</v>
      </c>
      <c r="M6" s="25" t="s">
        <v>33</v>
      </c>
      <c r="N6" s="25" t="s">
        <v>35</v>
      </c>
      <c r="O6" s="25" t="s">
        <v>36</v>
      </c>
      <c r="P6" s="25" t="s">
        <v>13</v>
      </c>
      <c r="Q6" s="25" t="s">
        <v>9</v>
      </c>
      <c r="R6" s="28" t="s">
        <v>39</v>
      </c>
      <c r="S6" s="28" t="s">
        <v>40</v>
      </c>
      <c r="T6" s="26" t="s">
        <v>30</v>
      </c>
      <c r="U6" s="23" t="s">
        <v>294</v>
      </c>
      <c r="V6" s="23" t="s">
        <v>6</v>
      </c>
      <c r="W6" s="26" t="s">
        <v>3</v>
      </c>
      <c r="X6" s="36" t="s">
        <v>56</v>
      </c>
      <c r="Y6" s="4"/>
    </row>
    <row r="7" spans="1:26" x14ac:dyDescent="0.2">
      <c r="A7" s="29"/>
      <c r="B7" s="26"/>
      <c r="C7" s="26"/>
      <c r="D7" s="26"/>
      <c r="E7" s="26"/>
      <c r="F7" s="26"/>
      <c r="G7" s="26" t="s">
        <v>46</v>
      </c>
      <c r="H7" s="26" t="s">
        <v>58</v>
      </c>
      <c r="I7" s="26" t="s">
        <v>28</v>
      </c>
      <c r="J7" s="28" t="s">
        <v>42</v>
      </c>
      <c r="K7" s="24" t="s">
        <v>32</v>
      </c>
      <c r="L7" s="24" t="s">
        <v>12</v>
      </c>
      <c r="M7" s="24" t="s">
        <v>34</v>
      </c>
      <c r="N7" s="24" t="s">
        <v>34</v>
      </c>
      <c r="O7" s="24" t="s">
        <v>37</v>
      </c>
      <c r="P7" s="24" t="s">
        <v>14</v>
      </c>
      <c r="Q7" s="24" t="s">
        <v>38</v>
      </c>
      <c r="R7" s="28" t="s">
        <v>18</v>
      </c>
      <c r="S7" s="31" t="s">
        <v>128</v>
      </c>
      <c r="T7" s="26" t="s">
        <v>51</v>
      </c>
      <c r="U7" s="26"/>
      <c r="V7" s="26" t="s">
        <v>43</v>
      </c>
      <c r="W7" s="26" t="s">
        <v>4</v>
      </c>
      <c r="X7" s="104"/>
      <c r="Y7" s="4"/>
    </row>
    <row r="8" spans="1:26" ht="28.5" customHeight="1" x14ac:dyDescent="0.25">
      <c r="A8" s="39"/>
      <c r="B8" s="102"/>
      <c r="C8" s="102"/>
      <c r="D8" s="100" t="s">
        <v>315</v>
      </c>
      <c r="E8" s="37" t="s">
        <v>60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98"/>
      <c r="Y8" s="4"/>
    </row>
    <row r="9" spans="1:26" ht="77.099999999999994" customHeight="1" x14ac:dyDescent="0.25">
      <c r="A9" s="109" t="s">
        <v>82</v>
      </c>
      <c r="B9" s="152" t="s">
        <v>136</v>
      </c>
      <c r="C9" s="152" t="s">
        <v>113</v>
      </c>
      <c r="D9" s="226">
        <v>43101</v>
      </c>
      <c r="E9" s="153" t="s">
        <v>65</v>
      </c>
      <c r="F9" s="155">
        <v>15</v>
      </c>
      <c r="G9" s="157">
        <v>10293</v>
      </c>
      <c r="H9" s="158">
        <v>0</v>
      </c>
      <c r="I9" s="159">
        <f t="shared" ref="I9:I15" si="0">SUM(G9:H9)</f>
        <v>10293</v>
      </c>
      <c r="J9" s="160">
        <f t="shared" ref="J9:J16" si="1">IF(G9/15&lt;=SMG,0,H9/2)</f>
        <v>0</v>
      </c>
      <c r="K9" s="160">
        <f t="shared" ref="K9" si="2">G9+J9</f>
        <v>10293</v>
      </c>
      <c r="L9" s="160">
        <f t="shared" ref="L9:L22" si="3">VLOOKUP(K9,Tarifa1,1)</f>
        <v>7641.91</v>
      </c>
      <c r="M9" s="160">
        <f>K9-L9</f>
        <v>2651.09</v>
      </c>
      <c r="N9" s="161">
        <f t="shared" ref="N9:N22" si="4">VLOOKUP(K9,Tarifa1,3)</f>
        <v>0.21360000000000001</v>
      </c>
      <c r="O9" s="160">
        <f>M9*N9</f>
        <v>566.27282400000001</v>
      </c>
      <c r="P9" s="162">
        <f t="shared" ref="P9:P22" si="5">VLOOKUP(K9,Tarifa1,2)</f>
        <v>809.25</v>
      </c>
      <c r="Q9" s="160">
        <f>O9+P9</f>
        <v>1375.5228240000001</v>
      </c>
      <c r="R9" s="160">
        <f t="shared" ref="R9:R22" si="6">VLOOKUP(K9,Credito1,2)</f>
        <v>0</v>
      </c>
      <c r="S9" s="160">
        <f>ROUND(Q9-R9,2)</f>
        <v>1375.52</v>
      </c>
      <c r="T9" s="159">
        <f>-IF(S9&gt;0,0,S9)</f>
        <v>0</v>
      </c>
      <c r="U9" s="159">
        <f t="shared" ref="U9:U22" si="7">IF(G9/15&lt;=SMG,0,IF(S9&lt;0,0,S9))</f>
        <v>1375.52</v>
      </c>
      <c r="V9" s="159">
        <f>SUM(U9:U9)</f>
        <v>1375.52</v>
      </c>
      <c r="W9" s="159">
        <f>I9+T9-V9</f>
        <v>8917.48</v>
      </c>
      <c r="X9" s="88"/>
      <c r="Y9" s="4"/>
    </row>
    <row r="10" spans="1:26" s="93" customFormat="1" ht="77.099999999999994" customHeight="1" x14ac:dyDescent="0.25">
      <c r="A10" s="109"/>
      <c r="B10" s="152" t="s">
        <v>186</v>
      </c>
      <c r="C10" s="152" t="s">
        <v>113</v>
      </c>
      <c r="D10" s="226">
        <v>43739</v>
      </c>
      <c r="E10" s="153" t="s">
        <v>78</v>
      </c>
      <c r="F10" s="155">
        <v>15</v>
      </c>
      <c r="G10" s="157">
        <v>8409</v>
      </c>
      <c r="H10" s="158">
        <v>0</v>
      </c>
      <c r="I10" s="159">
        <f t="shared" si="0"/>
        <v>8409</v>
      </c>
      <c r="J10" s="160">
        <f t="shared" si="1"/>
        <v>0</v>
      </c>
      <c r="K10" s="160">
        <f t="shared" ref="K10:K16" si="8">G10+J10</f>
        <v>8409</v>
      </c>
      <c r="L10" s="160">
        <f t="shared" si="3"/>
        <v>7641.91</v>
      </c>
      <c r="M10" s="160">
        <f t="shared" ref="M10:M22" si="9">K10-L10</f>
        <v>767.09000000000015</v>
      </c>
      <c r="N10" s="161">
        <f t="shared" si="4"/>
        <v>0.21360000000000001</v>
      </c>
      <c r="O10" s="160">
        <f t="shared" ref="O10:O22" si="10">M10*N10</f>
        <v>163.85042400000003</v>
      </c>
      <c r="P10" s="162">
        <f t="shared" si="5"/>
        <v>809.25</v>
      </c>
      <c r="Q10" s="160">
        <f t="shared" ref="Q10:Q22" si="11">O10+P10</f>
        <v>973.10042399999998</v>
      </c>
      <c r="R10" s="160">
        <f t="shared" si="6"/>
        <v>0</v>
      </c>
      <c r="S10" s="160">
        <f t="shared" ref="S10:S22" si="12">ROUND(Q10-R10,2)</f>
        <v>973.1</v>
      </c>
      <c r="T10" s="159">
        <f t="shared" ref="T10:T22" si="13">-IF(S10&gt;0,0,S10)</f>
        <v>0</v>
      </c>
      <c r="U10" s="159">
        <f t="shared" si="7"/>
        <v>973.1</v>
      </c>
      <c r="V10" s="159">
        <f>SUM(U10:U10)</f>
        <v>973.1</v>
      </c>
      <c r="W10" s="159">
        <f>I10+T10-V10</f>
        <v>7435.9</v>
      </c>
      <c r="X10" s="88"/>
      <c r="Y10" s="4"/>
    </row>
    <row r="11" spans="1:26" s="93" customFormat="1" ht="77.099999999999994" customHeight="1" x14ac:dyDescent="0.25">
      <c r="A11" s="193"/>
      <c r="B11" s="152" t="s">
        <v>176</v>
      </c>
      <c r="C11" s="152" t="s">
        <v>113</v>
      </c>
      <c r="D11" s="226">
        <v>43601</v>
      </c>
      <c r="E11" s="154" t="s">
        <v>78</v>
      </c>
      <c r="F11" s="155">
        <v>15</v>
      </c>
      <c r="G11" s="157">
        <v>8409</v>
      </c>
      <c r="H11" s="158">
        <v>0</v>
      </c>
      <c r="I11" s="159">
        <f t="shared" ref="I11:I12" si="14">SUM(G11:H11)</f>
        <v>8409</v>
      </c>
      <c r="J11" s="160">
        <f t="shared" ref="J11:J12" si="15">IF(G11/15&lt;=SMG,0,H11/2)</f>
        <v>0</v>
      </c>
      <c r="K11" s="160">
        <f t="shared" ref="K11:K12" si="16">G11+J11</f>
        <v>8409</v>
      </c>
      <c r="L11" s="160">
        <f t="shared" si="3"/>
        <v>7641.91</v>
      </c>
      <c r="M11" s="160">
        <f t="shared" si="9"/>
        <v>767.09000000000015</v>
      </c>
      <c r="N11" s="161">
        <f t="shared" si="4"/>
        <v>0.21360000000000001</v>
      </c>
      <c r="O11" s="160">
        <f t="shared" si="10"/>
        <v>163.85042400000003</v>
      </c>
      <c r="P11" s="162">
        <f t="shared" si="5"/>
        <v>809.25</v>
      </c>
      <c r="Q11" s="160">
        <f t="shared" si="11"/>
        <v>973.10042399999998</v>
      </c>
      <c r="R11" s="160">
        <f t="shared" si="6"/>
        <v>0</v>
      </c>
      <c r="S11" s="160">
        <f t="shared" si="12"/>
        <v>973.1</v>
      </c>
      <c r="T11" s="159">
        <f t="shared" si="13"/>
        <v>0</v>
      </c>
      <c r="U11" s="159">
        <f t="shared" si="7"/>
        <v>973.1</v>
      </c>
      <c r="V11" s="159">
        <f>SUM(U11:U11)</f>
        <v>973.1</v>
      </c>
      <c r="W11" s="159">
        <f>I11+T11-V11</f>
        <v>7435.9</v>
      </c>
      <c r="X11" s="88"/>
      <c r="Y11" s="4"/>
    </row>
    <row r="12" spans="1:26" s="93" customFormat="1" ht="77.099999999999994" customHeight="1" x14ac:dyDescent="0.25">
      <c r="A12" s="193"/>
      <c r="B12" s="152" t="s">
        <v>192</v>
      </c>
      <c r="C12" s="152" t="s">
        <v>113</v>
      </c>
      <c r="D12" s="226">
        <v>43937</v>
      </c>
      <c r="E12" s="154" t="s">
        <v>267</v>
      </c>
      <c r="F12" s="155">
        <v>15</v>
      </c>
      <c r="G12" s="157">
        <v>8016</v>
      </c>
      <c r="H12" s="158">
        <v>0</v>
      </c>
      <c r="I12" s="159">
        <f t="shared" si="14"/>
        <v>8016</v>
      </c>
      <c r="J12" s="160">
        <f t="shared" si="15"/>
        <v>0</v>
      </c>
      <c r="K12" s="160">
        <f t="shared" si="16"/>
        <v>8016</v>
      </c>
      <c r="L12" s="160">
        <f t="shared" ref="L12" si="17">VLOOKUP(K12,Tarifa1,1)</f>
        <v>7641.91</v>
      </c>
      <c r="M12" s="160">
        <f t="shared" ref="M12" si="18">K12-L12</f>
        <v>374.09000000000015</v>
      </c>
      <c r="N12" s="161">
        <f t="shared" ref="N12" si="19">VLOOKUP(K12,Tarifa1,3)</f>
        <v>0.21360000000000001</v>
      </c>
      <c r="O12" s="160">
        <f t="shared" ref="O12" si="20">M12*N12</f>
        <v>79.905624000000032</v>
      </c>
      <c r="P12" s="162">
        <f t="shared" ref="P12" si="21">VLOOKUP(K12,Tarifa1,2)</f>
        <v>809.25</v>
      </c>
      <c r="Q12" s="160">
        <f t="shared" ref="Q12" si="22">O12+P12</f>
        <v>889.15562399999999</v>
      </c>
      <c r="R12" s="160">
        <f t="shared" ref="R12" si="23">VLOOKUP(K12,Credito1,2)</f>
        <v>0</v>
      </c>
      <c r="S12" s="160">
        <f t="shared" ref="S12" si="24">ROUND(Q12-R12,2)</f>
        <v>889.16</v>
      </c>
      <c r="T12" s="159">
        <f t="shared" ref="T12" si="25">-IF(S12&gt;0,0,S12)</f>
        <v>0</v>
      </c>
      <c r="U12" s="159">
        <f t="shared" ref="U12" si="26">IF(G12/15&lt;=SMG,0,IF(S12&lt;0,0,S12))</f>
        <v>889.16</v>
      </c>
      <c r="V12" s="159">
        <f>SUM(U12:U12)</f>
        <v>889.16</v>
      </c>
      <c r="W12" s="159">
        <f>I12+T12-V12</f>
        <v>7126.84</v>
      </c>
      <c r="X12" s="88"/>
      <c r="Y12" s="4"/>
    </row>
    <row r="13" spans="1:26" s="93" customFormat="1" ht="77.099999999999994" customHeight="1" x14ac:dyDescent="0.25">
      <c r="A13" s="193"/>
      <c r="B13" s="152" t="s">
        <v>216</v>
      </c>
      <c r="C13" s="152" t="s">
        <v>113</v>
      </c>
      <c r="D13" s="226">
        <v>44470</v>
      </c>
      <c r="E13" s="154" t="s">
        <v>267</v>
      </c>
      <c r="F13" s="155">
        <v>15</v>
      </c>
      <c r="G13" s="157">
        <v>8016</v>
      </c>
      <c r="H13" s="158">
        <v>0</v>
      </c>
      <c r="I13" s="159">
        <f t="shared" ref="I13:I14" si="27">SUM(G13:H13)</f>
        <v>8016</v>
      </c>
      <c r="J13" s="160">
        <f t="shared" ref="J13:J14" si="28">IF(G13/15&lt;=SMG,0,H13/2)</f>
        <v>0</v>
      </c>
      <c r="K13" s="160">
        <f t="shared" ref="K13:K14" si="29">G13+J13</f>
        <v>8016</v>
      </c>
      <c r="L13" s="160">
        <f t="shared" si="3"/>
        <v>7641.91</v>
      </c>
      <c r="M13" s="160">
        <f t="shared" si="9"/>
        <v>374.09000000000015</v>
      </c>
      <c r="N13" s="161">
        <f t="shared" si="4"/>
        <v>0.21360000000000001</v>
      </c>
      <c r="O13" s="160">
        <f t="shared" si="10"/>
        <v>79.905624000000032</v>
      </c>
      <c r="P13" s="162">
        <f t="shared" si="5"/>
        <v>809.25</v>
      </c>
      <c r="Q13" s="160">
        <f t="shared" si="11"/>
        <v>889.15562399999999</v>
      </c>
      <c r="R13" s="160">
        <f t="shared" si="6"/>
        <v>0</v>
      </c>
      <c r="S13" s="160">
        <f t="shared" si="12"/>
        <v>889.16</v>
      </c>
      <c r="T13" s="159">
        <f t="shared" si="13"/>
        <v>0</v>
      </c>
      <c r="U13" s="159">
        <f t="shared" si="7"/>
        <v>889.16</v>
      </c>
      <c r="V13" s="159">
        <f>SUM(U13:U13)</f>
        <v>889.16</v>
      </c>
      <c r="W13" s="159">
        <f>I13+T13-V13</f>
        <v>7126.84</v>
      </c>
      <c r="X13" s="88"/>
      <c r="Y13" s="4"/>
    </row>
    <row r="14" spans="1:26" s="93" customFormat="1" ht="77.099999999999994" customHeight="1" x14ac:dyDescent="0.25">
      <c r="A14" s="193"/>
      <c r="B14" s="152" t="s">
        <v>182</v>
      </c>
      <c r="C14" s="152" t="s">
        <v>113</v>
      </c>
      <c r="D14" s="226">
        <v>43617</v>
      </c>
      <c r="E14" s="154" t="s">
        <v>79</v>
      </c>
      <c r="F14" s="155">
        <v>15</v>
      </c>
      <c r="G14" s="157">
        <v>7623</v>
      </c>
      <c r="H14" s="158">
        <v>0</v>
      </c>
      <c r="I14" s="159">
        <f t="shared" si="27"/>
        <v>7623</v>
      </c>
      <c r="J14" s="160">
        <f t="shared" si="28"/>
        <v>0</v>
      </c>
      <c r="K14" s="160">
        <f t="shared" si="29"/>
        <v>7623</v>
      </c>
      <c r="L14" s="160">
        <f t="shared" ref="L14" si="30">VLOOKUP(K14,Tarifa1,1)</f>
        <v>6382.81</v>
      </c>
      <c r="M14" s="160">
        <f t="shared" ref="M14" si="31">K14-L14</f>
        <v>1240.1899999999996</v>
      </c>
      <c r="N14" s="161">
        <f t="shared" ref="N14" si="32">VLOOKUP(K14,Tarifa1,3)</f>
        <v>0.1792</v>
      </c>
      <c r="O14" s="160">
        <f t="shared" ref="O14" si="33">M14*N14</f>
        <v>222.24204799999993</v>
      </c>
      <c r="P14" s="162">
        <f t="shared" ref="P14" si="34">VLOOKUP(K14,Tarifa1,2)</f>
        <v>583.65</v>
      </c>
      <c r="Q14" s="160">
        <f t="shared" ref="Q14" si="35">O14+P14</f>
        <v>805.89204799999993</v>
      </c>
      <c r="R14" s="160">
        <f t="shared" ref="R14" si="36">VLOOKUP(K14,Credito1,2)</f>
        <v>0</v>
      </c>
      <c r="S14" s="160">
        <f t="shared" ref="S14" si="37">ROUND(Q14-R14,2)</f>
        <v>805.89</v>
      </c>
      <c r="T14" s="159">
        <f t="shared" ref="T14" si="38">-IF(S14&gt;0,0,S14)</f>
        <v>0</v>
      </c>
      <c r="U14" s="159">
        <f t="shared" ref="U14" si="39">IF(G14/15&lt;=SMG,0,IF(S14&lt;0,0,S14))</f>
        <v>805.89</v>
      </c>
      <c r="V14" s="159">
        <f>SUM(U14:U14)</f>
        <v>805.89</v>
      </c>
      <c r="W14" s="159">
        <f>I14+T14-V14</f>
        <v>6817.11</v>
      </c>
      <c r="X14" s="88"/>
      <c r="Y14" s="4"/>
    </row>
    <row r="15" spans="1:26" s="93" customFormat="1" ht="77.099999999999994" customHeight="1" x14ac:dyDescent="0.25">
      <c r="A15" s="193"/>
      <c r="B15" s="152" t="s">
        <v>104</v>
      </c>
      <c r="C15" s="152" t="s">
        <v>113</v>
      </c>
      <c r="D15" s="227">
        <v>41898</v>
      </c>
      <c r="E15" s="154" t="s">
        <v>79</v>
      </c>
      <c r="F15" s="155">
        <v>15</v>
      </c>
      <c r="G15" s="157">
        <v>7623</v>
      </c>
      <c r="H15" s="158">
        <v>0</v>
      </c>
      <c r="I15" s="159">
        <f t="shared" si="0"/>
        <v>7623</v>
      </c>
      <c r="J15" s="160">
        <f t="shared" si="1"/>
        <v>0</v>
      </c>
      <c r="K15" s="160">
        <f t="shared" si="8"/>
        <v>7623</v>
      </c>
      <c r="L15" s="160">
        <f t="shared" si="3"/>
        <v>6382.81</v>
      </c>
      <c r="M15" s="160">
        <f t="shared" si="9"/>
        <v>1240.1899999999996</v>
      </c>
      <c r="N15" s="161">
        <f t="shared" si="4"/>
        <v>0.1792</v>
      </c>
      <c r="O15" s="160">
        <f t="shared" si="10"/>
        <v>222.24204799999993</v>
      </c>
      <c r="P15" s="162">
        <f t="shared" si="5"/>
        <v>583.65</v>
      </c>
      <c r="Q15" s="160">
        <f t="shared" si="11"/>
        <v>805.89204799999993</v>
      </c>
      <c r="R15" s="160">
        <f t="shared" si="6"/>
        <v>0</v>
      </c>
      <c r="S15" s="160">
        <f t="shared" si="12"/>
        <v>805.89</v>
      </c>
      <c r="T15" s="159">
        <f t="shared" si="13"/>
        <v>0</v>
      </c>
      <c r="U15" s="159">
        <f t="shared" si="7"/>
        <v>805.89</v>
      </c>
      <c r="V15" s="159">
        <f>SUM(U15:U15)</f>
        <v>805.89</v>
      </c>
      <c r="W15" s="159">
        <f>I15+T15-V15</f>
        <v>6817.11</v>
      </c>
      <c r="X15" s="89"/>
      <c r="Y15" s="4"/>
    </row>
    <row r="16" spans="1:26" ht="77.099999999999994" customHeight="1" x14ac:dyDescent="0.25">
      <c r="A16" s="193"/>
      <c r="B16" s="152" t="s">
        <v>188</v>
      </c>
      <c r="C16" s="152" t="s">
        <v>113</v>
      </c>
      <c r="D16" s="226">
        <v>43831</v>
      </c>
      <c r="E16" s="154" t="s">
        <v>79</v>
      </c>
      <c r="F16" s="195">
        <v>15</v>
      </c>
      <c r="G16" s="157">
        <v>7623</v>
      </c>
      <c r="H16" s="158">
        <v>0</v>
      </c>
      <c r="I16" s="159">
        <f t="shared" ref="I16" si="40">SUM(G16:H16)</f>
        <v>7623</v>
      </c>
      <c r="J16" s="160">
        <f t="shared" si="1"/>
        <v>0</v>
      </c>
      <c r="K16" s="160">
        <f t="shared" si="8"/>
        <v>7623</v>
      </c>
      <c r="L16" s="160">
        <f t="shared" si="3"/>
        <v>6382.81</v>
      </c>
      <c r="M16" s="160">
        <f t="shared" si="9"/>
        <v>1240.1899999999996</v>
      </c>
      <c r="N16" s="161">
        <f t="shared" si="4"/>
        <v>0.1792</v>
      </c>
      <c r="O16" s="160">
        <f t="shared" si="10"/>
        <v>222.24204799999993</v>
      </c>
      <c r="P16" s="162">
        <f t="shared" si="5"/>
        <v>583.65</v>
      </c>
      <c r="Q16" s="160">
        <f t="shared" si="11"/>
        <v>805.89204799999993</v>
      </c>
      <c r="R16" s="160">
        <f t="shared" si="6"/>
        <v>0</v>
      </c>
      <c r="S16" s="160">
        <f t="shared" si="12"/>
        <v>805.89</v>
      </c>
      <c r="T16" s="159">
        <f t="shared" si="13"/>
        <v>0</v>
      </c>
      <c r="U16" s="159">
        <f t="shared" si="7"/>
        <v>805.89</v>
      </c>
      <c r="V16" s="159">
        <f>SUM(U16:U16)</f>
        <v>805.89</v>
      </c>
      <c r="W16" s="159">
        <f>I16+T16-V16</f>
        <v>6817.11</v>
      </c>
      <c r="X16" s="89"/>
      <c r="Y16" s="4"/>
    </row>
    <row r="17" spans="1:25" ht="77.099999999999994" customHeight="1" x14ac:dyDescent="0.25">
      <c r="A17" s="193"/>
      <c r="B17" s="152" t="s">
        <v>204</v>
      </c>
      <c r="C17" s="152" t="s">
        <v>113</v>
      </c>
      <c r="D17" s="226">
        <v>44332</v>
      </c>
      <c r="E17" s="154" t="s">
        <v>79</v>
      </c>
      <c r="F17" s="155"/>
      <c r="G17" s="157">
        <v>7623</v>
      </c>
      <c r="H17" s="158">
        <v>0</v>
      </c>
      <c r="I17" s="159">
        <f t="shared" ref="I17" si="41">SUM(G17:H17)</f>
        <v>7623</v>
      </c>
      <c r="J17" s="160">
        <f t="shared" ref="J17:J21" si="42">IF(G17/15&lt;=SMG,0,H17/2)</f>
        <v>0</v>
      </c>
      <c r="K17" s="160">
        <f t="shared" ref="K17" si="43">G17+J17</f>
        <v>7623</v>
      </c>
      <c r="L17" s="160">
        <f t="shared" si="3"/>
        <v>6382.81</v>
      </c>
      <c r="M17" s="160">
        <f t="shared" si="9"/>
        <v>1240.1899999999996</v>
      </c>
      <c r="N17" s="161">
        <f t="shared" si="4"/>
        <v>0.1792</v>
      </c>
      <c r="O17" s="160">
        <f t="shared" si="10"/>
        <v>222.24204799999993</v>
      </c>
      <c r="P17" s="162">
        <f t="shared" si="5"/>
        <v>583.65</v>
      </c>
      <c r="Q17" s="160">
        <f t="shared" si="11"/>
        <v>805.89204799999993</v>
      </c>
      <c r="R17" s="160">
        <f t="shared" si="6"/>
        <v>0</v>
      </c>
      <c r="S17" s="160">
        <f t="shared" si="12"/>
        <v>805.89</v>
      </c>
      <c r="T17" s="159">
        <f t="shared" si="13"/>
        <v>0</v>
      </c>
      <c r="U17" s="159">
        <f t="shared" si="7"/>
        <v>805.89</v>
      </c>
      <c r="V17" s="159">
        <f>SUM(U17:U17)</f>
        <v>805.89</v>
      </c>
      <c r="W17" s="159">
        <f>I17+T17-V17</f>
        <v>6817.11</v>
      </c>
      <c r="X17" s="89"/>
      <c r="Y17" s="4"/>
    </row>
    <row r="18" spans="1:25" ht="77.099999999999994" customHeight="1" x14ac:dyDescent="0.25">
      <c r="A18" s="193"/>
      <c r="B18" s="152" t="s">
        <v>263</v>
      </c>
      <c r="C18" s="152" t="s">
        <v>113</v>
      </c>
      <c r="D18" s="226">
        <v>44608</v>
      </c>
      <c r="E18" s="154" t="s">
        <v>79</v>
      </c>
      <c r="F18" s="155"/>
      <c r="G18" s="157">
        <v>7623</v>
      </c>
      <c r="H18" s="158">
        <v>0</v>
      </c>
      <c r="I18" s="159">
        <f t="shared" ref="I18:I20" si="44">SUM(G18:H18)</f>
        <v>7623</v>
      </c>
      <c r="J18" s="160">
        <f t="shared" si="42"/>
        <v>0</v>
      </c>
      <c r="K18" s="160">
        <f t="shared" ref="K18:K21" si="45">G18+J18</f>
        <v>7623</v>
      </c>
      <c r="L18" s="160">
        <f t="shared" si="3"/>
        <v>6382.81</v>
      </c>
      <c r="M18" s="160">
        <f t="shared" si="9"/>
        <v>1240.1899999999996</v>
      </c>
      <c r="N18" s="161">
        <f t="shared" si="4"/>
        <v>0.1792</v>
      </c>
      <c r="O18" s="160">
        <f t="shared" si="10"/>
        <v>222.24204799999993</v>
      </c>
      <c r="P18" s="162">
        <f t="shared" si="5"/>
        <v>583.65</v>
      </c>
      <c r="Q18" s="160">
        <f t="shared" si="11"/>
        <v>805.89204799999993</v>
      </c>
      <c r="R18" s="160">
        <f t="shared" si="6"/>
        <v>0</v>
      </c>
      <c r="S18" s="160">
        <f t="shared" si="12"/>
        <v>805.89</v>
      </c>
      <c r="T18" s="159">
        <f t="shared" si="13"/>
        <v>0</v>
      </c>
      <c r="U18" s="159">
        <f t="shared" si="7"/>
        <v>805.89</v>
      </c>
      <c r="V18" s="159">
        <f>SUM(U18:U18)</f>
        <v>805.89</v>
      </c>
      <c r="W18" s="159">
        <f>I18+T18-V18</f>
        <v>6817.11</v>
      </c>
      <c r="X18" s="89"/>
      <c r="Y18" s="4"/>
    </row>
    <row r="19" spans="1:25" ht="77.099999999999994" customHeight="1" x14ac:dyDescent="0.25">
      <c r="A19" s="193"/>
      <c r="B19" s="152" t="s">
        <v>264</v>
      </c>
      <c r="C19" s="152" t="s">
        <v>113</v>
      </c>
      <c r="D19" s="226">
        <v>44608</v>
      </c>
      <c r="E19" s="154" t="s">
        <v>79</v>
      </c>
      <c r="F19" s="155"/>
      <c r="G19" s="157">
        <v>7623</v>
      </c>
      <c r="H19" s="158">
        <v>0</v>
      </c>
      <c r="I19" s="159">
        <f t="shared" si="44"/>
        <v>7623</v>
      </c>
      <c r="J19" s="160">
        <f t="shared" si="42"/>
        <v>0</v>
      </c>
      <c r="K19" s="160">
        <f t="shared" si="45"/>
        <v>7623</v>
      </c>
      <c r="L19" s="160">
        <f t="shared" si="3"/>
        <v>6382.81</v>
      </c>
      <c r="M19" s="160">
        <f t="shared" si="9"/>
        <v>1240.1899999999996</v>
      </c>
      <c r="N19" s="161">
        <f t="shared" si="4"/>
        <v>0.1792</v>
      </c>
      <c r="O19" s="160">
        <f t="shared" si="10"/>
        <v>222.24204799999993</v>
      </c>
      <c r="P19" s="162">
        <f t="shared" si="5"/>
        <v>583.65</v>
      </c>
      <c r="Q19" s="160">
        <f t="shared" si="11"/>
        <v>805.89204799999993</v>
      </c>
      <c r="R19" s="160">
        <f t="shared" si="6"/>
        <v>0</v>
      </c>
      <c r="S19" s="160">
        <f t="shared" si="12"/>
        <v>805.89</v>
      </c>
      <c r="T19" s="159">
        <f t="shared" si="13"/>
        <v>0</v>
      </c>
      <c r="U19" s="159">
        <f t="shared" si="7"/>
        <v>805.89</v>
      </c>
      <c r="V19" s="159">
        <f>SUM(U19:U19)</f>
        <v>805.89</v>
      </c>
      <c r="W19" s="159">
        <f>I19+T19-V19</f>
        <v>6817.11</v>
      </c>
      <c r="X19" s="89"/>
      <c r="Y19" s="4"/>
    </row>
    <row r="20" spans="1:25" ht="77.099999999999994" customHeight="1" x14ac:dyDescent="0.25">
      <c r="A20" s="193"/>
      <c r="B20" s="152" t="s">
        <v>281</v>
      </c>
      <c r="C20" s="152" t="s">
        <v>113</v>
      </c>
      <c r="D20" s="227">
        <v>44745</v>
      </c>
      <c r="E20" s="154" t="s">
        <v>79</v>
      </c>
      <c r="F20" s="155"/>
      <c r="G20" s="157">
        <v>7623</v>
      </c>
      <c r="H20" s="158">
        <v>0</v>
      </c>
      <c r="I20" s="159">
        <f t="shared" si="44"/>
        <v>7623</v>
      </c>
      <c r="J20" s="160">
        <f t="shared" si="42"/>
        <v>0</v>
      </c>
      <c r="K20" s="160">
        <f t="shared" si="45"/>
        <v>7623</v>
      </c>
      <c r="L20" s="160">
        <f t="shared" ref="L20:L21" si="46">VLOOKUP(K20,Tarifa1,1)</f>
        <v>6382.81</v>
      </c>
      <c r="M20" s="160">
        <f t="shared" ref="M20:M21" si="47">K20-L20</f>
        <v>1240.1899999999996</v>
      </c>
      <c r="N20" s="161">
        <f t="shared" ref="N20:N21" si="48">VLOOKUP(K20,Tarifa1,3)</f>
        <v>0.1792</v>
      </c>
      <c r="O20" s="160">
        <f t="shared" ref="O20:O21" si="49">M20*N20</f>
        <v>222.24204799999993</v>
      </c>
      <c r="P20" s="162">
        <f t="shared" ref="P20:P21" si="50">VLOOKUP(K20,Tarifa1,2)</f>
        <v>583.65</v>
      </c>
      <c r="Q20" s="160">
        <f t="shared" ref="Q20:Q21" si="51">O20+P20</f>
        <v>805.89204799999993</v>
      </c>
      <c r="R20" s="160">
        <f t="shared" ref="R20:R21" si="52">VLOOKUP(K20,Credito1,2)</f>
        <v>0</v>
      </c>
      <c r="S20" s="160">
        <f t="shared" ref="S20:S21" si="53">ROUND(Q20-R20,2)</f>
        <v>805.89</v>
      </c>
      <c r="T20" s="159">
        <f t="shared" ref="T20:T21" si="54">-IF(S20&gt;0,0,S20)</f>
        <v>0</v>
      </c>
      <c r="U20" s="159">
        <f t="shared" ref="U20:U21" si="55">IF(G20/15&lt;=SMG,0,IF(S20&lt;0,0,S20))</f>
        <v>805.89</v>
      </c>
      <c r="V20" s="159">
        <f>SUM(U20:U20)</f>
        <v>805.89</v>
      </c>
      <c r="W20" s="159">
        <f>I20+T20-V20</f>
        <v>6817.11</v>
      </c>
      <c r="X20" s="89"/>
      <c r="Y20" s="4"/>
    </row>
    <row r="21" spans="1:25" ht="77.099999999999994" customHeight="1" x14ac:dyDescent="0.25">
      <c r="A21" s="193"/>
      <c r="B21" s="152" t="s">
        <v>298</v>
      </c>
      <c r="C21" s="152" t="s">
        <v>113</v>
      </c>
      <c r="D21" s="227">
        <v>44942</v>
      </c>
      <c r="E21" s="154" t="s">
        <v>79</v>
      </c>
      <c r="F21" s="155"/>
      <c r="G21" s="157">
        <v>7623</v>
      </c>
      <c r="H21" s="158">
        <v>0</v>
      </c>
      <c r="I21" s="159">
        <f t="shared" ref="I21" si="56">SUM(G21:H21)</f>
        <v>7623</v>
      </c>
      <c r="J21" s="160">
        <f t="shared" si="42"/>
        <v>0</v>
      </c>
      <c r="K21" s="160">
        <f t="shared" si="45"/>
        <v>7623</v>
      </c>
      <c r="L21" s="160">
        <f t="shared" si="46"/>
        <v>6382.81</v>
      </c>
      <c r="M21" s="160">
        <f t="shared" si="47"/>
        <v>1240.1899999999996</v>
      </c>
      <c r="N21" s="161">
        <f t="shared" si="48"/>
        <v>0.1792</v>
      </c>
      <c r="O21" s="160">
        <f t="shared" si="49"/>
        <v>222.24204799999993</v>
      </c>
      <c r="P21" s="162">
        <f t="shared" si="50"/>
        <v>583.65</v>
      </c>
      <c r="Q21" s="160">
        <f t="shared" si="51"/>
        <v>805.89204799999993</v>
      </c>
      <c r="R21" s="160">
        <f t="shared" si="52"/>
        <v>0</v>
      </c>
      <c r="S21" s="160">
        <f t="shared" si="53"/>
        <v>805.89</v>
      </c>
      <c r="T21" s="159">
        <f t="shared" si="54"/>
        <v>0</v>
      </c>
      <c r="U21" s="159">
        <f t="shared" si="55"/>
        <v>805.89</v>
      </c>
      <c r="V21" s="159">
        <f>SUM(U21:U21)</f>
        <v>805.89</v>
      </c>
      <c r="W21" s="159">
        <f>I21+T21-V21</f>
        <v>6817.11</v>
      </c>
      <c r="X21" s="89"/>
      <c r="Y21" s="4"/>
    </row>
    <row r="22" spans="1:25" ht="77.099999999999994" customHeight="1" x14ac:dyDescent="0.25">
      <c r="A22" s="193"/>
      <c r="B22" s="152" t="s">
        <v>319</v>
      </c>
      <c r="C22" s="152" t="s">
        <v>113</v>
      </c>
      <c r="D22" s="227">
        <v>44986</v>
      </c>
      <c r="E22" s="154" t="s">
        <v>79</v>
      </c>
      <c r="F22" s="155"/>
      <c r="G22" s="157">
        <v>7623</v>
      </c>
      <c r="H22" s="158">
        <v>0</v>
      </c>
      <c r="I22" s="159">
        <f t="shared" ref="I22" si="57">SUM(G22:H22)</f>
        <v>7623</v>
      </c>
      <c r="J22" s="160">
        <f t="shared" ref="J22" si="58">IF(G22/15&lt;=SMG,0,H22/2)</f>
        <v>0</v>
      </c>
      <c r="K22" s="160">
        <f t="shared" ref="K22" si="59">G22+J22</f>
        <v>7623</v>
      </c>
      <c r="L22" s="160">
        <f t="shared" si="3"/>
        <v>6382.81</v>
      </c>
      <c r="M22" s="160">
        <f t="shared" si="9"/>
        <v>1240.1899999999996</v>
      </c>
      <c r="N22" s="161">
        <f t="shared" si="4"/>
        <v>0.1792</v>
      </c>
      <c r="O22" s="160">
        <f t="shared" si="10"/>
        <v>222.24204799999993</v>
      </c>
      <c r="P22" s="162">
        <f t="shared" si="5"/>
        <v>583.65</v>
      </c>
      <c r="Q22" s="160">
        <f t="shared" si="11"/>
        <v>805.89204799999993</v>
      </c>
      <c r="R22" s="160">
        <f t="shared" si="6"/>
        <v>0</v>
      </c>
      <c r="S22" s="160">
        <f t="shared" si="12"/>
        <v>805.89</v>
      </c>
      <c r="T22" s="159">
        <f t="shared" si="13"/>
        <v>0</v>
      </c>
      <c r="U22" s="159">
        <f t="shared" si="7"/>
        <v>805.89</v>
      </c>
      <c r="V22" s="159">
        <f>SUM(U22:U22)</f>
        <v>805.89</v>
      </c>
      <c r="W22" s="159">
        <f>I22+T22-V22</f>
        <v>6817.11</v>
      </c>
      <c r="X22" s="89"/>
      <c r="Y22" s="4"/>
    </row>
    <row r="23" spans="1:25" ht="29.25" customHeight="1" thickBot="1" x14ac:dyDescent="0.3">
      <c r="A23" s="284" t="s">
        <v>44</v>
      </c>
      <c r="B23" s="285"/>
      <c r="C23" s="285"/>
      <c r="D23" s="285"/>
      <c r="E23" s="285"/>
      <c r="F23" s="285"/>
      <c r="G23" s="163">
        <f>SUM(G9:G22)</f>
        <v>111750</v>
      </c>
      <c r="H23" s="163">
        <f>SUM(H9:H22)</f>
        <v>0</v>
      </c>
      <c r="I23" s="163">
        <f>SUM(I9:I22)</f>
        <v>111750</v>
      </c>
      <c r="J23" s="164">
        <f t="shared" ref="J23:S23" si="60">SUM(J9:J15)</f>
        <v>0</v>
      </c>
      <c r="K23" s="164">
        <f t="shared" si="60"/>
        <v>58389</v>
      </c>
      <c r="L23" s="164">
        <f t="shared" si="60"/>
        <v>50975.17</v>
      </c>
      <c r="M23" s="164">
        <f t="shared" si="60"/>
        <v>7413.83</v>
      </c>
      <c r="N23" s="164">
        <f t="shared" si="60"/>
        <v>1.4264000000000001</v>
      </c>
      <c r="O23" s="164">
        <f t="shared" si="60"/>
        <v>1498.2690159999997</v>
      </c>
      <c r="P23" s="164">
        <f t="shared" si="60"/>
        <v>5213.5499999999993</v>
      </c>
      <c r="Q23" s="164">
        <f t="shared" si="60"/>
        <v>6711.8190159999995</v>
      </c>
      <c r="R23" s="164">
        <f t="shared" si="60"/>
        <v>0</v>
      </c>
      <c r="S23" s="164">
        <f t="shared" si="60"/>
        <v>6711.8200000000006</v>
      </c>
      <c r="T23" s="163">
        <f>SUM(T9:T22)</f>
        <v>0</v>
      </c>
      <c r="U23" s="163">
        <f>SUM(U9:U22)</f>
        <v>12353.049999999997</v>
      </c>
      <c r="V23" s="163">
        <f>SUM(V9:V22)</f>
        <v>12353.049999999997</v>
      </c>
      <c r="W23" s="163">
        <f>SUM(W9:W22)</f>
        <v>99396.95</v>
      </c>
      <c r="X23" s="4"/>
      <c r="Y23" s="4"/>
    </row>
    <row r="24" spans="1:25" ht="13.5" thickTop="1" x14ac:dyDescent="0.2"/>
  </sheetData>
  <mergeCells count="7">
    <mergeCell ref="A23:F23"/>
    <mergeCell ref="A1:X1"/>
    <mergeCell ref="A2:X2"/>
    <mergeCell ref="G5:I5"/>
    <mergeCell ref="L5:Q5"/>
    <mergeCell ref="U5:V5"/>
    <mergeCell ref="B3:X3"/>
  </mergeCells>
  <pageMargins left="0.27559055118110237" right="0.27559055118110237" top="0.39370078740157483" bottom="7.874015748031496E-2" header="0.31496062992125984" footer="0.31496062992125984"/>
  <pageSetup scale="4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0"/>
  <sheetViews>
    <sheetView tabSelected="1" topLeftCell="B15" zoomScale="73" zoomScaleNormal="73" workbookViewId="0">
      <selection activeCell="X15" sqref="X1:X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27.5703125" style="67" customWidth="1"/>
    <col min="5" max="5" width="17.5703125" style="67" customWidth="1"/>
    <col min="6" max="6" width="19.5703125" style="67" customWidth="1"/>
    <col min="7" max="7" width="6.5703125" style="67" hidden="1" customWidth="1"/>
    <col min="8" max="8" width="10" style="67" hidden="1" customWidth="1"/>
    <col min="9" max="9" width="16.28515625" style="67" customWidth="1"/>
    <col min="10" max="10" width="14" style="67" customWidth="1"/>
    <col min="11" max="11" width="15.7109375" style="67" customWidth="1"/>
    <col min="12" max="12" width="13.140625" style="67" hidden="1" customWidth="1"/>
    <col min="13" max="15" width="14.28515625" style="67" hidden="1" customWidth="1"/>
    <col min="16" max="17" width="13.140625" style="67" hidden="1" customWidth="1"/>
    <col min="18" max="18" width="10.5703125" style="67" hidden="1" customWidth="1"/>
    <col min="19" max="20" width="13.140625" style="67" hidden="1" customWidth="1"/>
    <col min="21" max="21" width="11.5703125" style="67" hidden="1" customWidth="1"/>
    <col min="22" max="22" width="9.7109375" style="67" customWidth="1"/>
    <col min="23" max="23" width="14.42578125" style="67" customWidth="1"/>
    <col min="24" max="24" width="13" style="67" customWidth="1"/>
    <col min="25" max="25" width="15.85546875" style="67" customWidth="1"/>
    <col min="26" max="26" width="50" style="67" customWidth="1"/>
    <col min="27" max="16384" width="11.42578125" style="67"/>
  </cols>
  <sheetData>
    <row r="1" spans="1:26" ht="18" x14ac:dyDescent="0.25">
      <c r="A1" s="297" t="s">
        <v>76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9.5" x14ac:dyDescent="0.25">
      <c r="A3" s="288" t="s">
        <v>323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5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x14ac:dyDescent="0.2">
      <c r="A6" s="68"/>
      <c r="B6" s="68"/>
      <c r="C6" s="68"/>
      <c r="D6" s="68"/>
      <c r="E6" s="68"/>
      <c r="F6" s="68"/>
      <c r="G6" s="69" t="s">
        <v>22</v>
      </c>
      <c r="H6" s="69" t="s">
        <v>5</v>
      </c>
      <c r="I6" s="324" t="s">
        <v>1</v>
      </c>
      <c r="J6" s="325"/>
      <c r="K6" s="326"/>
      <c r="L6" s="70" t="s">
        <v>25</v>
      </c>
      <c r="M6" s="71"/>
      <c r="N6" s="327" t="s">
        <v>8</v>
      </c>
      <c r="O6" s="328"/>
      <c r="P6" s="328"/>
      <c r="Q6" s="328"/>
      <c r="R6" s="328"/>
      <c r="S6" s="329"/>
      <c r="T6" s="70" t="s">
        <v>29</v>
      </c>
      <c r="U6" s="70" t="s">
        <v>9</v>
      </c>
      <c r="V6" s="69" t="s">
        <v>52</v>
      </c>
      <c r="W6" s="330" t="s">
        <v>2</v>
      </c>
      <c r="X6" s="331"/>
      <c r="Y6" s="69" t="s">
        <v>0</v>
      </c>
      <c r="Z6" s="72"/>
    </row>
    <row r="7" spans="1:26" ht="22.5" x14ac:dyDescent="0.2">
      <c r="A7" s="73" t="s">
        <v>20</v>
      </c>
      <c r="B7" s="74" t="s">
        <v>100</v>
      </c>
      <c r="C7" s="74" t="s">
        <v>114</v>
      </c>
      <c r="D7" s="73" t="s">
        <v>21</v>
      </c>
      <c r="E7" s="73"/>
      <c r="F7" s="73"/>
      <c r="G7" s="75" t="s">
        <v>23</v>
      </c>
      <c r="H7" s="73" t="s">
        <v>24</v>
      </c>
      <c r="I7" s="69" t="s">
        <v>5</v>
      </c>
      <c r="J7" s="69" t="s">
        <v>57</v>
      </c>
      <c r="K7" s="69" t="s">
        <v>27</v>
      </c>
      <c r="L7" s="76" t="s">
        <v>26</v>
      </c>
      <c r="M7" s="71" t="s">
        <v>31</v>
      </c>
      <c r="N7" s="71" t="s">
        <v>11</v>
      </c>
      <c r="O7" s="71" t="s">
        <v>33</v>
      </c>
      <c r="P7" s="71" t="s">
        <v>35</v>
      </c>
      <c r="Q7" s="71" t="s">
        <v>36</v>
      </c>
      <c r="R7" s="71" t="s">
        <v>13</v>
      </c>
      <c r="S7" s="71" t="s">
        <v>9</v>
      </c>
      <c r="T7" s="76" t="s">
        <v>39</v>
      </c>
      <c r="U7" s="76" t="s">
        <v>40</v>
      </c>
      <c r="V7" s="73" t="s">
        <v>30</v>
      </c>
      <c r="W7" s="23" t="s">
        <v>294</v>
      </c>
      <c r="X7" s="69" t="s">
        <v>6</v>
      </c>
      <c r="Y7" s="73" t="s">
        <v>3</v>
      </c>
      <c r="Z7" s="77" t="s">
        <v>56</v>
      </c>
    </row>
    <row r="8" spans="1:26" x14ac:dyDescent="0.2">
      <c r="A8" s="78"/>
      <c r="B8" s="73"/>
      <c r="C8" s="73"/>
      <c r="D8" s="73"/>
      <c r="E8" s="73"/>
      <c r="F8" s="73"/>
      <c r="G8" s="73"/>
      <c r="H8" s="73"/>
      <c r="I8" s="73" t="s">
        <v>46</v>
      </c>
      <c r="J8" s="73" t="s">
        <v>58</v>
      </c>
      <c r="K8" s="73" t="s">
        <v>28</v>
      </c>
      <c r="L8" s="76" t="s">
        <v>42</v>
      </c>
      <c r="M8" s="70" t="s">
        <v>32</v>
      </c>
      <c r="N8" s="70" t="s">
        <v>12</v>
      </c>
      <c r="O8" s="70" t="s">
        <v>34</v>
      </c>
      <c r="P8" s="70" t="s">
        <v>34</v>
      </c>
      <c r="Q8" s="70" t="s">
        <v>37</v>
      </c>
      <c r="R8" s="70" t="s">
        <v>14</v>
      </c>
      <c r="S8" s="70" t="s">
        <v>38</v>
      </c>
      <c r="T8" s="76" t="s">
        <v>18</v>
      </c>
      <c r="U8" s="79" t="s">
        <v>128</v>
      </c>
      <c r="V8" s="73" t="s">
        <v>51</v>
      </c>
      <c r="W8" s="73"/>
      <c r="X8" s="73" t="s">
        <v>43</v>
      </c>
      <c r="Y8" s="73" t="s">
        <v>4</v>
      </c>
      <c r="Z8" s="80"/>
    </row>
    <row r="9" spans="1:26" ht="54" x14ac:dyDescent="0.25">
      <c r="A9" s="81"/>
      <c r="B9" s="82"/>
      <c r="C9" s="82"/>
      <c r="D9" s="196" t="s">
        <v>135</v>
      </c>
      <c r="E9" s="100" t="s">
        <v>314</v>
      </c>
      <c r="F9" s="83" t="s">
        <v>60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4"/>
    </row>
    <row r="10" spans="1:26" ht="96" customHeight="1" x14ac:dyDescent="0.25">
      <c r="A10" s="212"/>
      <c r="B10" s="152" t="s">
        <v>284</v>
      </c>
      <c r="C10" s="152" t="s">
        <v>113</v>
      </c>
      <c r="D10" s="194" t="s">
        <v>282</v>
      </c>
      <c r="E10" s="226">
        <v>44730</v>
      </c>
      <c r="F10" s="154" t="s">
        <v>283</v>
      </c>
      <c r="G10" s="155"/>
      <c r="H10" s="156"/>
      <c r="I10" s="157">
        <v>9547</v>
      </c>
      <c r="J10" s="158">
        <v>0</v>
      </c>
      <c r="K10" s="159">
        <f t="shared" ref="K10" si="0">SUM(I10:J10)</f>
        <v>9547</v>
      </c>
      <c r="L10" s="160">
        <f t="shared" ref="L10" si="1">IF(I10/15&lt;=SMG,0,J10/2)</f>
        <v>0</v>
      </c>
      <c r="M10" s="160">
        <f t="shared" ref="M10" si="2">I10+L10</f>
        <v>9547</v>
      </c>
      <c r="N10" s="160">
        <f t="shared" ref="N10:N18" si="3">VLOOKUP(M10,Tarifa1,1)</f>
        <v>7641.91</v>
      </c>
      <c r="O10" s="160">
        <f>M10-N10</f>
        <v>1905.0900000000001</v>
      </c>
      <c r="P10" s="161">
        <f t="shared" ref="P10:P18" si="4">VLOOKUP(M10,Tarifa1,3)</f>
        <v>0.21360000000000001</v>
      </c>
      <c r="Q10" s="160">
        <f>O10*P10</f>
        <v>406.92722400000008</v>
      </c>
      <c r="R10" s="162">
        <f t="shared" ref="R10:R18" si="5">VLOOKUP(M10,Tarifa1,2)</f>
        <v>809.25</v>
      </c>
      <c r="S10" s="160">
        <f>Q10+R10</f>
        <v>1216.177224</v>
      </c>
      <c r="T10" s="160">
        <f t="shared" ref="T10:T18" si="6">VLOOKUP(M10,Credito1,2)</f>
        <v>0</v>
      </c>
      <c r="U10" s="160">
        <f>ROUND(S10-T10,2)</f>
        <v>1216.18</v>
      </c>
      <c r="V10" s="159">
        <f>-IF(U10&gt;0,0,U10)</f>
        <v>0</v>
      </c>
      <c r="W10" s="159">
        <f t="shared" ref="W10:W18" si="7">IF(I10/15&lt;=SMG,0,IF(U10&lt;0,0,U10))</f>
        <v>1216.18</v>
      </c>
      <c r="X10" s="159">
        <f>SUM(W10:W10)</f>
        <v>1216.18</v>
      </c>
      <c r="Y10" s="159">
        <f>K10+V10-X10</f>
        <v>8330.82</v>
      </c>
      <c r="Z10" s="209"/>
    </row>
    <row r="11" spans="1:26" s="93" customFormat="1" ht="96" customHeight="1" x14ac:dyDescent="0.25">
      <c r="A11" s="109"/>
      <c r="B11" s="152" t="s">
        <v>198</v>
      </c>
      <c r="C11" s="152" t="s">
        <v>113</v>
      </c>
      <c r="D11" s="194" t="s">
        <v>197</v>
      </c>
      <c r="E11" s="226">
        <v>43998</v>
      </c>
      <c r="F11" s="153" t="s">
        <v>133</v>
      </c>
      <c r="G11" s="155"/>
      <c r="H11" s="156"/>
      <c r="I11" s="157">
        <v>5767.5</v>
      </c>
      <c r="J11" s="158">
        <v>0</v>
      </c>
      <c r="K11" s="159">
        <f t="shared" ref="K11" si="8">SUM(I11:J11)</f>
        <v>5767.5</v>
      </c>
      <c r="L11" s="160">
        <f t="shared" ref="L11" si="9">IF(I11/15&lt;=SMG,0,J11/2)</f>
        <v>0</v>
      </c>
      <c r="M11" s="160">
        <f t="shared" ref="M11:M12" si="10">I11+L11</f>
        <v>5767.5</v>
      </c>
      <c r="N11" s="160">
        <f t="shared" si="3"/>
        <v>5490.76</v>
      </c>
      <c r="O11" s="160">
        <f t="shared" ref="O11:O18" si="11">M11-N11</f>
        <v>276.73999999999978</v>
      </c>
      <c r="P11" s="161">
        <f t="shared" si="4"/>
        <v>0.16</v>
      </c>
      <c r="Q11" s="160">
        <f t="shared" ref="Q11:Q18" si="12">O11*P11</f>
        <v>44.278399999999969</v>
      </c>
      <c r="R11" s="162">
        <f t="shared" si="5"/>
        <v>441</v>
      </c>
      <c r="S11" s="160">
        <f t="shared" ref="S11:S18" si="13">Q11+R11</f>
        <v>485.27839999999998</v>
      </c>
      <c r="T11" s="160">
        <f t="shared" si="6"/>
        <v>0</v>
      </c>
      <c r="U11" s="160">
        <f t="shared" ref="U11:U18" si="14">ROUND(S11-T11,2)</f>
        <v>485.28</v>
      </c>
      <c r="V11" s="159">
        <f t="shared" ref="V11:V18" si="15">-IF(U11&gt;0,0,U11)</f>
        <v>0</v>
      </c>
      <c r="W11" s="159">
        <f t="shared" si="7"/>
        <v>485.28</v>
      </c>
      <c r="X11" s="159">
        <f>SUM(W11:W11)</f>
        <v>485.28</v>
      </c>
      <c r="Y11" s="159">
        <f>K11+V11-X11</f>
        <v>5282.22</v>
      </c>
      <c r="Z11" s="92"/>
    </row>
    <row r="12" spans="1:26" s="93" customFormat="1" ht="96" customHeight="1" x14ac:dyDescent="0.25">
      <c r="A12" s="109"/>
      <c r="B12" s="152" t="s">
        <v>304</v>
      </c>
      <c r="C12" s="152" t="s">
        <v>113</v>
      </c>
      <c r="D12" s="194" t="s">
        <v>305</v>
      </c>
      <c r="E12" s="226">
        <v>44942</v>
      </c>
      <c r="F12" s="153" t="s">
        <v>133</v>
      </c>
      <c r="G12" s="155"/>
      <c r="H12" s="156"/>
      <c r="I12" s="157">
        <v>5210.41</v>
      </c>
      <c r="J12" s="158">
        <v>0</v>
      </c>
      <c r="K12" s="159">
        <f t="shared" ref="K12:K18" si="16">SUM(I12:J12)</f>
        <v>5210.41</v>
      </c>
      <c r="L12" s="160">
        <f>IF(I12/15&lt;=SMG,0,J12/2)</f>
        <v>0</v>
      </c>
      <c r="M12" s="160">
        <f t="shared" si="10"/>
        <v>5210.41</v>
      </c>
      <c r="N12" s="160">
        <f t="shared" si="3"/>
        <v>3124.36</v>
      </c>
      <c r="O12" s="160">
        <f t="shared" si="11"/>
        <v>2086.0499999999997</v>
      </c>
      <c r="P12" s="161">
        <f t="shared" si="4"/>
        <v>0.10879999999999999</v>
      </c>
      <c r="Q12" s="160">
        <f t="shared" si="12"/>
        <v>226.96223999999995</v>
      </c>
      <c r="R12" s="162">
        <f t="shared" si="5"/>
        <v>183.45</v>
      </c>
      <c r="S12" s="160">
        <f t="shared" si="13"/>
        <v>410.41223999999994</v>
      </c>
      <c r="T12" s="160">
        <f t="shared" si="6"/>
        <v>0</v>
      </c>
      <c r="U12" s="160">
        <f t="shared" si="14"/>
        <v>410.41</v>
      </c>
      <c r="V12" s="159">
        <f t="shared" si="15"/>
        <v>0</v>
      </c>
      <c r="W12" s="159">
        <f t="shared" si="7"/>
        <v>410.41</v>
      </c>
      <c r="X12" s="159">
        <f>SUM(W12:W12)</f>
        <v>410.41</v>
      </c>
      <c r="Y12" s="159">
        <f>K12+V12-X12</f>
        <v>4800</v>
      </c>
      <c r="Z12" s="92"/>
    </row>
    <row r="13" spans="1:26" s="93" customFormat="1" ht="96" customHeight="1" x14ac:dyDescent="0.25">
      <c r="A13" s="109"/>
      <c r="B13" s="152" t="s">
        <v>306</v>
      </c>
      <c r="C13" s="152" t="s">
        <v>113</v>
      </c>
      <c r="D13" s="194" t="s">
        <v>307</v>
      </c>
      <c r="E13" s="226">
        <v>44942</v>
      </c>
      <c r="F13" s="153" t="s">
        <v>133</v>
      </c>
      <c r="G13" s="155"/>
      <c r="H13" s="156"/>
      <c r="I13" s="157">
        <v>5210.41</v>
      </c>
      <c r="J13" s="158">
        <v>0</v>
      </c>
      <c r="K13" s="159">
        <f t="shared" si="16"/>
        <v>5210.41</v>
      </c>
      <c r="L13" s="160">
        <f>IF(I13/15&lt;=SMG,0,J13/2)</f>
        <v>0</v>
      </c>
      <c r="M13" s="160">
        <f t="shared" ref="M13" si="17">I13+L13</f>
        <v>5210.41</v>
      </c>
      <c r="N13" s="160">
        <f t="shared" si="3"/>
        <v>3124.36</v>
      </c>
      <c r="O13" s="160">
        <f t="shared" ref="O13" si="18">M13-N13</f>
        <v>2086.0499999999997</v>
      </c>
      <c r="P13" s="161">
        <f t="shared" si="4"/>
        <v>0.10879999999999999</v>
      </c>
      <c r="Q13" s="160">
        <f t="shared" ref="Q13" si="19">O13*P13</f>
        <v>226.96223999999995</v>
      </c>
      <c r="R13" s="162">
        <f t="shared" si="5"/>
        <v>183.45</v>
      </c>
      <c r="S13" s="160">
        <f t="shared" ref="S13" si="20">Q13+R13</f>
        <v>410.41223999999994</v>
      </c>
      <c r="T13" s="160">
        <f t="shared" si="6"/>
        <v>0</v>
      </c>
      <c r="U13" s="160">
        <f t="shared" ref="U13" si="21">ROUND(S13-T13,2)</f>
        <v>410.41</v>
      </c>
      <c r="V13" s="159">
        <f t="shared" ref="V13" si="22">-IF(U13&gt;0,0,U13)</f>
        <v>0</v>
      </c>
      <c r="W13" s="159">
        <f t="shared" si="7"/>
        <v>410.41</v>
      </c>
      <c r="X13" s="159">
        <f>SUM(W13:W13)</f>
        <v>410.41</v>
      </c>
      <c r="Y13" s="159">
        <f>K13+V13-X13</f>
        <v>4800</v>
      </c>
      <c r="Z13" s="92"/>
    </row>
    <row r="14" spans="1:26" s="93" customFormat="1" ht="96" customHeight="1" x14ac:dyDescent="0.25">
      <c r="A14" s="109"/>
      <c r="B14" s="152" t="s">
        <v>308</v>
      </c>
      <c r="C14" s="152" t="s">
        <v>113</v>
      </c>
      <c r="D14" s="194" t="s">
        <v>309</v>
      </c>
      <c r="E14" s="226">
        <v>44942</v>
      </c>
      <c r="F14" s="153" t="s">
        <v>133</v>
      </c>
      <c r="G14" s="155"/>
      <c r="H14" s="156"/>
      <c r="I14" s="157">
        <v>5210.41</v>
      </c>
      <c r="J14" s="158">
        <v>0</v>
      </c>
      <c r="K14" s="159">
        <f t="shared" si="16"/>
        <v>5210.41</v>
      </c>
      <c r="L14" s="160">
        <f>IF(I14/15&lt;=SMG,0,J14/2)</f>
        <v>0</v>
      </c>
      <c r="M14" s="160">
        <f t="shared" ref="M14" si="23">I14+L14</f>
        <v>5210.41</v>
      </c>
      <c r="N14" s="160">
        <f t="shared" si="3"/>
        <v>3124.36</v>
      </c>
      <c r="O14" s="160">
        <f t="shared" ref="O14" si="24">M14-N14</f>
        <v>2086.0499999999997</v>
      </c>
      <c r="P14" s="161">
        <f t="shared" si="4"/>
        <v>0.10879999999999999</v>
      </c>
      <c r="Q14" s="160">
        <f t="shared" ref="Q14" si="25">O14*P14</f>
        <v>226.96223999999995</v>
      </c>
      <c r="R14" s="162">
        <f t="shared" si="5"/>
        <v>183.45</v>
      </c>
      <c r="S14" s="160">
        <f t="shared" ref="S14" si="26">Q14+R14</f>
        <v>410.41223999999994</v>
      </c>
      <c r="T14" s="160">
        <f t="shared" si="6"/>
        <v>0</v>
      </c>
      <c r="U14" s="160">
        <f t="shared" ref="U14" si="27">ROUND(S14-T14,2)</f>
        <v>410.41</v>
      </c>
      <c r="V14" s="159">
        <f t="shared" ref="V14" si="28">-IF(U14&gt;0,0,U14)</f>
        <v>0</v>
      </c>
      <c r="W14" s="159">
        <f t="shared" si="7"/>
        <v>410.41</v>
      </c>
      <c r="X14" s="159">
        <f>SUM(W14:W14)</f>
        <v>410.41</v>
      </c>
      <c r="Y14" s="159">
        <f>K14+V14-X14</f>
        <v>4800</v>
      </c>
      <c r="Z14" s="92"/>
    </row>
    <row r="15" spans="1:26" s="93" customFormat="1" ht="96" customHeight="1" x14ac:dyDescent="0.25">
      <c r="A15" s="109"/>
      <c r="B15" s="152" t="s">
        <v>310</v>
      </c>
      <c r="C15" s="152" t="s">
        <v>113</v>
      </c>
      <c r="D15" s="194" t="s">
        <v>311</v>
      </c>
      <c r="E15" s="226">
        <v>44942</v>
      </c>
      <c r="F15" s="153" t="s">
        <v>133</v>
      </c>
      <c r="G15" s="155"/>
      <c r="H15" s="156"/>
      <c r="I15" s="157">
        <v>5210.41</v>
      </c>
      <c r="J15" s="158">
        <v>0</v>
      </c>
      <c r="K15" s="159">
        <f t="shared" si="16"/>
        <v>5210.41</v>
      </c>
      <c r="L15" s="160">
        <f>IF(I15/15&lt;=SMG,0,J15/2)</f>
        <v>0</v>
      </c>
      <c r="M15" s="160">
        <f t="shared" ref="M15:M16" si="29">I15+L15</f>
        <v>5210.41</v>
      </c>
      <c r="N15" s="160">
        <f t="shared" si="3"/>
        <v>3124.36</v>
      </c>
      <c r="O15" s="160">
        <f t="shared" ref="O15:O16" si="30">M15-N15</f>
        <v>2086.0499999999997</v>
      </c>
      <c r="P15" s="161">
        <f t="shared" si="4"/>
        <v>0.10879999999999999</v>
      </c>
      <c r="Q15" s="160">
        <f t="shared" ref="Q15:Q16" si="31">O15*P15</f>
        <v>226.96223999999995</v>
      </c>
      <c r="R15" s="162">
        <f t="shared" si="5"/>
        <v>183.45</v>
      </c>
      <c r="S15" s="160">
        <f t="shared" ref="S15:S16" si="32">Q15+R15</f>
        <v>410.41223999999994</v>
      </c>
      <c r="T15" s="160">
        <f t="shared" si="6"/>
        <v>0</v>
      </c>
      <c r="U15" s="160">
        <f t="shared" ref="U15:U16" si="33">ROUND(S15-T15,2)</f>
        <v>410.41</v>
      </c>
      <c r="V15" s="159">
        <f t="shared" ref="V15:V16" si="34">-IF(U15&gt;0,0,U15)</f>
        <v>0</v>
      </c>
      <c r="W15" s="159">
        <f t="shared" si="7"/>
        <v>410.41</v>
      </c>
      <c r="X15" s="159">
        <f>SUM(W15:W15)</f>
        <v>410.41</v>
      </c>
      <c r="Y15" s="159">
        <f>K15+V15-X15</f>
        <v>4800</v>
      </c>
      <c r="Z15" s="92"/>
    </row>
    <row r="16" spans="1:26" s="93" customFormat="1" ht="96" customHeight="1" x14ac:dyDescent="0.25">
      <c r="A16" s="109"/>
      <c r="B16" s="152" t="s">
        <v>312</v>
      </c>
      <c r="C16" s="152" t="s">
        <v>113</v>
      </c>
      <c r="D16" s="194" t="s">
        <v>313</v>
      </c>
      <c r="E16" s="226">
        <v>44942</v>
      </c>
      <c r="F16" s="153" t="s">
        <v>133</v>
      </c>
      <c r="G16" s="155"/>
      <c r="H16" s="156"/>
      <c r="I16" s="157">
        <v>5210.41</v>
      </c>
      <c r="J16" s="158">
        <v>0</v>
      </c>
      <c r="K16" s="159">
        <f t="shared" si="16"/>
        <v>5210.41</v>
      </c>
      <c r="L16" s="160">
        <f>IF(I16/15&lt;=SMG,0,J16/2)</f>
        <v>0</v>
      </c>
      <c r="M16" s="160">
        <f t="shared" si="29"/>
        <v>5210.41</v>
      </c>
      <c r="N16" s="160">
        <f t="shared" si="3"/>
        <v>3124.36</v>
      </c>
      <c r="O16" s="160">
        <f t="shared" si="30"/>
        <v>2086.0499999999997</v>
      </c>
      <c r="P16" s="161">
        <f t="shared" si="4"/>
        <v>0.10879999999999999</v>
      </c>
      <c r="Q16" s="160">
        <f t="shared" si="31"/>
        <v>226.96223999999995</v>
      </c>
      <c r="R16" s="162">
        <f t="shared" si="5"/>
        <v>183.45</v>
      </c>
      <c r="S16" s="160">
        <f t="shared" si="32"/>
        <v>410.41223999999994</v>
      </c>
      <c r="T16" s="160">
        <f t="shared" si="6"/>
        <v>0</v>
      </c>
      <c r="U16" s="160">
        <f t="shared" si="33"/>
        <v>410.41</v>
      </c>
      <c r="V16" s="159">
        <f t="shared" si="34"/>
        <v>0</v>
      </c>
      <c r="W16" s="159">
        <f t="shared" si="7"/>
        <v>410.41</v>
      </c>
      <c r="X16" s="159">
        <f>SUM(W16:W16)</f>
        <v>410.41</v>
      </c>
      <c r="Y16" s="159">
        <f>K16+V16-X16</f>
        <v>4800</v>
      </c>
      <c r="Z16" s="92"/>
    </row>
    <row r="17" spans="1:26" s="93" customFormat="1" ht="96" customHeight="1" x14ac:dyDescent="0.25">
      <c r="A17" s="109" t="s">
        <v>90</v>
      </c>
      <c r="B17" s="152" t="s">
        <v>137</v>
      </c>
      <c r="C17" s="152" t="s">
        <v>153</v>
      </c>
      <c r="D17" s="194" t="s">
        <v>132</v>
      </c>
      <c r="E17" s="226">
        <v>43101</v>
      </c>
      <c r="F17" s="154" t="s">
        <v>134</v>
      </c>
      <c r="G17" s="155">
        <v>15</v>
      </c>
      <c r="H17" s="156">
        <f>I17/G17</f>
        <v>308.26666666666665</v>
      </c>
      <c r="I17" s="157">
        <v>4624</v>
      </c>
      <c r="J17" s="158">
        <v>616.54</v>
      </c>
      <c r="K17" s="159">
        <f t="shared" si="16"/>
        <v>5240.54</v>
      </c>
      <c r="L17" s="160">
        <f t="shared" ref="L17:L18" si="35">IF(I17/15&lt;=SMG,0,J17/2)</f>
        <v>308.27</v>
      </c>
      <c r="M17" s="160">
        <f t="shared" ref="M17:M18" si="36">I17+L17</f>
        <v>4932.2700000000004</v>
      </c>
      <c r="N17" s="160">
        <f t="shared" si="3"/>
        <v>3124.36</v>
      </c>
      <c r="O17" s="160">
        <f t="shared" si="11"/>
        <v>1807.9100000000003</v>
      </c>
      <c r="P17" s="161">
        <f t="shared" si="4"/>
        <v>0.10879999999999999</v>
      </c>
      <c r="Q17" s="160">
        <f t="shared" si="12"/>
        <v>196.70060800000002</v>
      </c>
      <c r="R17" s="162">
        <f t="shared" si="5"/>
        <v>183.45</v>
      </c>
      <c r="S17" s="160">
        <f t="shared" si="13"/>
        <v>380.15060800000003</v>
      </c>
      <c r="T17" s="160">
        <f t="shared" si="6"/>
        <v>0</v>
      </c>
      <c r="U17" s="160">
        <f t="shared" si="14"/>
        <v>380.15</v>
      </c>
      <c r="V17" s="159">
        <f t="shared" si="15"/>
        <v>0</v>
      </c>
      <c r="W17" s="159">
        <f t="shared" si="7"/>
        <v>380.15</v>
      </c>
      <c r="X17" s="159">
        <f>SUM(W17:W17)</f>
        <v>380.15</v>
      </c>
      <c r="Y17" s="159">
        <f>K17+V17-X17</f>
        <v>4860.3900000000003</v>
      </c>
      <c r="Z17" s="92"/>
    </row>
    <row r="18" spans="1:26" s="93" customFormat="1" ht="96" customHeight="1" x14ac:dyDescent="0.25">
      <c r="A18" s="193"/>
      <c r="B18" s="152" t="s">
        <v>138</v>
      </c>
      <c r="C18" s="152" t="s">
        <v>113</v>
      </c>
      <c r="D18" s="194" t="s">
        <v>131</v>
      </c>
      <c r="E18" s="226">
        <v>43101</v>
      </c>
      <c r="F18" s="154" t="s">
        <v>134</v>
      </c>
      <c r="G18" s="155">
        <v>15</v>
      </c>
      <c r="H18" s="156">
        <f>I18/G18</f>
        <v>308.26666666666665</v>
      </c>
      <c r="I18" s="157">
        <v>4624</v>
      </c>
      <c r="J18" s="158">
        <v>0</v>
      </c>
      <c r="K18" s="159">
        <f t="shared" si="16"/>
        <v>4624</v>
      </c>
      <c r="L18" s="160">
        <f t="shared" si="35"/>
        <v>0</v>
      </c>
      <c r="M18" s="160">
        <f t="shared" si="36"/>
        <v>4624</v>
      </c>
      <c r="N18" s="160">
        <f t="shared" si="3"/>
        <v>3124.36</v>
      </c>
      <c r="O18" s="160">
        <f t="shared" si="11"/>
        <v>1499.6399999999999</v>
      </c>
      <c r="P18" s="161">
        <f t="shared" si="4"/>
        <v>0.10879999999999999</v>
      </c>
      <c r="Q18" s="160">
        <f t="shared" si="12"/>
        <v>163.16083199999997</v>
      </c>
      <c r="R18" s="162">
        <f t="shared" si="5"/>
        <v>183.45</v>
      </c>
      <c r="S18" s="160">
        <f t="shared" si="13"/>
        <v>346.61083199999996</v>
      </c>
      <c r="T18" s="160">
        <f t="shared" si="6"/>
        <v>0</v>
      </c>
      <c r="U18" s="160">
        <f t="shared" si="14"/>
        <v>346.61</v>
      </c>
      <c r="V18" s="159">
        <f t="shared" si="15"/>
        <v>0</v>
      </c>
      <c r="W18" s="159">
        <f t="shared" si="7"/>
        <v>346.61</v>
      </c>
      <c r="X18" s="159">
        <f>SUM(W18:W18)</f>
        <v>346.61</v>
      </c>
      <c r="Y18" s="159">
        <f>K18+V18-X18</f>
        <v>4277.3900000000003</v>
      </c>
      <c r="Z18" s="92"/>
    </row>
    <row r="19" spans="1:26" ht="40.5" customHeight="1" thickBot="1" x14ac:dyDescent="0.3">
      <c r="A19" s="284" t="s">
        <v>44</v>
      </c>
      <c r="B19" s="285"/>
      <c r="C19" s="285"/>
      <c r="D19" s="285"/>
      <c r="E19" s="285"/>
      <c r="F19" s="285"/>
      <c r="G19" s="285"/>
      <c r="H19" s="286"/>
      <c r="I19" s="163">
        <f>SUM(I10:I18)</f>
        <v>50614.55</v>
      </c>
      <c r="J19" s="163">
        <f>SUM(J10:J18)</f>
        <v>616.54</v>
      </c>
      <c r="K19" s="163">
        <f t="shared" ref="K19:V19" si="37">SUM(K11:K18)</f>
        <v>41684.089999999997</v>
      </c>
      <c r="L19" s="164">
        <f t="shared" si="37"/>
        <v>308.27</v>
      </c>
      <c r="M19" s="164">
        <f t="shared" si="37"/>
        <v>41375.82</v>
      </c>
      <c r="N19" s="164">
        <f t="shared" si="37"/>
        <v>27361.280000000002</v>
      </c>
      <c r="O19" s="164">
        <f t="shared" si="37"/>
        <v>14014.539999999997</v>
      </c>
      <c r="P19" s="164">
        <f t="shared" si="37"/>
        <v>0.92159999999999997</v>
      </c>
      <c r="Q19" s="164">
        <f t="shared" si="37"/>
        <v>1538.9510399999999</v>
      </c>
      <c r="R19" s="164">
        <f t="shared" si="37"/>
        <v>1725.1500000000003</v>
      </c>
      <c r="S19" s="164">
        <f t="shared" si="37"/>
        <v>3264.1010399999996</v>
      </c>
      <c r="T19" s="164">
        <f t="shared" si="37"/>
        <v>0</v>
      </c>
      <c r="U19" s="164">
        <f t="shared" si="37"/>
        <v>3264.09</v>
      </c>
      <c r="V19" s="163">
        <f t="shared" si="37"/>
        <v>0</v>
      </c>
      <c r="W19" s="163">
        <f>SUM(W10:W18)</f>
        <v>4480.2699999999986</v>
      </c>
      <c r="X19" s="163">
        <f>SUM(X10:X18)</f>
        <v>4480.2699999999986</v>
      </c>
      <c r="Y19" s="163">
        <f>SUM(Y10:Y18)</f>
        <v>46750.82</v>
      </c>
    </row>
    <row r="20" spans="1:26" ht="18.75" thickTop="1" x14ac:dyDescent="0.2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</sheetData>
  <mergeCells count="7">
    <mergeCell ref="A19:H19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Y37"/>
  <sheetViews>
    <sheetView topLeftCell="C1" zoomScale="78" zoomScaleNormal="78" workbookViewId="0">
      <pane ySplit="1" topLeftCell="A2" activePane="bottomLeft" state="frozen"/>
      <selection activeCell="B1" sqref="B1"/>
      <selection pane="bottomLeft"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85546875" customWidth="1"/>
    <col min="3" max="3" width="12.42578125" customWidth="1"/>
    <col min="4" max="4" width="37" customWidth="1"/>
    <col min="5" max="5" width="17.140625" customWidth="1"/>
    <col min="6" max="6" width="27.5703125" customWidth="1"/>
    <col min="7" max="7" width="6.42578125" hidden="1" customWidth="1"/>
    <col min="8" max="8" width="10" hidden="1" customWidth="1"/>
    <col min="9" max="9" width="13.42578125" customWidth="1"/>
    <col min="10" max="10" width="10.28515625" customWidth="1"/>
    <col min="11" max="11" width="14.42578125" bestFit="1" customWidth="1"/>
    <col min="12" max="12" width="11.7109375" hidden="1" customWidth="1"/>
    <col min="13" max="15" width="14.42578125" hidden="1" customWidth="1"/>
    <col min="16" max="16" width="13.42578125" hidden="1" customWidth="1"/>
    <col min="17" max="18" width="12.85546875" hidden="1" customWidth="1"/>
    <col min="19" max="19" width="14.42578125" hidden="1" customWidth="1"/>
    <col min="20" max="20" width="11" hidden="1" customWidth="1"/>
    <col min="21" max="21" width="14.42578125" hidden="1" customWidth="1"/>
    <col min="22" max="22" width="11" bestFit="1" customWidth="1"/>
    <col min="23" max="23" width="14.28515625" customWidth="1"/>
    <col min="24" max="24" width="13.85546875" customWidth="1"/>
    <col min="25" max="25" width="13.7109375" customWidth="1"/>
    <col min="26" max="26" width="75.140625" customWidth="1"/>
    <col min="27" max="27" width="1" customWidth="1"/>
  </cols>
  <sheetData>
    <row r="1" spans="1:32" ht="19.5" x14ac:dyDescent="0.25">
      <c r="A1" s="287" t="s">
        <v>76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</row>
    <row r="2" spans="1:32" ht="19.5" x14ac:dyDescent="0.25">
      <c r="A2" s="287" t="s">
        <v>63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32" ht="19.5" x14ac:dyDescent="0.25">
      <c r="A3" s="288" t="s">
        <v>323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25.5" customHeight="1" x14ac:dyDescent="0.2">
      <c r="A4" s="42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32" s="51" customFormat="1" ht="15.75" x14ac:dyDescent="0.25">
      <c r="A5" s="47"/>
      <c r="B5" s="119"/>
      <c r="C5" s="119"/>
      <c r="D5" s="119"/>
      <c r="E5" s="119"/>
      <c r="F5" s="267"/>
      <c r="G5" s="120" t="s">
        <v>22</v>
      </c>
      <c r="H5" s="270" t="s">
        <v>5</v>
      </c>
      <c r="I5" s="289" t="s">
        <v>1</v>
      </c>
      <c r="J5" s="290"/>
      <c r="K5" s="291"/>
      <c r="L5" s="121" t="s">
        <v>25</v>
      </c>
      <c r="M5" s="122"/>
      <c r="N5" s="292" t="s">
        <v>8</v>
      </c>
      <c r="O5" s="293"/>
      <c r="P5" s="293"/>
      <c r="Q5" s="293"/>
      <c r="R5" s="293"/>
      <c r="S5" s="294"/>
      <c r="T5" s="121" t="s">
        <v>52</v>
      </c>
      <c r="U5" s="121" t="s">
        <v>9</v>
      </c>
      <c r="V5" s="120" t="s">
        <v>52</v>
      </c>
      <c r="W5" s="295" t="s">
        <v>2</v>
      </c>
      <c r="X5" s="296"/>
      <c r="Y5" s="120" t="s">
        <v>0</v>
      </c>
      <c r="Z5" s="47"/>
    </row>
    <row r="6" spans="1:32" s="51" customFormat="1" ht="29.25" customHeight="1" x14ac:dyDescent="0.25">
      <c r="A6" s="52" t="s">
        <v>20</v>
      </c>
      <c r="B6" s="123" t="s">
        <v>100</v>
      </c>
      <c r="C6" s="123" t="s">
        <v>122</v>
      </c>
      <c r="D6" s="124" t="s">
        <v>21</v>
      </c>
      <c r="E6" s="124"/>
      <c r="F6" s="268"/>
      <c r="G6" s="273" t="s">
        <v>23</v>
      </c>
      <c r="H6" s="271" t="s">
        <v>24</v>
      </c>
      <c r="I6" s="120" t="s">
        <v>5</v>
      </c>
      <c r="J6" s="120" t="s">
        <v>57</v>
      </c>
      <c r="K6" s="120" t="s">
        <v>27</v>
      </c>
      <c r="L6" s="125" t="s">
        <v>26</v>
      </c>
      <c r="M6" s="122" t="s">
        <v>31</v>
      </c>
      <c r="N6" s="122" t="s">
        <v>11</v>
      </c>
      <c r="O6" s="122" t="s">
        <v>33</v>
      </c>
      <c r="P6" s="122" t="s">
        <v>35</v>
      </c>
      <c r="Q6" s="122" t="s">
        <v>36</v>
      </c>
      <c r="R6" s="122" t="s">
        <v>13</v>
      </c>
      <c r="S6" s="122" t="s">
        <v>9</v>
      </c>
      <c r="T6" s="125" t="s">
        <v>39</v>
      </c>
      <c r="U6" s="125" t="s">
        <v>40</v>
      </c>
      <c r="V6" s="124" t="s">
        <v>30</v>
      </c>
      <c r="W6" s="120" t="s">
        <v>294</v>
      </c>
      <c r="X6" s="120" t="s">
        <v>6</v>
      </c>
      <c r="Y6" s="124" t="s">
        <v>3</v>
      </c>
      <c r="Z6" s="52" t="s">
        <v>56</v>
      </c>
    </row>
    <row r="7" spans="1:32" s="51" customFormat="1" ht="15.75" x14ac:dyDescent="0.25">
      <c r="A7" s="60"/>
      <c r="B7" s="126"/>
      <c r="C7" s="126"/>
      <c r="D7" s="127"/>
      <c r="E7" s="127"/>
      <c r="F7" s="269"/>
      <c r="G7" s="127"/>
      <c r="H7" s="272"/>
      <c r="I7" s="127" t="s">
        <v>46</v>
      </c>
      <c r="J7" s="127" t="s">
        <v>58</v>
      </c>
      <c r="K7" s="127" t="s">
        <v>28</v>
      </c>
      <c r="L7" s="128" t="s">
        <v>42</v>
      </c>
      <c r="M7" s="121" t="s">
        <v>32</v>
      </c>
      <c r="N7" s="121" t="s">
        <v>12</v>
      </c>
      <c r="O7" s="121" t="s">
        <v>34</v>
      </c>
      <c r="P7" s="121" t="s">
        <v>34</v>
      </c>
      <c r="Q7" s="121" t="s">
        <v>37</v>
      </c>
      <c r="R7" s="121" t="s">
        <v>14</v>
      </c>
      <c r="S7" s="121" t="s">
        <v>38</v>
      </c>
      <c r="T7" s="125" t="s">
        <v>51</v>
      </c>
      <c r="U7" s="129" t="s">
        <v>212</v>
      </c>
      <c r="V7" s="127" t="s">
        <v>51</v>
      </c>
      <c r="W7" s="127"/>
      <c r="X7" s="127" t="s">
        <v>43</v>
      </c>
      <c r="Y7" s="127" t="s">
        <v>4</v>
      </c>
      <c r="Z7" s="57"/>
    </row>
    <row r="8" spans="1:32" s="51" customFormat="1" ht="43.5" customHeight="1" x14ac:dyDescent="0.25">
      <c r="A8" s="212"/>
      <c r="B8" s="230" t="s">
        <v>100</v>
      </c>
      <c r="C8" s="230" t="s">
        <v>122</v>
      </c>
      <c r="D8" s="231" t="s">
        <v>61</v>
      </c>
      <c r="E8" s="230" t="s">
        <v>315</v>
      </c>
      <c r="F8" s="212" t="s">
        <v>60</v>
      </c>
      <c r="G8" s="212"/>
      <c r="H8" s="212"/>
      <c r="I8" s="232">
        <f>SUM(I9:I11)</f>
        <v>47383</v>
      </c>
      <c r="J8" s="232">
        <f>SUM(J9:J11)</f>
        <v>0</v>
      </c>
      <c r="K8" s="232">
        <f>SUM(K9:K11)</f>
        <v>47383</v>
      </c>
      <c r="L8" s="212"/>
      <c r="M8" s="212"/>
      <c r="N8" s="212"/>
      <c r="O8" s="212"/>
      <c r="P8" s="212"/>
      <c r="Q8" s="212"/>
      <c r="R8" s="212"/>
      <c r="S8" s="212"/>
      <c r="T8" s="212"/>
      <c r="U8" s="233"/>
      <c r="V8" s="232">
        <f>SUM(V9:V11)</f>
        <v>0</v>
      </c>
      <c r="W8" s="232">
        <f>SUM(W9:W11)</f>
        <v>8222.0499999999993</v>
      </c>
      <c r="X8" s="232">
        <f>SUM(X9:X11)</f>
        <v>8222.0499999999993</v>
      </c>
      <c r="Y8" s="232">
        <f>SUM(Y9:Y11)</f>
        <v>39160.949999999997</v>
      </c>
      <c r="Z8" s="63"/>
    </row>
    <row r="9" spans="1:32" s="51" customFormat="1" ht="102.75" customHeight="1" x14ac:dyDescent="0.3">
      <c r="A9" s="152" t="s">
        <v>82</v>
      </c>
      <c r="B9" s="151" t="s">
        <v>205</v>
      </c>
      <c r="C9" s="152" t="s">
        <v>113</v>
      </c>
      <c r="D9" s="216" t="s">
        <v>206</v>
      </c>
      <c r="E9" s="221">
        <v>43374</v>
      </c>
      <c r="F9" s="154" t="s">
        <v>207</v>
      </c>
      <c r="G9" s="155">
        <v>15</v>
      </c>
      <c r="H9" s="156">
        <v>1677.25</v>
      </c>
      <c r="I9" s="157">
        <v>27705</v>
      </c>
      <c r="J9" s="158">
        <v>0</v>
      </c>
      <c r="K9" s="159">
        <f>SUM(I9:J9)</f>
        <v>27705</v>
      </c>
      <c r="L9" s="160">
        <f>IF(I9/15&lt;=SMG,0,J9/2)</f>
        <v>0</v>
      </c>
      <c r="M9" s="160">
        <f>I9+L9</f>
        <v>27705</v>
      </c>
      <c r="N9" s="160">
        <f>VLOOKUP(M9,Tarifa1,1)</f>
        <v>24292.66</v>
      </c>
      <c r="O9" s="160">
        <f>M9-N9</f>
        <v>3412.34</v>
      </c>
      <c r="P9" s="161">
        <f>VLOOKUP(M9,Tarifa1,3)</f>
        <v>0.3</v>
      </c>
      <c r="Q9" s="160">
        <f>O9*P9</f>
        <v>1023.702</v>
      </c>
      <c r="R9" s="162">
        <f>VLOOKUP(M9,Tarifa1,2)</f>
        <v>4557.75</v>
      </c>
      <c r="S9" s="160">
        <f>Q9+R9</f>
        <v>5581.4520000000002</v>
      </c>
      <c r="T9" s="160">
        <f>VLOOKUP(M9,Credito1,2)</f>
        <v>0</v>
      </c>
      <c r="U9" s="160">
        <f>ROUND(S9-T9,2)</f>
        <v>5581.45</v>
      </c>
      <c r="V9" s="159">
        <f>-IF(U9&gt;0,0,U9)</f>
        <v>0</v>
      </c>
      <c r="W9" s="159">
        <f>IF(I9/15&lt;=SMG,0,IF(U9&lt;0,0,U9))</f>
        <v>5581.45</v>
      </c>
      <c r="X9" s="159">
        <f>SUM(W9:W9)</f>
        <v>5581.45</v>
      </c>
      <c r="Y9" s="159">
        <f>K9+V9-X9</f>
        <v>22123.55</v>
      </c>
      <c r="Z9" s="58"/>
    </row>
    <row r="10" spans="1:32" s="51" customFormat="1" ht="102.75" customHeight="1" x14ac:dyDescent="0.3">
      <c r="A10" s="152" t="s">
        <v>83</v>
      </c>
      <c r="B10" s="151" t="s">
        <v>159</v>
      </c>
      <c r="C10" s="152" t="s">
        <v>113</v>
      </c>
      <c r="D10" s="216" t="s">
        <v>150</v>
      </c>
      <c r="E10" s="221">
        <v>43101</v>
      </c>
      <c r="F10" s="154" t="s">
        <v>208</v>
      </c>
      <c r="G10" s="155">
        <v>15</v>
      </c>
      <c r="H10" s="156">
        <v>850.15</v>
      </c>
      <c r="I10" s="157">
        <v>14043</v>
      </c>
      <c r="J10" s="158">
        <v>0</v>
      </c>
      <c r="K10" s="159">
        <f>SUM(I10:J10)</f>
        <v>14043</v>
      </c>
      <c r="L10" s="160">
        <f>IF(I10/15&lt;=SMG,0,J10/2)</f>
        <v>0</v>
      </c>
      <c r="M10" s="160">
        <f t="shared" ref="M10" si="0">I10+L10</f>
        <v>14043</v>
      </c>
      <c r="N10" s="160">
        <f>VLOOKUP(M10,Tarifa1,1)</f>
        <v>7641.91</v>
      </c>
      <c r="O10" s="160">
        <f t="shared" ref="O10" si="1">M10-N10</f>
        <v>6401.09</v>
      </c>
      <c r="P10" s="161">
        <f>VLOOKUP(M10,Tarifa1,3)</f>
        <v>0.21360000000000001</v>
      </c>
      <c r="Q10" s="160">
        <f t="shared" ref="Q10" si="2">O10*P10</f>
        <v>1367.2728240000001</v>
      </c>
      <c r="R10" s="162">
        <f>VLOOKUP(M10,Tarifa1,2)</f>
        <v>809.25</v>
      </c>
      <c r="S10" s="160">
        <f t="shared" ref="S10" si="3">Q10+R10</f>
        <v>2176.5228240000001</v>
      </c>
      <c r="T10" s="160">
        <f>VLOOKUP(M10,Credito1,2)</f>
        <v>0</v>
      </c>
      <c r="U10" s="160">
        <f t="shared" ref="U10" si="4">ROUND(S10-T10,2)</f>
        <v>2176.52</v>
      </c>
      <c r="V10" s="159">
        <f>-IF(U10&gt;0,0,U10)</f>
        <v>0</v>
      </c>
      <c r="W10" s="159">
        <f>IF(I10/15&lt;=SMG,0,IF(U10&lt;0,0,U10))</f>
        <v>2176.52</v>
      </c>
      <c r="X10" s="159">
        <f>SUM(W10:W10)</f>
        <v>2176.52</v>
      </c>
      <c r="Y10" s="159">
        <f>K10+V10-X10</f>
        <v>11866.48</v>
      </c>
      <c r="Z10" s="58"/>
      <c r="AF10" s="59"/>
    </row>
    <row r="11" spans="1:32" s="51" customFormat="1" ht="102.75" customHeight="1" x14ac:dyDescent="0.3">
      <c r="A11" s="152"/>
      <c r="B11" s="152" t="s">
        <v>106</v>
      </c>
      <c r="C11" s="151" t="s">
        <v>113</v>
      </c>
      <c r="D11" s="216" t="s">
        <v>64</v>
      </c>
      <c r="E11" s="221">
        <v>40026</v>
      </c>
      <c r="F11" s="153" t="s">
        <v>62</v>
      </c>
      <c r="G11" s="155">
        <v>15</v>
      </c>
      <c r="H11" s="156">
        <v>341.11</v>
      </c>
      <c r="I11" s="157">
        <v>5635</v>
      </c>
      <c r="J11" s="158">
        <v>0</v>
      </c>
      <c r="K11" s="159">
        <f>SUM(I11:J11)</f>
        <v>5635</v>
      </c>
      <c r="L11" s="160">
        <f>IF(I11/15&lt;=SMG,0,J11/2)</f>
        <v>0</v>
      </c>
      <c r="M11" s="160">
        <f t="shared" ref="M11" si="5">I11+L11</f>
        <v>5635</v>
      </c>
      <c r="N11" s="160">
        <f>VLOOKUP(M11,Tarifa1,1)</f>
        <v>5490.76</v>
      </c>
      <c r="O11" s="160">
        <f t="shared" ref="O11" si="6">M11-N11</f>
        <v>144.23999999999978</v>
      </c>
      <c r="P11" s="161">
        <f>VLOOKUP(M11,Tarifa1,3)</f>
        <v>0.16</v>
      </c>
      <c r="Q11" s="160">
        <f t="shared" ref="Q11" si="7">O11*P11</f>
        <v>23.078399999999966</v>
      </c>
      <c r="R11" s="162">
        <f>VLOOKUP(M11,Tarifa1,2)</f>
        <v>441</v>
      </c>
      <c r="S11" s="160">
        <f t="shared" ref="S11" si="8">Q11+R11</f>
        <v>464.07839999999999</v>
      </c>
      <c r="T11" s="160">
        <f>VLOOKUP(M11,Credito1,2)</f>
        <v>0</v>
      </c>
      <c r="U11" s="160">
        <f t="shared" ref="U11" si="9">ROUND(S11-T11,2)</f>
        <v>464.08</v>
      </c>
      <c r="V11" s="159">
        <f>-IF(U11&gt;0,0,U11)</f>
        <v>0</v>
      </c>
      <c r="W11" s="159">
        <f>IF(I11/15&lt;=SMG,0,IF(U11&lt;0,0,U11))</f>
        <v>464.08</v>
      </c>
      <c r="X11" s="159">
        <f>SUM(W11:W11)</f>
        <v>464.08</v>
      </c>
      <c r="Y11" s="159">
        <f>K11+V11-X11</f>
        <v>5170.92</v>
      </c>
      <c r="Z11" s="58"/>
      <c r="AF11" s="59"/>
    </row>
    <row r="12" spans="1:32" s="51" customFormat="1" ht="44.25" customHeight="1" x14ac:dyDescent="0.25">
      <c r="A12" s="152"/>
      <c r="B12" s="230" t="s">
        <v>100</v>
      </c>
      <c r="C12" s="230" t="s">
        <v>122</v>
      </c>
      <c r="D12" s="245" t="s">
        <v>117</v>
      </c>
      <c r="E12" s="230" t="s">
        <v>315</v>
      </c>
      <c r="F12" s="212" t="s">
        <v>60</v>
      </c>
      <c r="G12" s="212"/>
      <c r="H12" s="212"/>
      <c r="I12" s="232">
        <f>SUM(I13)</f>
        <v>6309</v>
      </c>
      <c r="J12" s="232">
        <f>SUM(J13)</f>
        <v>0</v>
      </c>
      <c r="K12" s="232">
        <f>SUM(K13)</f>
        <v>6309</v>
      </c>
      <c r="L12" s="212"/>
      <c r="M12" s="212"/>
      <c r="N12" s="212"/>
      <c r="O12" s="212"/>
      <c r="P12" s="212"/>
      <c r="Q12" s="212"/>
      <c r="R12" s="234"/>
      <c r="S12" s="212"/>
      <c r="T12" s="212"/>
      <c r="U12" s="233"/>
      <c r="V12" s="232">
        <f>SUM(V13)</f>
        <v>0</v>
      </c>
      <c r="W12" s="232">
        <f>SUM(W13)</f>
        <v>571.91999999999996</v>
      </c>
      <c r="X12" s="232">
        <f>SUM(X13)</f>
        <v>571.91999999999996</v>
      </c>
      <c r="Y12" s="232">
        <f>SUM(Y13)</f>
        <v>5737.08</v>
      </c>
      <c r="Z12" s="63"/>
      <c r="AF12" s="59"/>
    </row>
    <row r="13" spans="1:32" s="51" customFormat="1" ht="102.75" customHeight="1" x14ac:dyDescent="0.3">
      <c r="A13" s="152" t="s">
        <v>84</v>
      </c>
      <c r="B13" s="152" t="s">
        <v>279</v>
      </c>
      <c r="C13" s="151" t="s">
        <v>113</v>
      </c>
      <c r="D13" s="216" t="s">
        <v>273</v>
      </c>
      <c r="E13" s="221">
        <v>44743</v>
      </c>
      <c r="F13" s="154" t="s">
        <v>96</v>
      </c>
      <c r="G13" s="155">
        <v>15</v>
      </c>
      <c r="H13" s="156">
        <v>381.95</v>
      </c>
      <c r="I13" s="157">
        <v>6309</v>
      </c>
      <c r="J13" s="158">
        <v>0</v>
      </c>
      <c r="K13" s="159">
        <f>I13</f>
        <v>6309</v>
      </c>
      <c r="L13" s="160">
        <f>IF(I13/15&lt;=SMG,0,J13/2)</f>
        <v>0</v>
      </c>
      <c r="M13" s="160">
        <f t="shared" ref="M13" si="10">I13+L13</f>
        <v>6309</v>
      </c>
      <c r="N13" s="160">
        <f>VLOOKUP(M13,Tarifa1,1)</f>
        <v>5490.76</v>
      </c>
      <c r="O13" s="160">
        <f t="shared" ref="O13" si="11">M13-N13</f>
        <v>818.23999999999978</v>
      </c>
      <c r="P13" s="161">
        <f>VLOOKUP(M13,Tarifa1,3)</f>
        <v>0.16</v>
      </c>
      <c r="Q13" s="160">
        <f t="shared" ref="Q13" si="12">O13*P13</f>
        <v>130.91839999999996</v>
      </c>
      <c r="R13" s="162">
        <f>VLOOKUP(M13,Tarifa1,2)</f>
        <v>441</v>
      </c>
      <c r="S13" s="160">
        <f t="shared" ref="S13" si="13">Q13+R13</f>
        <v>571.91840000000002</v>
      </c>
      <c r="T13" s="160">
        <f>VLOOKUP(M13,Credito1,2)</f>
        <v>0</v>
      </c>
      <c r="U13" s="160">
        <f t="shared" ref="U13" si="14">ROUND(S13-T13,2)</f>
        <v>571.91999999999996</v>
      </c>
      <c r="V13" s="159">
        <f>-IF(U13&gt;0,0,U13)</f>
        <v>0</v>
      </c>
      <c r="W13" s="159">
        <f>IF(I13/15&lt;=SMG,0,IF(U13&lt;0,0,U13))</f>
        <v>571.91999999999996</v>
      </c>
      <c r="X13" s="159">
        <f>SUM(W13:W13)</f>
        <v>571.91999999999996</v>
      </c>
      <c r="Y13" s="159">
        <f>K13+V13-X13</f>
        <v>5737.08</v>
      </c>
      <c r="Z13" s="58"/>
      <c r="AF13" s="59"/>
    </row>
    <row r="14" spans="1:32" s="51" customFormat="1" ht="44.25" customHeight="1" x14ac:dyDescent="0.25">
      <c r="A14" s="152"/>
      <c r="B14" s="230" t="s">
        <v>100</v>
      </c>
      <c r="C14" s="230" t="s">
        <v>122</v>
      </c>
      <c r="D14" s="231" t="s">
        <v>118</v>
      </c>
      <c r="E14" s="230" t="s">
        <v>315</v>
      </c>
      <c r="F14" s="212" t="s">
        <v>60</v>
      </c>
      <c r="G14" s="212"/>
      <c r="H14" s="212"/>
      <c r="I14" s="232">
        <v>4896.5</v>
      </c>
      <c r="J14" s="232">
        <f>SUM(J15)</f>
        <v>0</v>
      </c>
      <c r="K14" s="232">
        <f>SUM(K15)</f>
        <v>5043</v>
      </c>
      <c r="L14" s="212"/>
      <c r="M14" s="212"/>
      <c r="N14" s="212"/>
      <c r="O14" s="212"/>
      <c r="P14" s="212"/>
      <c r="Q14" s="212"/>
      <c r="R14" s="234"/>
      <c r="S14" s="212"/>
      <c r="T14" s="212"/>
      <c r="U14" s="233"/>
      <c r="V14" s="232">
        <f>SUM(V15)</f>
        <v>0</v>
      </c>
      <c r="W14" s="232">
        <f>SUM(W15)</f>
        <v>392.2</v>
      </c>
      <c r="X14" s="232">
        <f>SUM(X15)</f>
        <v>392.2</v>
      </c>
      <c r="Y14" s="232">
        <f>SUM(Y15)</f>
        <v>4650.8</v>
      </c>
      <c r="Z14" s="63"/>
      <c r="AF14" s="59"/>
    </row>
    <row r="15" spans="1:32" s="51" customFormat="1" ht="102.75" customHeight="1" x14ac:dyDescent="0.3">
      <c r="A15" s="152" t="s">
        <v>86</v>
      </c>
      <c r="B15" s="152" t="s">
        <v>217</v>
      </c>
      <c r="C15" s="152" t="s">
        <v>113</v>
      </c>
      <c r="D15" s="216" t="s">
        <v>233</v>
      </c>
      <c r="E15" s="221">
        <v>44470</v>
      </c>
      <c r="F15" s="154" t="s">
        <v>277</v>
      </c>
      <c r="G15" s="155">
        <v>15</v>
      </c>
      <c r="H15" s="156">
        <v>305.35000000000002</v>
      </c>
      <c r="I15" s="157">
        <v>5043</v>
      </c>
      <c r="J15" s="158">
        <v>0</v>
      </c>
      <c r="K15" s="159">
        <f>SUM(I15:J15)</f>
        <v>5043</v>
      </c>
      <c r="L15" s="160">
        <f>IF(I15/15&lt;=SMG,0,J15/2)</f>
        <v>0</v>
      </c>
      <c r="M15" s="160">
        <f t="shared" ref="M15" si="15">I15+L15</f>
        <v>5043</v>
      </c>
      <c r="N15" s="160">
        <f>VLOOKUP(M15,Tarifa1,1)</f>
        <v>3124.36</v>
      </c>
      <c r="O15" s="160">
        <f t="shared" ref="O15" si="16">M15-N15</f>
        <v>1918.6399999999999</v>
      </c>
      <c r="P15" s="161">
        <f>VLOOKUP(M15,Tarifa1,3)</f>
        <v>0.10879999999999999</v>
      </c>
      <c r="Q15" s="160">
        <f t="shared" ref="Q15" si="17">O15*P15</f>
        <v>208.74803199999997</v>
      </c>
      <c r="R15" s="162">
        <f>VLOOKUP(M15,Tarifa1,2)</f>
        <v>183.45</v>
      </c>
      <c r="S15" s="160">
        <f t="shared" ref="S15" si="18">Q15+R15</f>
        <v>392.19803199999996</v>
      </c>
      <c r="T15" s="160">
        <f>VLOOKUP(M15,Credito1,2)</f>
        <v>0</v>
      </c>
      <c r="U15" s="160">
        <f t="shared" ref="U15" si="19">ROUND(S15-T15,2)</f>
        <v>392.2</v>
      </c>
      <c r="V15" s="159">
        <f t="shared" ref="V15" si="20">-IF(U15&gt;0,0,U15)</f>
        <v>0</v>
      </c>
      <c r="W15" s="159">
        <f>IF(I15/15&lt;=SMG,0,IF(U15&lt;0,0,U15))</f>
        <v>392.2</v>
      </c>
      <c r="X15" s="159">
        <f>SUM(W15:W15)</f>
        <v>392.2</v>
      </c>
      <c r="Y15" s="159">
        <f>K15+V15-X15</f>
        <v>4650.8</v>
      </c>
      <c r="Z15" s="58"/>
      <c r="AF15" s="64"/>
    </row>
    <row r="16" spans="1:32" s="51" customFormat="1" ht="43.5" customHeight="1" x14ac:dyDescent="0.25">
      <c r="A16" s="152"/>
      <c r="B16" s="230" t="s">
        <v>100</v>
      </c>
      <c r="C16" s="230" t="s">
        <v>122</v>
      </c>
      <c r="D16" s="231" t="s">
        <v>119</v>
      </c>
      <c r="E16" s="230" t="s">
        <v>315</v>
      </c>
      <c r="F16" s="212" t="s">
        <v>60</v>
      </c>
      <c r="G16" s="212"/>
      <c r="H16" s="212"/>
      <c r="I16" s="232">
        <f>SUM(I17:I18)</f>
        <v>14516.91</v>
      </c>
      <c r="J16" s="232">
        <f>SUM(J17:J18)</f>
        <v>0</v>
      </c>
      <c r="K16" s="232">
        <f>SUM(K17:K18)</f>
        <v>14516.91</v>
      </c>
      <c r="L16" s="212"/>
      <c r="M16" s="212"/>
      <c r="N16" s="212"/>
      <c r="O16" s="212"/>
      <c r="P16" s="212"/>
      <c r="Q16" s="212"/>
      <c r="R16" s="234"/>
      <c r="S16" s="212"/>
      <c r="T16" s="212"/>
      <c r="U16" s="233"/>
      <c r="V16" s="232">
        <f>SUM(V17:V18)</f>
        <v>0</v>
      </c>
      <c r="W16" s="232">
        <f>SUM(W17:W18)</f>
        <v>1716.3300000000002</v>
      </c>
      <c r="X16" s="232">
        <f>SUM(X17:X18)</f>
        <v>1716.3300000000002</v>
      </c>
      <c r="Y16" s="232">
        <f>SUM(Y17:Y18)</f>
        <v>12800.58</v>
      </c>
      <c r="Z16" s="63"/>
      <c r="AF16" s="64"/>
    </row>
    <row r="17" spans="1:3223" s="51" customFormat="1" ht="102.75" customHeight="1" x14ac:dyDescent="0.3">
      <c r="A17" s="152" t="s">
        <v>87</v>
      </c>
      <c r="B17" s="151" t="s">
        <v>155</v>
      </c>
      <c r="C17" s="152" t="s">
        <v>113</v>
      </c>
      <c r="D17" s="216" t="s">
        <v>140</v>
      </c>
      <c r="E17" s="221">
        <v>43374</v>
      </c>
      <c r="F17" s="154" t="s">
        <v>81</v>
      </c>
      <c r="G17" s="155">
        <v>15</v>
      </c>
      <c r="H17" s="156">
        <v>625.85200000000009</v>
      </c>
      <c r="I17" s="157">
        <v>10653</v>
      </c>
      <c r="J17" s="158">
        <v>0</v>
      </c>
      <c r="K17" s="159">
        <f>I17</f>
        <v>10653</v>
      </c>
      <c r="L17" s="160">
        <f>IF(I17/15&lt;=SMG,0,J17/2)</f>
        <v>0</v>
      </c>
      <c r="M17" s="160">
        <f t="shared" ref="M17:M18" si="21">I17+L17</f>
        <v>10653</v>
      </c>
      <c r="N17" s="160">
        <f>VLOOKUP(M17,Tarifa1,1)</f>
        <v>7641.91</v>
      </c>
      <c r="O17" s="160">
        <f t="shared" ref="O17:O18" si="22">M17-N17</f>
        <v>3011.09</v>
      </c>
      <c r="P17" s="161">
        <f>VLOOKUP(M17,Tarifa1,3)</f>
        <v>0.21360000000000001</v>
      </c>
      <c r="Q17" s="160">
        <f t="shared" ref="Q17:Q18" si="23">O17*P17</f>
        <v>643.16882400000009</v>
      </c>
      <c r="R17" s="162">
        <f>VLOOKUP(M17,Tarifa1,2)</f>
        <v>809.25</v>
      </c>
      <c r="S17" s="160">
        <f t="shared" ref="S17:S18" si="24">Q17+R17</f>
        <v>1452.4188240000001</v>
      </c>
      <c r="T17" s="160">
        <f>VLOOKUP(M17,Credito1,2)</f>
        <v>0</v>
      </c>
      <c r="U17" s="160">
        <f t="shared" ref="U17:U18" si="25">ROUND(S17-T17,2)</f>
        <v>1452.42</v>
      </c>
      <c r="V17" s="159">
        <f t="shared" ref="V17:V18" si="26">-IF(U17&gt;0,0,U17)</f>
        <v>0</v>
      </c>
      <c r="W17" s="159">
        <f>IF(I17/15&lt;=SMG,0,IF(U17&lt;0,0,U17))</f>
        <v>1452.42</v>
      </c>
      <c r="X17" s="159">
        <f>SUM(W17:W17)</f>
        <v>1452.42</v>
      </c>
      <c r="Y17" s="159">
        <f>K17+V17-X17</f>
        <v>9200.58</v>
      </c>
      <c r="Z17" s="58"/>
      <c r="AF17" s="64"/>
    </row>
    <row r="18" spans="1:3223" s="51" customFormat="1" ht="102.75" customHeight="1" x14ac:dyDescent="0.3">
      <c r="A18" s="266"/>
      <c r="B18" s="256" t="s">
        <v>317</v>
      </c>
      <c r="C18" s="165" t="s">
        <v>113</v>
      </c>
      <c r="D18" s="261" t="s">
        <v>318</v>
      </c>
      <c r="E18" s="257">
        <v>44991</v>
      </c>
      <c r="F18" s="258" t="s">
        <v>62</v>
      </c>
      <c r="G18" s="259">
        <v>10</v>
      </c>
      <c r="H18" s="260"/>
      <c r="I18" s="157">
        <v>3863.91</v>
      </c>
      <c r="J18" s="158">
        <v>0</v>
      </c>
      <c r="K18" s="159">
        <f>SUM(I18:J18)</f>
        <v>3863.91</v>
      </c>
      <c r="L18" s="160">
        <f>IF(I18/15&lt;=SMG,0,J18/2)</f>
        <v>0</v>
      </c>
      <c r="M18" s="160">
        <f t="shared" si="21"/>
        <v>3863.91</v>
      </c>
      <c r="N18" s="160">
        <f>VLOOKUP(M18,Tarifa1,1)</f>
        <v>3124.36</v>
      </c>
      <c r="O18" s="160">
        <f t="shared" si="22"/>
        <v>739.54999999999973</v>
      </c>
      <c r="P18" s="161">
        <f>VLOOKUP(M18,Tarifa1,3)</f>
        <v>0.10879999999999999</v>
      </c>
      <c r="Q18" s="160">
        <f t="shared" si="23"/>
        <v>80.463039999999964</v>
      </c>
      <c r="R18" s="162">
        <f>VLOOKUP(M18,Tarifa1,2)</f>
        <v>183.45</v>
      </c>
      <c r="S18" s="160">
        <f t="shared" si="24"/>
        <v>263.91303999999997</v>
      </c>
      <c r="T18" s="160">
        <f>VLOOKUP(M18,Credito1,2)</f>
        <v>0</v>
      </c>
      <c r="U18" s="160">
        <f t="shared" si="25"/>
        <v>263.91000000000003</v>
      </c>
      <c r="V18" s="159">
        <f t="shared" si="26"/>
        <v>0</v>
      </c>
      <c r="W18" s="159">
        <f>IF(I18/15&lt;=SMG,0,IF(U18&lt;0,0,U18))</f>
        <v>263.91000000000003</v>
      </c>
      <c r="X18" s="159">
        <f>SUM(W18:W18)</f>
        <v>263.91000000000003</v>
      </c>
      <c r="Y18" s="159">
        <f>K18+V18-X18</f>
        <v>3600</v>
      </c>
      <c r="Z18" s="56"/>
      <c r="AF18" s="64"/>
    </row>
    <row r="19" spans="1:3223" s="66" customFormat="1" ht="42" customHeight="1" x14ac:dyDescent="0.25">
      <c r="A19" s="152"/>
      <c r="B19" s="196" t="s">
        <v>100</v>
      </c>
      <c r="C19" s="196" t="s">
        <v>122</v>
      </c>
      <c r="D19" s="196" t="s">
        <v>120</v>
      </c>
      <c r="E19" s="196" t="s">
        <v>315</v>
      </c>
      <c r="F19" s="247" t="s">
        <v>60</v>
      </c>
      <c r="G19" s="247"/>
      <c r="H19" s="212"/>
      <c r="I19" s="232">
        <f>SUM(I20:I20)</f>
        <v>2954</v>
      </c>
      <c r="J19" s="232">
        <f>SUM(J20:J20)</f>
        <v>0</v>
      </c>
      <c r="K19" s="232">
        <f>SUM(K20:K20)</f>
        <v>2954</v>
      </c>
      <c r="L19" s="212"/>
      <c r="M19" s="212"/>
      <c r="N19" s="212"/>
      <c r="O19" s="212"/>
      <c r="P19" s="212"/>
      <c r="Q19" s="212"/>
      <c r="R19" s="234"/>
      <c r="S19" s="212"/>
      <c r="T19" s="212"/>
      <c r="U19" s="233"/>
      <c r="V19" s="232">
        <f>SUM(V20:V20)</f>
        <v>0</v>
      </c>
      <c r="W19" s="232">
        <f>SUM(W20:W20)</f>
        <v>0</v>
      </c>
      <c r="X19" s="232">
        <f>SUM(X20:X20)</f>
        <v>0</v>
      </c>
      <c r="Y19" s="232">
        <f>SUM(Y20:Y20)</f>
        <v>2954</v>
      </c>
      <c r="Z19" s="63"/>
      <c r="AA19" s="87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  <c r="DSY19" s="51"/>
    </row>
    <row r="20" spans="1:3223" s="66" customFormat="1" ht="102.75" customHeight="1" x14ac:dyDescent="0.3">
      <c r="A20" s="236"/>
      <c r="B20" s="152" t="s">
        <v>108</v>
      </c>
      <c r="C20" s="152" t="s">
        <v>113</v>
      </c>
      <c r="D20" s="218" t="s">
        <v>91</v>
      </c>
      <c r="E20" s="221">
        <v>42171</v>
      </c>
      <c r="F20" s="169" t="s">
        <v>147</v>
      </c>
      <c r="G20" s="167">
        <v>15</v>
      </c>
      <c r="H20" s="156">
        <v>178.81533333333334</v>
      </c>
      <c r="I20" s="157">
        <v>2954</v>
      </c>
      <c r="J20" s="158">
        <v>0</v>
      </c>
      <c r="K20" s="159">
        <f t="shared" ref="K20" si="27">SUM(I20:J20)</f>
        <v>2954</v>
      </c>
      <c r="L20" s="160">
        <f t="shared" ref="L20" si="28">IF(I20/15&lt;=SMG,0,J20/2)</f>
        <v>0</v>
      </c>
      <c r="M20" s="160">
        <f t="shared" ref="M20" si="29">I20+L20</f>
        <v>2954</v>
      </c>
      <c r="N20" s="160">
        <f>VLOOKUP(M20,Tarifa1,1)</f>
        <v>368.11</v>
      </c>
      <c r="O20" s="160">
        <f t="shared" ref="O20" si="30">M20-N20</f>
        <v>2585.89</v>
      </c>
      <c r="P20" s="161">
        <f>VLOOKUP(M20,Tarifa1,3)</f>
        <v>6.4000000000000001E-2</v>
      </c>
      <c r="Q20" s="160">
        <f t="shared" ref="Q20" si="31">O20*P20</f>
        <v>165.49696</v>
      </c>
      <c r="R20" s="162">
        <f>VLOOKUP(M20,Tarifa1,2)</f>
        <v>7.05</v>
      </c>
      <c r="S20" s="160">
        <f t="shared" ref="S20" si="32">Q20+R20</f>
        <v>172.54696000000001</v>
      </c>
      <c r="T20" s="160">
        <f>VLOOKUP(M20,Credito1,2)</f>
        <v>145.35</v>
      </c>
      <c r="U20" s="160">
        <f t="shared" ref="U20" si="33">ROUND(S20-T20,2)</f>
        <v>27.2</v>
      </c>
      <c r="V20" s="159">
        <f t="shared" ref="V20" si="34">-IF(U20&gt;0,0,U20)</f>
        <v>0</v>
      </c>
      <c r="W20" s="168">
        <f>IF(I20/15&lt;=SMG,0,IF(U20&lt;0,0,U20))</f>
        <v>0</v>
      </c>
      <c r="X20" s="159">
        <f>SUM(W20:W20)</f>
        <v>0</v>
      </c>
      <c r="Y20" s="168">
        <f>K20+V20-X20</f>
        <v>2954</v>
      </c>
      <c r="Z20" s="65"/>
      <c r="AA20" s="87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  <c r="DSY20" s="51"/>
    </row>
    <row r="21" spans="1:3223" s="51" customFormat="1" ht="21.75" customHeight="1" x14ac:dyDescent="0.25">
      <c r="A21" s="236"/>
      <c r="B21" s="237"/>
      <c r="C21" s="237"/>
      <c r="D21" s="238"/>
      <c r="E21" s="238"/>
      <c r="F21" s="238"/>
      <c r="G21" s="195"/>
      <c r="H21" s="239"/>
      <c r="I21" s="240"/>
      <c r="J21" s="241"/>
      <c r="K21" s="242"/>
      <c r="L21" s="243"/>
      <c r="M21" s="243"/>
      <c r="N21" s="243"/>
      <c r="O21" s="243"/>
      <c r="P21" s="244"/>
      <c r="Q21" s="243"/>
      <c r="R21" s="243"/>
      <c r="S21" s="243"/>
      <c r="T21" s="243"/>
      <c r="U21" s="243"/>
      <c r="V21" s="242"/>
      <c r="W21" s="242"/>
      <c r="X21" s="242"/>
      <c r="Y21" s="242"/>
      <c r="Z21" s="58"/>
    </row>
    <row r="22" spans="1:3223" s="51" customFormat="1" ht="41.25" customHeight="1" thickBot="1" x14ac:dyDescent="0.3">
      <c r="A22" s="284" t="s">
        <v>44</v>
      </c>
      <c r="B22" s="285"/>
      <c r="C22" s="285"/>
      <c r="D22" s="285"/>
      <c r="E22" s="285"/>
      <c r="F22" s="285"/>
      <c r="G22" s="285"/>
      <c r="H22" s="286"/>
      <c r="I22" s="163">
        <f>I8+I12+I14+I16+I19</f>
        <v>76059.41</v>
      </c>
      <c r="J22" s="163">
        <f>J8+J12+J14+J16+J19</f>
        <v>0</v>
      </c>
      <c r="K22" s="163">
        <f>K8+K12+K14+K16+K19</f>
        <v>76205.91</v>
      </c>
      <c r="L22" s="164">
        <f t="shared" ref="L22:U22" si="35">SUM(L9:L20)</f>
        <v>0</v>
      </c>
      <c r="M22" s="164">
        <f t="shared" si="35"/>
        <v>76205.91</v>
      </c>
      <c r="N22" s="164">
        <f t="shared" si="35"/>
        <v>57174.83</v>
      </c>
      <c r="O22" s="164">
        <f t="shared" si="35"/>
        <v>19031.079999999998</v>
      </c>
      <c r="P22" s="164">
        <f t="shared" si="35"/>
        <v>1.3288000000000002</v>
      </c>
      <c r="Q22" s="164">
        <f t="shared" si="35"/>
        <v>3642.8484799999997</v>
      </c>
      <c r="R22" s="164">
        <f t="shared" si="35"/>
        <v>7432.2</v>
      </c>
      <c r="S22" s="164">
        <f t="shared" si="35"/>
        <v>11075.048480000001</v>
      </c>
      <c r="T22" s="164">
        <f t="shared" si="35"/>
        <v>145.35</v>
      </c>
      <c r="U22" s="164">
        <f t="shared" si="35"/>
        <v>10929.7</v>
      </c>
      <c r="V22" s="163">
        <f>V8+V12+V14+V16+V19</f>
        <v>0</v>
      </c>
      <c r="W22" s="163">
        <f>W8+W12+W14+W16+W19</f>
        <v>10902.5</v>
      </c>
      <c r="X22" s="163">
        <f>X8+X12+X14+X16+X19</f>
        <v>10902.5</v>
      </c>
      <c r="Y22" s="163">
        <f>Y8+Y12+Y14+Y16+Y19</f>
        <v>65303.41</v>
      </c>
    </row>
    <row r="23" spans="1:3223" s="51" customFormat="1" ht="12" customHeight="1" thickTop="1" x14ac:dyDescent="0.2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3223" s="51" customFormat="1" ht="12" customHeight="1" x14ac:dyDescent="0.2"/>
    <row r="25" spans="1:3223" s="51" customFormat="1" ht="12" customHeight="1" x14ac:dyDescent="0.2"/>
    <row r="26" spans="1:3223" s="51" customFormat="1" ht="12" customHeight="1" x14ac:dyDescent="0.2"/>
    <row r="27" spans="1:3223" s="51" customFormat="1" ht="12" customHeight="1" x14ac:dyDescent="0.2"/>
    <row r="37" spans="11:11" x14ac:dyDescent="0.2">
      <c r="K37" s="4" t="s">
        <v>246</v>
      </c>
    </row>
  </sheetData>
  <mergeCells count="7">
    <mergeCell ref="A22:H22"/>
    <mergeCell ref="A1:Z1"/>
    <mergeCell ref="A2:Z2"/>
    <mergeCell ref="A3:Z3"/>
    <mergeCell ref="I5:K5"/>
    <mergeCell ref="N5:S5"/>
    <mergeCell ref="W5:X5"/>
  </mergeCells>
  <pageMargins left="0.27559055118110237" right="0.27559055118110237" top="0.74803149606299213" bottom="0.35433070866141736" header="0.31496062992125984" footer="0.31496062992125984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Z16"/>
  <sheetViews>
    <sheetView topLeftCell="D14" zoomScale="89" zoomScaleNormal="89" workbookViewId="0">
      <selection activeCell="X1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140625" customWidth="1"/>
    <col min="3" max="3" width="11.28515625" customWidth="1"/>
    <col min="4" max="4" width="25" customWidth="1"/>
    <col min="5" max="5" width="16.7109375" customWidth="1"/>
    <col min="6" max="6" width="18" customWidth="1"/>
    <col min="7" max="7" width="6.5703125" hidden="1" customWidth="1"/>
    <col min="8" max="8" width="7.28515625" hidden="1" customWidth="1"/>
    <col min="9" max="9" width="14.5703125" customWidth="1"/>
    <col min="10" max="10" width="10.85546875" customWidth="1"/>
    <col min="11" max="11" width="14.140625" customWidth="1"/>
    <col min="12" max="12" width="13.140625" hidden="1" customWidth="1"/>
    <col min="13" max="13" width="13.85546875" hidden="1" customWidth="1"/>
    <col min="14" max="14" width="13.5703125" hidden="1" customWidth="1"/>
    <col min="15" max="15" width="14" hidden="1" customWidth="1"/>
    <col min="16" max="17" width="13.140625" hidden="1" customWidth="1"/>
    <col min="18" max="18" width="10.5703125" hidden="1" customWidth="1"/>
    <col min="19" max="19" width="13" hidden="1" customWidth="1"/>
    <col min="20" max="20" width="13.140625" hidden="1" customWidth="1"/>
    <col min="21" max="21" width="15.42578125" hidden="1" customWidth="1"/>
    <col min="22" max="22" width="9.7109375" customWidth="1"/>
    <col min="23" max="23" width="14" customWidth="1"/>
    <col min="24" max="24" width="12.5703125" customWidth="1"/>
    <col min="25" max="25" width="14.28515625" customWidth="1"/>
    <col min="26" max="26" width="52.28515625" customWidth="1"/>
  </cols>
  <sheetData>
    <row r="1" spans="1:26" ht="18" x14ac:dyDescent="0.25">
      <c r="A1" s="297" t="s">
        <v>77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9.5" x14ac:dyDescent="0.25">
      <c r="A3" s="288" t="s">
        <v>323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203</v>
      </c>
      <c r="I6" s="298" t="s">
        <v>1</v>
      </c>
      <c r="J6" s="299"/>
      <c r="K6" s="300"/>
      <c r="L6" s="24" t="s">
        <v>25</v>
      </c>
      <c r="M6" s="25"/>
      <c r="N6" s="301" t="s">
        <v>8</v>
      </c>
      <c r="O6" s="302"/>
      <c r="P6" s="302"/>
      <c r="Q6" s="302"/>
      <c r="R6" s="302"/>
      <c r="S6" s="303"/>
      <c r="T6" s="24" t="s">
        <v>29</v>
      </c>
      <c r="U6" s="24" t="s">
        <v>9</v>
      </c>
      <c r="V6" s="23" t="s">
        <v>52</v>
      </c>
      <c r="W6" s="304" t="s">
        <v>2</v>
      </c>
      <c r="X6" s="305"/>
      <c r="Y6" s="23" t="s">
        <v>0</v>
      </c>
      <c r="Z6" s="34"/>
    </row>
    <row r="7" spans="1:26" ht="22.5" x14ac:dyDescent="0.2">
      <c r="A7" s="26" t="s">
        <v>20</v>
      </c>
      <c r="B7" s="44" t="s">
        <v>100</v>
      </c>
      <c r="C7" s="44" t="s">
        <v>114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11" t="s">
        <v>294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6" t="s">
        <v>46</v>
      </c>
      <c r="J8" s="26" t="s">
        <v>58</v>
      </c>
      <c r="K8" s="26" t="s">
        <v>28</v>
      </c>
      <c r="L8" s="28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6" t="s">
        <v>51</v>
      </c>
      <c r="W8" s="26"/>
      <c r="X8" s="26" t="s">
        <v>43</v>
      </c>
      <c r="Y8" s="26" t="s">
        <v>4</v>
      </c>
      <c r="Z8" s="35"/>
    </row>
    <row r="9" spans="1:26" ht="54" x14ac:dyDescent="0.25">
      <c r="A9" s="26"/>
      <c r="B9" s="196" t="s">
        <v>100</v>
      </c>
      <c r="C9" s="196" t="s">
        <v>122</v>
      </c>
      <c r="D9" s="245" t="s">
        <v>257</v>
      </c>
      <c r="E9" s="230" t="s">
        <v>315</v>
      </c>
      <c r="F9" s="212" t="s">
        <v>60</v>
      </c>
      <c r="G9" s="247"/>
      <c r="H9" s="212"/>
      <c r="I9" s="248">
        <f>I10</f>
        <v>10653</v>
      </c>
      <c r="J9" s="248">
        <f>J10</f>
        <v>0</v>
      </c>
      <c r="K9" s="248">
        <f>K10</f>
        <v>10653</v>
      </c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8">
        <f>V10</f>
        <v>0</v>
      </c>
      <c r="W9" s="248">
        <f>W10</f>
        <v>1452.42</v>
      </c>
      <c r="X9" s="248">
        <f>X10</f>
        <v>1452.42</v>
      </c>
      <c r="Y9" s="248">
        <f>Y10</f>
        <v>9200.58</v>
      </c>
      <c r="Z9" s="134"/>
    </row>
    <row r="10" spans="1:26" ht="133.5" customHeight="1" x14ac:dyDescent="0.3">
      <c r="A10" s="246"/>
      <c r="B10" s="170">
        <v>161</v>
      </c>
      <c r="C10" s="151" t="s">
        <v>113</v>
      </c>
      <c r="D10" s="216" t="s">
        <v>258</v>
      </c>
      <c r="E10" s="221">
        <v>43374</v>
      </c>
      <c r="F10" s="154" t="s">
        <v>259</v>
      </c>
      <c r="G10" s="171">
        <v>15</v>
      </c>
      <c r="H10" s="172">
        <f>I10/G10</f>
        <v>710.2</v>
      </c>
      <c r="I10" s="157">
        <v>10653</v>
      </c>
      <c r="J10" s="158">
        <v>0</v>
      </c>
      <c r="K10" s="159">
        <f>I10</f>
        <v>10653</v>
      </c>
      <c r="L10" s="160">
        <f>IF(I10/15&lt;=SMG,0,J10/2)</f>
        <v>0</v>
      </c>
      <c r="M10" s="160">
        <f t="shared" ref="M10" si="0">I10+L10</f>
        <v>10653</v>
      </c>
      <c r="N10" s="160">
        <f>VLOOKUP(M10,Tarifa1,1)</f>
        <v>7641.91</v>
      </c>
      <c r="O10" s="160">
        <f t="shared" ref="O10" si="1">M10-N10</f>
        <v>3011.09</v>
      </c>
      <c r="P10" s="161">
        <f>VLOOKUP(M10,Tarifa1,3)</f>
        <v>0.21360000000000001</v>
      </c>
      <c r="Q10" s="160">
        <f t="shared" ref="Q10" si="2">O10*P10</f>
        <v>643.16882400000009</v>
      </c>
      <c r="R10" s="162">
        <f>VLOOKUP(M10,Tarifa1,2)</f>
        <v>809.25</v>
      </c>
      <c r="S10" s="160">
        <f t="shared" ref="S10" si="3">Q10+R10</f>
        <v>1452.4188240000001</v>
      </c>
      <c r="T10" s="160">
        <f>VLOOKUP(M10,Credito1,2)</f>
        <v>0</v>
      </c>
      <c r="U10" s="160">
        <f t="shared" ref="U10" si="4">ROUND(S10-T10,2)</f>
        <v>1452.42</v>
      </c>
      <c r="V10" s="159">
        <f t="shared" ref="V10" si="5">-IF(U10&gt;0,0,U10)</f>
        <v>0</v>
      </c>
      <c r="W10" s="159">
        <f>IF(I10/15&lt;=SMG,0,IF(U10&lt;0,0,U10))</f>
        <v>1452.42</v>
      </c>
      <c r="X10" s="159">
        <f>SUM(W10:W10)</f>
        <v>1452.42</v>
      </c>
      <c r="Y10" s="159">
        <f>K10+V10-X10</f>
        <v>9200.58</v>
      </c>
      <c r="Z10" s="110"/>
    </row>
    <row r="11" spans="1:26" ht="52.5" customHeight="1" x14ac:dyDescent="0.25">
      <c r="A11" s="212"/>
      <c r="B11" s="196" t="s">
        <v>100</v>
      </c>
      <c r="C11" s="196" t="s">
        <v>122</v>
      </c>
      <c r="D11" s="245" t="s">
        <v>124</v>
      </c>
      <c r="E11" s="235"/>
      <c r="F11" s="212" t="s">
        <v>60</v>
      </c>
      <c r="G11" s="247"/>
      <c r="H11" s="212"/>
      <c r="I11" s="248">
        <f>I12</f>
        <v>7823</v>
      </c>
      <c r="J11" s="248">
        <f>J12</f>
        <v>0</v>
      </c>
      <c r="K11" s="248">
        <f>K12</f>
        <v>7823</v>
      </c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8">
        <f>V12</f>
        <v>0</v>
      </c>
      <c r="W11" s="248">
        <f>W12</f>
        <v>847.93</v>
      </c>
      <c r="X11" s="248">
        <f>X12</f>
        <v>847.93</v>
      </c>
      <c r="Y11" s="248">
        <f>Y12</f>
        <v>6975.07</v>
      </c>
      <c r="Z11" s="249"/>
    </row>
    <row r="12" spans="1:26" ht="132.75" customHeight="1" x14ac:dyDescent="0.3">
      <c r="A12" s="176"/>
      <c r="B12" s="151" t="s">
        <v>254</v>
      </c>
      <c r="C12" s="152" t="s">
        <v>113</v>
      </c>
      <c r="D12" s="216" t="s">
        <v>255</v>
      </c>
      <c r="E12" s="221">
        <v>44487</v>
      </c>
      <c r="F12" s="154" t="s">
        <v>256</v>
      </c>
      <c r="G12" s="155">
        <v>13</v>
      </c>
      <c r="H12" s="156">
        <f t="shared" ref="H12" si="6">I12/G12</f>
        <v>601.76923076923072</v>
      </c>
      <c r="I12" s="157">
        <v>7823</v>
      </c>
      <c r="J12" s="158">
        <v>0</v>
      </c>
      <c r="K12" s="159">
        <f t="shared" ref="K12" si="7">SUM(I12:J12)</f>
        <v>7823</v>
      </c>
      <c r="L12" s="160">
        <f t="shared" ref="L12" si="8">IF(I12/15&lt;=SMG,0,J12/2)</f>
        <v>0</v>
      </c>
      <c r="M12" s="160">
        <f t="shared" ref="M12" si="9">I12+L12</f>
        <v>7823</v>
      </c>
      <c r="N12" s="160">
        <f t="shared" ref="N12" si="10">VLOOKUP(M12,Tarifa1,1)</f>
        <v>7641.91</v>
      </c>
      <c r="O12" s="160">
        <f t="shared" ref="O12" si="11">M12-N12</f>
        <v>181.09000000000015</v>
      </c>
      <c r="P12" s="161">
        <f t="shared" ref="P12" si="12">VLOOKUP(M12,Tarifa1,3)</f>
        <v>0.21360000000000001</v>
      </c>
      <c r="Q12" s="160">
        <f t="shared" ref="Q12" si="13">O12*P12</f>
        <v>38.680824000000037</v>
      </c>
      <c r="R12" s="162">
        <f t="shared" ref="R12" si="14">VLOOKUP(M12,Tarifa1,2)</f>
        <v>809.25</v>
      </c>
      <c r="S12" s="160">
        <f t="shared" ref="S12" si="15">Q12+R12</f>
        <v>847.93082400000003</v>
      </c>
      <c r="T12" s="160">
        <f t="shared" ref="T12" si="16">VLOOKUP(M12,Credito1,2)</f>
        <v>0</v>
      </c>
      <c r="U12" s="160">
        <f t="shared" ref="U12" si="17">ROUND(S12-T12,2)</f>
        <v>847.93</v>
      </c>
      <c r="V12" s="159">
        <f t="shared" ref="V12" si="18">-IF(U12&gt;0,0,U12)</f>
        <v>0</v>
      </c>
      <c r="W12" s="159">
        <f t="shared" ref="W12" si="19">IF(I12/15&lt;=SMG,0,IF(U12&lt;0,0,U12))</f>
        <v>847.93</v>
      </c>
      <c r="X12" s="159">
        <f>SUM(W12:W12)</f>
        <v>847.93</v>
      </c>
      <c r="Y12" s="159">
        <f>K12+V12-X12</f>
        <v>6975.07</v>
      </c>
      <c r="Z12" s="110"/>
    </row>
    <row r="13" spans="1:26" ht="53.25" customHeight="1" x14ac:dyDescent="0.25">
      <c r="A13" s="176"/>
      <c r="B13" s="196" t="s">
        <v>100</v>
      </c>
      <c r="C13" s="196" t="s">
        <v>122</v>
      </c>
      <c r="D13" s="231" t="s">
        <v>75</v>
      </c>
      <c r="E13" s="235"/>
      <c r="F13" s="212" t="s">
        <v>60</v>
      </c>
      <c r="G13" s="212"/>
      <c r="H13" s="212"/>
      <c r="I13" s="248">
        <f>SUM(I14)</f>
        <v>12093</v>
      </c>
      <c r="J13" s="248">
        <f>SUM(J14)</f>
        <v>0</v>
      </c>
      <c r="K13" s="248">
        <f>SUM(K14)</f>
        <v>12093</v>
      </c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8">
        <f>SUM(V14)</f>
        <v>0</v>
      </c>
      <c r="W13" s="248">
        <f>SUM(W14)</f>
        <v>1760</v>
      </c>
      <c r="X13" s="248">
        <f>SUM(X14)</f>
        <v>1760</v>
      </c>
      <c r="Y13" s="248">
        <f>SUM(Y14)</f>
        <v>10333</v>
      </c>
      <c r="Z13" s="249"/>
    </row>
    <row r="14" spans="1:26" ht="132.75" customHeight="1" x14ac:dyDescent="0.3">
      <c r="A14" s="176"/>
      <c r="B14" s="170">
        <v>290</v>
      </c>
      <c r="C14" s="151" t="s">
        <v>113</v>
      </c>
      <c r="D14" s="216" t="s">
        <v>262</v>
      </c>
      <c r="E14" s="221">
        <v>44593</v>
      </c>
      <c r="F14" s="153" t="s">
        <v>75</v>
      </c>
      <c r="G14" s="171">
        <v>15</v>
      </c>
      <c r="H14" s="172">
        <f>I14/G14</f>
        <v>806.2</v>
      </c>
      <c r="I14" s="173">
        <v>12093</v>
      </c>
      <c r="J14" s="174">
        <v>0</v>
      </c>
      <c r="K14" s="175">
        <f>SUM(I14:J14)</f>
        <v>12093</v>
      </c>
      <c r="L14" s="160">
        <f>IF(I14/15&lt;=SMG,0,J14/2)</f>
        <v>0</v>
      </c>
      <c r="M14" s="160">
        <f>I14+L14</f>
        <v>12093</v>
      </c>
      <c r="N14" s="160">
        <f>VLOOKUP(M14,Tarifa1,1)</f>
        <v>7641.91</v>
      </c>
      <c r="O14" s="160">
        <f>M14-N14</f>
        <v>4451.09</v>
      </c>
      <c r="P14" s="161">
        <f>VLOOKUP(M14,Tarifa1,3)</f>
        <v>0.21360000000000001</v>
      </c>
      <c r="Q14" s="160">
        <f>O14*P14</f>
        <v>950.75282400000003</v>
      </c>
      <c r="R14" s="162">
        <f>VLOOKUP(M14,Tarifa1,2)</f>
        <v>809.25</v>
      </c>
      <c r="S14" s="160">
        <f>Q14+R14</f>
        <v>1760.0028240000001</v>
      </c>
      <c r="T14" s="160">
        <f>VLOOKUP(M14,Credito1,2)</f>
        <v>0</v>
      </c>
      <c r="U14" s="160">
        <f>ROUND(S14-T14,2)</f>
        <v>1760</v>
      </c>
      <c r="V14" s="159">
        <f>-IF(U14&gt;0,0,U14)</f>
        <v>0</v>
      </c>
      <c r="W14" s="159">
        <f>IF(I14/15&lt;=SMG,0,IF(U14&lt;0,0,U14))</f>
        <v>1760</v>
      </c>
      <c r="X14" s="159">
        <f>SUM(W14:W14)</f>
        <v>1760</v>
      </c>
      <c r="Y14" s="159">
        <f>K14+V14-X14</f>
        <v>10333</v>
      </c>
      <c r="Z14" s="110"/>
    </row>
    <row r="15" spans="1:26" ht="40.5" customHeight="1" thickBot="1" x14ac:dyDescent="0.3">
      <c r="A15" s="284" t="s">
        <v>44</v>
      </c>
      <c r="B15" s="285"/>
      <c r="C15" s="285"/>
      <c r="D15" s="285"/>
      <c r="E15" s="285"/>
      <c r="F15" s="285"/>
      <c r="G15" s="285"/>
      <c r="H15" s="286"/>
      <c r="I15" s="210">
        <f>I9+I11+I13</f>
        <v>30569</v>
      </c>
      <c r="J15" s="210">
        <f>J9+J11+J13</f>
        <v>0</v>
      </c>
      <c r="K15" s="210">
        <f>K9+K11+K13</f>
        <v>30569</v>
      </c>
      <c r="L15" s="164">
        <f t="shared" ref="L15:U15" si="20">SUM(L12:L12)</f>
        <v>0</v>
      </c>
      <c r="M15" s="164">
        <f t="shared" si="20"/>
        <v>7823</v>
      </c>
      <c r="N15" s="164">
        <f t="shared" si="20"/>
        <v>7641.91</v>
      </c>
      <c r="O15" s="164">
        <f t="shared" si="20"/>
        <v>181.09000000000015</v>
      </c>
      <c r="P15" s="164">
        <f t="shared" si="20"/>
        <v>0.21360000000000001</v>
      </c>
      <c r="Q15" s="164">
        <f t="shared" si="20"/>
        <v>38.680824000000037</v>
      </c>
      <c r="R15" s="164">
        <f t="shared" si="20"/>
        <v>809.25</v>
      </c>
      <c r="S15" s="164">
        <f t="shared" si="20"/>
        <v>847.93082400000003</v>
      </c>
      <c r="T15" s="164">
        <f t="shared" si="20"/>
        <v>0</v>
      </c>
      <c r="U15" s="164">
        <f t="shared" si="20"/>
        <v>847.93</v>
      </c>
      <c r="V15" s="210">
        <f>V9+V11+V13</f>
        <v>0</v>
      </c>
      <c r="W15" s="210">
        <f>W9+W11+W13</f>
        <v>4060.35</v>
      </c>
      <c r="X15" s="210">
        <f>X9+X11+X13</f>
        <v>4060.35</v>
      </c>
      <c r="Y15" s="210">
        <f>Y9+Y11+Y13</f>
        <v>26508.65</v>
      </c>
      <c r="Z15" s="111"/>
    </row>
    <row r="16" spans="1:26" ht="13.5" thickTop="1" x14ac:dyDescent="0.2"/>
  </sheetData>
  <mergeCells count="7">
    <mergeCell ref="A15:H15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1"/>
  <sheetViews>
    <sheetView topLeftCell="B26" zoomScale="66" zoomScaleNormal="66" workbookViewId="0">
      <selection activeCell="X26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25.7109375" customWidth="1"/>
    <col min="5" max="5" width="17.85546875" customWidth="1"/>
    <col min="6" max="6" width="31.140625" customWidth="1"/>
    <col min="7" max="7" width="6.5703125" hidden="1" customWidth="1"/>
    <col min="8" max="8" width="10" hidden="1" customWidth="1"/>
    <col min="9" max="9" width="16.85546875" customWidth="1"/>
    <col min="10" max="10" width="13.42578125" customWidth="1"/>
    <col min="11" max="11" width="17" customWidth="1"/>
    <col min="12" max="12" width="13.140625" hidden="1" customWidth="1"/>
    <col min="13" max="13" width="15.140625" hidden="1" customWidth="1"/>
    <col min="14" max="14" width="14" hidden="1" customWidth="1"/>
    <col min="15" max="15" width="14.5703125" hidden="1" customWidth="1"/>
    <col min="16" max="17" width="13.140625" hidden="1" customWidth="1"/>
    <col min="18" max="19" width="14.28515625" hidden="1" customWidth="1"/>
    <col min="20" max="21" width="13.140625" hidden="1" customWidth="1"/>
    <col min="22" max="22" width="9.7109375" customWidth="1"/>
    <col min="23" max="23" width="14.42578125" customWidth="1"/>
    <col min="24" max="24" width="13.7109375" customWidth="1"/>
    <col min="25" max="25" width="17" customWidth="1"/>
    <col min="26" max="26" width="84.42578125" customWidth="1"/>
    <col min="27" max="27" width="1.42578125" customWidth="1"/>
  </cols>
  <sheetData>
    <row r="1" spans="1:32" ht="19.5" x14ac:dyDescent="0.25">
      <c r="A1" s="287" t="s">
        <v>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</row>
    <row r="2" spans="1:32" ht="19.5" x14ac:dyDescent="0.25">
      <c r="A2" s="287" t="s">
        <v>63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32" ht="19.5" x14ac:dyDescent="0.25">
      <c r="A3" s="288" t="s">
        <v>323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1" customFormat="1" ht="12.75" customHeight="1" x14ac:dyDescent="0.2">
      <c r="A5" s="47"/>
      <c r="B5" s="47"/>
      <c r="C5" s="306" t="s">
        <v>114</v>
      </c>
      <c r="D5" s="47"/>
      <c r="E5" s="47"/>
      <c r="F5" s="47"/>
      <c r="G5" s="48" t="s">
        <v>22</v>
      </c>
      <c r="H5" s="48" t="s">
        <v>5</v>
      </c>
      <c r="I5" s="309" t="s">
        <v>1</v>
      </c>
      <c r="J5" s="310"/>
      <c r="K5" s="311"/>
      <c r="L5" s="49" t="s">
        <v>25</v>
      </c>
      <c r="M5" s="50"/>
      <c r="N5" s="312" t="s">
        <v>8</v>
      </c>
      <c r="O5" s="313"/>
      <c r="P5" s="313"/>
      <c r="Q5" s="313"/>
      <c r="R5" s="313"/>
      <c r="S5" s="314"/>
      <c r="T5" s="49" t="s">
        <v>29</v>
      </c>
      <c r="U5" s="49" t="s">
        <v>9</v>
      </c>
      <c r="V5" s="48" t="s">
        <v>52</v>
      </c>
      <c r="W5" s="315" t="s">
        <v>2</v>
      </c>
      <c r="X5" s="316"/>
      <c r="Y5" s="48" t="s">
        <v>0</v>
      </c>
      <c r="Z5" s="47"/>
    </row>
    <row r="6" spans="1:32" s="51" customFormat="1" ht="24" x14ac:dyDescent="0.2">
      <c r="A6" s="52" t="s">
        <v>20</v>
      </c>
      <c r="B6" s="46" t="s">
        <v>100</v>
      </c>
      <c r="C6" s="307"/>
      <c r="D6" s="52" t="s">
        <v>21</v>
      </c>
      <c r="E6" s="52"/>
      <c r="F6" s="52"/>
      <c r="G6" s="53" t="s">
        <v>23</v>
      </c>
      <c r="H6" s="52" t="s">
        <v>24</v>
      </c>
      <c r="I6" s="48" t="s">
        <v>5</v>
      </c>
      <c r="J6" s="48" t="s">
        <v>57</v>
      </c>
      <c r="K6" s="48" t="s">
        <v>27</v>
      </c>
      <c r="L6" s="54" t="s">
        <v>26</v>
      </c>
      <c r="M6" s="50" t="s">
        <v>31</v>
      </c>
      <c r="N6" s="50" t="s">
        <v>11</v>
      </c>
      <c r="O6" s="50" t="s">
        <v>33</v>
      </c>
      <c r="P6" s="50" t="s">
        <v>35</v>
      </c>
      <c r="Q6" s="50" t="s">
        <v>36</v>
      </c>
      <c r="R6" s="50" t="s">
        <v>13</v>
      </c>
      <c r="S6" s="50" t="s">
        <v>9</v>
      </c>
      <c r="T6" s="54" t="s">
        <v>39</v>
      </c>
      <c r="U6" s="54" t="s">
        <v>40</v>
      </c>
      <c r="V6" s="52" t="s">
        <v>30</v>
      </c>
      <c r="W6" s="48" t="s">
        <v>294</v>
      </c>
      <c r="X6" s="48" t="s">
        <v>6</v>
      </c>
      <c r="Y6" s="52" t="s">
        <v>3</v>
      </c>
      <c r="Z6" s="52" t="s">
        <v>56</v>
      </c>
    </row>
    <row r="7" spans="1:32" s="51" customFormat="1" ht="12" x14ac:dyDescent="0.2">
      <c r="A7" s="60"/>
      <c r="B7" s="60"/>
      <c r="C7" s="308"/>
      <c r="D7" s="60"/>
      <c r="E7" s="60"/>
      <c r="F7" s="60"/>
      <c r="G7" s="60"/>
      <c r="H7" s="60"/>
      <c r="I7" s="60" t="s">
        <v>46</v>
      </c>
      <c r="J7" s="60" t="s">
        <v>58</v>
      </c>
      <c r="K7" s="60" t="s">
        <v>28</v>
      </c>
      <c r="L7" s="61" t="s">
        <v>42</v>
      </c>
      <c r="M7" s="49" t="s">
        <v>32</v>
      </c>
      <c r="N7" s="49" t="s">
        <v>12</v>
      </c>
      <c r="O7" s="49" t="s">
        <v>34</v>
      </c>
      <c r="P7" s="49" t="s">
        <v>34</v>
      </c>
      <c r="Q7" s="49" t="s">
        <v>37</v>
      </c>
      <c r="R7" s="49" t="s">
        <v>14</v>
      </c>
      <c r="S7" s="49" t="s">
        <v>38</v>
      </c>
      <c r="T7" s="54" t="s">
        <v>18</v>
      </c>
      <c r="U7" s="55" t="s">
        <v>123</v>
      </c>
      <c r="V7" s="60" t="s">
        <v>51</v>
      </c>
      <c r="W7" s="60"/>
      <c r="X7" s="60" t="s">
        <v>43</v>
      </c>
      <c r="Y7" s="60" t="s">
        <v>4</v>
      </c>
      <c r="Z7" s="57"/>
    </row>
    <row r="8" spans="1:32" s="51" customFormat="1" ht="35.25" customHeight="1" x14ac:dyDescent="0.25">
      <c r="A8" s="62"/>
      <c r="B8" s="132"/>
      <c r="C8" s="132"/>
      <c r="D8" s="131" t="s">
        <v>67</v>
      </c>
      <c r="E8" s="130" t="s">
        <v>315</v>
      </c>
      <c r="F8" s="132" t="s">
        <v>60</v>
      </c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/>
      <c r="V8" s="132"/>
      <c r="W8" s="132"/>
      <c r="X8" s="132"/>
      <c r="Y8" s="132"/>
      <c r="Z8" s="63"/>
    </row>
    <row r="9" spans="1:32" s="93" customFormat="1" ht="173.25" customHeight="1" x14ac:dyDescent="0.3">
      <c r="A9" s="109" t="s">
        <v>84</v>
      </c>
      <c r="B9" s="151" t="s">
        <v>172</v>
      </c>
      <c r="C9" s="152" t="s">
        <v>113</v>
      </c>
      <c r="D9" s="216" t="s">
        <v>170</v>
      </c>
      <c r="E9" s="221">
        <v>43512</v>
      </c>
      <c r="F9" s="154" t="s">
        <v>316</v>
      </c>
      <c r="G9" s="155">
        <v>15</v>
      </c>
      <c r="H9" s="156">
        <f t="shared" ref="H9:H10" si="0">I9/G9</f>
        <v>757.26666666666665</v>
      </c>
      <c r="I9" s="157">
        <v>11359</v>
      </c>
      <c r="J9" s="158">
        <v>0</v>
      </c>
      <c r="K9" s="159">
        <f>SUM(I9:J9)</f>
        <v>11359</v>
      </c>
      <c r="L9" s="160">
        <f>IF(I9/15&lt;=SMG,0,J9/2)</f>
        <v>0</v>
      </c>
      <c r="M9" s="160">
        <f t="shared" ref="M9" si="1">I9+L9</f>
        <v>11359</v>
      </c>
      <c r="N9" s="160">
        <f t="shared" ref="N9" si="2">VLOOKUP(M9,Tarifa1,1)</f>
        <v>7641.91</v>
      </c>
      <c r="O9" s="160">
        <f t="shared" ref="O9" si="3">M9-N9</f>
        <v>3717.09</v>
      </c>
      <c r="P9" s="161">
        <f t="shared" ref="P9" si="4">VLOOKUP(M9,Tarifa1,3)</f>
        <v>0.21360000000000001</v>
      </c>
      <c r="Q9" s="160">
        <f t="shared" ref="Q9" si="5">O9*P9</f>
        <v>793.97042400000009</v>
      </c>
      <c r="R9" s="162">
        <f t="shared" ref="R9" si="6">VLOOKUP(M9,Tarifa1,2)</f>
        <v>809.25</v>
      </c>
      <c r="S9" s="160">
        <f t="shared" ref="S9" si="7">Q9+R9</f>
        <v>1603.2204240000001</v>
      </c>
      <c r="T9" s="160">
        <f t="shared" ref="T9" si="8">VLOOKUP(M9,Credito1,2)</f>
        <v>0</v>
      </c>
      <c r="U9" s="160">
        <f t="shared" ref="U9" si="9">ROUND(S9-T9,2)</f>
        <v>1603.22</v>
      </c>
      <c r="V9" s="159">
        <f t="shared" ref="V9" si="10">-IF(U9&gt;0,0,U9)</f>
        <v>0</v>
      </c>
      <c r="W9" s="159">
        <f t="shared" ref="W9" si="11">IF(I9/15&lt;=SMG,0,IF(U9&lt;0,0,U9))</f>
        <v>1603.22</v>
      </c>
      <c r="X9" s="159">
        <f>SUM(W9:W9)</f>
        <v>1603.22</v>
      </c>
      <c r="Y9" s="159">
        <f>K9+V9-X9</f>
        <v>9755.7800000000007</v>
      </c>
      <c r="Z9" s="110"/>
      <c r="AA9" s="95"/>
      <c r="AF9" s="96"/>
    </row>
    <row r="10" spans="1:32" s="93" customFormat="1" ht="173.25" customHeight="1" x14ac:dyDescent="0.3">
      <c r="A10" s="109"/>
      <c r="B10" s="152" t="s">
        <v>195</v>
      </c>
      <c r="C10" s="152" t="s">
        <v>113</v>
      </c>
      <c r="D10" s="216" t="s">
        <v>196</v>
      </c>
      <c r="E10" s="221">
        <v>43983</v>
      </c>
      <c r="F10" s="154" t="s">
        <v>265</v>
      </c>
      <c r="G10" s="155">
        <v>15</v>
      </c>
      <c r="H10" s="156">
        <f t="shared" si="0"/>
        <v>757.26666666666665</v>
      </c>
      <c r="I10" s="157">
        <v>11359</v>
      </c>
      <c r="J10" s="158">
        <v>0</v>
      </c>
      <c r="K10" s="159">
        <f>SUM(I10:J10)</f>
        <v>11359</v>
      </c>
      <c r="L10" s="160">
        <f>IF(I10/15&lt;=SMG,0,J10/2)</f>
        <v>0</v>
      </c>
      <c r="M10" s="160">
        <f t="shared" ref="M10:M15" si="12">I10+L10</f>
        <v>11359</v>
      </c>
      <c r="N10" s="160">
        <f t="shared" ref="N10:N15" si="13">VLOOKUP(M10,Tarifa1,1)</f>
        <v>7641.91</v>
      </c>
      <c r="O10" s="160">
        <f t="shared" ref="O10:O15" si="14">M10-N10</f>
        <v>3717.09</v>
      </c>
      <c r="P10" s="161">
        <f t="shared" ref="P10:P15" si="15">VLOOKUP(M10,Tarifa1,3)</f>
        <v>0.21360000000000001</v>
      </c>
      <c r="Q10" s="160">
        <f t="shared" ref="Q10:Q15" si="16">O10*P10</f>
        <v>793.97042400000009</v>
      </c>
      <c r="R10" s="162">
        <f t="shared" ref="R10:R15" si="17">VLOOKUP(M10,Tarifa1,2)</f>
        <v>809.25</v>
      </c>
      <c r="S10" s="160">
        <f t="shared" ref="S10:S15" si="18">Q10+R10</f>
        <v>1603.2204240000001</v>
      </c>
      <c r="T10" s="160">
        <f t="shared" ref="T10:T15" si="19">VLOOKUP(M10,Credito1,2)</f>
        <v>0</v>
      </c>
      <c r="U10" s="160">
        <f t="shared" ref="U10:U15" si="20">ROUND(S10-T10,2)</f>
        <v>1603.22</v>
      </c>
      <c r="V10" s="159">
        <f t="shared" ref="V10:V15" si="21">-IF(U10&gt;0,0,U10)</f>
        <v>0</v>
      </c>
      <c r="W10" s="159">
        <f t="shared" ref="W10:W15" si="22">IF(I10/15&lt;=SMG,0,IF(U10&lt;0,0,U10))</f>
        <v>1603.22</v>
      </c>
      <c r="X10" s="159">
        <f>SUM(W10:W10)</f>
        <v>1603.22</v>
      </c>
      <c r="Y10" s="159">
        <f>K10+V10-X10</f>
        <v>9755.7800000000007</v>
      </c>
      <c r="Z10" s="110"/>
      <c r="AA10" s="95"/>
      <c r="AF10" s="96"/>
    </row>
    <row r="11" spans="1:32" s="93" customFormat="1" ht="173.25" customHeight="1" x14ac:dyDescent="0.3">
      <c r="A11" s="109"/>
      <c r="B11" s="152" t="s">
        <v>289</v>
      </c>
      <c r="C11" s="152" t="s">
        <v>113</v>
      </c>
      <c r="D11" s="216" t="s">
        <v>291</v>
      </c>
      <c r="E11" s="221">
        <v>44866</v>
      </c>
      <c r="F11" s="154" t="s">
        <v>290</v>
      </c>
      <c r="G11" s="155"/>
      <c r="H11" s="156"/>
      <c r="I11" s="157">
        <v>4467</v>
      </c>
      <c r="J11" s="158">
        <v>0</v>
      </c>
      <c r="K11" s="159">
        <f>SUM(I11:J11)</f>
        <v>4467</v>
      </c>
      <c r="L11" s="160">
        <f>IF(I11/15&lt;=SMG,0,J11/2)</f>
        <v>0</v>
      </c>
      <c r="M11" s="160">
        <f t="shared" si="12"/>
        <v>4467</v>
      </c>
      <c r="N11" s="160">
        <f t="shared" si="13"/>
        <v>3124.36</v>
      </c>
      <c r="O11" s="160">
        <f t="shared" si="14"/>
        <v>1342.6399999999999</v>
      </c>
      <c r="P11" s="161">
        <f t="shared" si="15"/>
        <v>0.10879999999999999</v>
      </c>
      <c r="Q11" s="160">
        <f t="shared" si="16"/>
        <v>146.07923199999999</v>
      </c>
      <c r="R11" s="162">
        <f t="shared" si="17"/>
        <v>183.45</v>
      </c>
      <c r="S11" s="160">
        <f t="shared" si="18"/>
        <v>329.52923199999998</v>
      </c>
      <c r="T11" s="160">
        <f t="shared" si="19"/>
        <v>0</v>
      </c>
      <c r="U11" s="160">
        <f t="shared" si="20"/>
        <v>329.53</v>
      </c>
      <c r="V11" s="159">
        <f t="shared" si="21"/>
        <v>0</v>
      </c>
      <c r="W11" s="159">
        <f t="shared" si="22"/>
        <v>329.53</v>
      </c>
      <c r="X11" s="159">
        <f>SUM(W11:W11)</f>
        <v>329.53</v>
      </c>
      <c r="Y11" s="159">
        <f>K11+V11-X11</f>
        <v>4137.47</v>
      </c>
      <c r="Z11" s="110"/>
      <c r="AA11" s="95"/>
      <c r="AF11" s="96"/>
    </row>
    <row r="12" spans="1:32" s="93" customFormat="1" ht="173.25" customHeight="1" x14ac:dyDescent="0.3">
      <c r="A12" s="109"/>
      <c r="B12" s="151" t="s">
        <v>200</v>
      </c>
      <c r="C12" s="151" t="s">
        <v>113</v>
      </c>
      <c r="D12" s="218" t="s">
        <v>199</v>
      </c>
      <c r="E12" s="225">
        <v>44470</v>
      </c>
      <c r="F12" s="154" t="s">
        <v>66</v>
      </c>
      <c r="G12" s="155">
        <v>15</v>
      </c>
      <c r="H12" s="156"/>
      <c r="I12" s="157">
        <v>6253</v>
      </c>
      <c r="J12" s="158">
        <v>0</v>
      </c>
      <c r="K12" s="157">
        <f>I12</f>
        <v>6253</v>
      </c>
      <c r="L12" s="160">
        <f t="shared" ref="L12" si="23">IF(I12/15&lt;=SMG,0,J12/2)</f>
        <v>0</v>
      </c>
      <c r="M12" s="160">
        <f t="shared" si="12"/>
        <v>6253</v>
      </c>
      <c r="N12" s="160">
        <f t="shared" si="13"/>
        <v>5490.76</v>
      </c>
      <c r="O12" s="160">
        <f t="shared" si="14"/>
        <v>762.23999999999978</v>
      </c>
      <c r="P12" s="161">
        <f t="shared" si="15"/>
        <v>0.16</v>
      </c>
      <c r="Q12" s="160">
        <f t="shared" si="16"/>
        <v>121.95839999999997</v>
      </c>
      <c r="R12" s="162">
        <f t="shared" si="17"/>
        <v>441</v>
      </c>
      <c r="S12" s="160">
        <f t="shared" si="18"/>
        <v>562.95839999999998</v>
      </c>
      <c r="T12" s="160">
        <f t="shared" si="19"/>
        <v>0</v>
      </c>
      <c r="U12" s="160">
        <f t="shared" si="20"/>
        <v>562.96</v>
      </c>
      <c r="V12" s="159">
        <f t="shared" si="21"/>
        <v>0</v>
      </c>
      <c r="W12" s="159">
        <f t="shared" si="22"/>
        <v>562.96</v>
      </c>
      <c r="X12" s="159">
        <f>SUM(W12:W12)</f>
        <v>562.96</v>
      </c>
      <c r="Y12" s="159">
        <f>K12+V12-X12+J12</f>
        <v>5690.04</v>
      </c>
      <c r="Z12" s="110"/>
      <c r="AF12" s="96"/>
    </row>
    <row r="13" spans="1:32" s="93" customFormat="1" ht="173.25" customHeight="1" x14ac:dyDescent="0.3">
      <c r="A13" s="109"/>
      <c r="B13" s="151" t="s">
        <v>292</v>
      </c>
      <c r="C13" s="151" t="s">
        <v>113</v>
      </c>
      <c r="D13" s="218" t="s">
        <v>293</v>
      </c>
      <c r="E13" s="229">
        <v>44866</v>
      </c>
      <c r="F13" s="154" t="s">
        <v>66</v>
      </c>
      <c r="G13" s="155"/>
      <c r="H13" s="156"/>
      <c r="I13" s="157">
        <v>6253</v>
      </c>
      <c r="J13" s="158">
        <v>0</v>
      </c>
      <c r="K13" s="157">
        <f>I13</f>
        <v>6253</v>
      </c>
      <c r="L13" s="160">
        <f t="shared" ref="L13" si="24">IF(I13/15&lt;=SMG,0,J13/2)</f>
        <v>0</v>
      </c>
      <c r="M13" s="160">
        <f t="shared" si="12"/>
        <v>6253</v>
      </c>
      <c r="N13" s="160">
        <f t="shared" si="13"/>
        <v>5490.76</v>
      </c>
      <c r="O13" s="160">
        <f t="shared" si="14"/>
        <v>762.23999999999978</v>
      </c>
      <c r="P13" s="161">
        <f t="shared" si="15"/>
        <v>0.16</v>
      </c>
      <c r="Q13" s="160">
        <f t="shared" si="16"/>
        <v>121.95839999999997</v>
      </c>
      <c r="R13" s="162">
        <f t="shared" si="17"/>
        <v>441</v>
      </c>
      <c r="S13" s="160">
        <f t="shared" si="18"/>
        <v>562.95839999999998</v>
      </c>
      <c r="T13" s="160">
        <f t="shared" si="19"/>
        <v>0</v>
      </c>
      <c r="U13" s="160">
        <f t="shared" si="20"/>
        <v>562.96</v>
      </c>
      <c r="V13" s="159">
        <f t="shared" si="21"/>
        <v>0</v>
      </c>
      <c r="W13" s="159">
        <f t="shared" si="22"/>
        <v>562.96</v>
      </c>
      <c r="X13" s="159">
        <f>SUM(W13:W13)</f>
        <v>562.96</v>
      </c>
      <c r="Y13" s="159">
        <f>K13+V13-X13+J13</f>
        <v>5690.04</v>
      </c>
      <c r="Z13" s="110"/>
      <c r="AF13" s="96"/>
    </row>
    <row r="14" spans="1:32" s="93" customFormat="1" ht="173.25" customHeight="1" x14ac:dyDescent="0.3">
      <c r="A14" s="109"/>
      <c r="B14" s="151" t="s">
        <v>322</v>
      </c>
      <c r="C14" s="151" t="s">
        <v>113</v>
      </c>
      <c r="D14" s="218" t="s">
        <v>321</v>
      </c>
      <c r="E14" s="227">
        <v>45042</v>
      </c>
      <c r="F14" s="154" t="s">
        <v>66</v>
      </c>
      <c r="G14" s="155"/>
      <c r="H14" s="156"/>
      <c r="I14" s="157">
        <v>6253</v>
      </c>
      <c r="J14" s="158">
        <v>0</v>
      </c>
      <c r="K14" s="157">
        <f>I14</f>
        <v>6253</v>
      </c>
      <c r="L14" s="160">
        <f t="shared" ref="L14" si="25">IF(I14/15&lt;=SMG,0,J14/2)</f>
        <v>0</v>
      </c>
      <c r="M14" s="160">
        <f t="shared" ref="M14" si="26">I14+L14</f>
        <v>6253</v>
      </c>
      <c r="N14" s="160">
        <f t="shared" ref="N14" si="27">VLOOKUP(M14,Tarifa1,1)</f>
        <v>5490.76</v>
      </c>
      <c r="O14" s="160">
        <f t="shared" ref="O14" si="28">M14-N14</f>
        <v>762.23999999999978</v>
      </c>
      <c r="P14" s="161">
        <f t="shared" ref="P14" si="29">VLOOKUP(M14,Tarifa1,3)</f>
        <v>0.16</v>
      </c>
      <c r="Q14" s="160">
        <f t="shared" ref="Q14" si="30">O14*P14</f>
        <v>121.95839999999997</v>
      </c>
      <c r="R14" s="162">
        <f t="shared" ref="R14" si="31">VLOOKUP(M14,Tarifa1,2)</f>
        <v>441</v>
      </c>
      <c r="S14" s="160">
        <f t="shared" ref="S14" si="32">Q14+R14</f>
        <v>562.95839999999998</v>
      </c>
      <c r="T14" s="160">
        <f t="shared" ref="T14" si="33">VLOOKUP(M14,Credito1,2)</f>
        <v>0</v>
      </c>
      <c r="U14" s="160">
        <f t="shared" ref="U14" si="34">ROUND(S14-T14,2)</f>
        <v>562.96</v>
      </c>
      <c r="V14" s="159">
        <f t="shared" ref="V14" si="35">-IF(U14&gt;0,0,U14)</f>
        <v>0</v>
      </c>
      <c r="W14" s="159">
        <f t="shared" ref="W14" si="36">IF(I14/15&lt;=SMG,0,IF(U14&lt;0,0,U14))</f>
        <v>562.96</v>
      </c>
      <c r="X14" s="159">
        <f>SUM(W14:W14)</f>
        <v>562.96</v>
      </c>
      <c r="Y14" s="159">
        <f>K14+V14-X14+J14</f>
        <v>5690.04</v>
      </c>
      <c r="Z14" s="110"/>
      <c r="AF14" s="96"/>
    </row>
    <row r="15" spans="1:32" s="93" customFormat="1" ht="173.25" customHeight="1" x14ac:dyDescent="0.3">
      <c r="A15" s="109"/>
      <c r="B15" s="152" t="s">
        <v>189</v>
      </c>
      <c r="C15" s="152" t="s">
        <v>113</v>
      </c>
      <c r="D15" s="214" t="s">
        <v>190</v>
      </c>
      <c r="E15" s="221">
        <v>43877</v>
      </c>
      <c r="F15" s="154" t="s">
        <v>162</v>
      </c>
      <c r="G15" s="155">
        <v>15</v>
      </c>
      <c r="H15" s="156"/>
      <c r="I15" s="157">
        <v>6843</v>
      </c>
      <c r="J15" s="158">
        <v>0</v>
      </c>
      <c r="K15" s="159">
        <f>SUM(I15:J15)</f>
        <v>6843</v>
      </c>
      <c r="L15" s="160">
        <f t="shared" ref="L15" si="37">IF(I15/15&lt;=SMG,0,J15/2)</f>
        <v>0</v>
      </c>
      <c r="M15" s="160">
        <f t="shared" si="12"/>
        <v>6843</v>
      </c>
      <c r="N15" s="160">
        <f t="shared" si="13"/>
        <v>6382.81</v>
      </c>
      <c r="O15" s="160">
        <f t="shared" si="14"/>
        <v>460.1899999999996</v>
      </c>
      <c r="P15" s="161">
        <f t="shared" si="15"/>
        <v>0.1792</v>
      </c>
      <c r="Q15" s="160">
        <f t="shared" si="16"/>
        <v>82.46604799999993</v>
      </c>
      <c r="R15" s="162">
        <f t="shared" si="17"/>
        <v>583.65</v>
      </c>
      <c r="S15" s="160">
        <f t="shared" si="18"/>
        <v>666.11604799999986</v>
      </c>
      <c r="T15" s="160">
        <f t="shared" si="19"/>
        <v>0</v>
      </c>
      <c r="U15" s="160">
        <f t="shared" si="20"/>
        <v>666.12</v>
      </c>
      <c r="V15" s="159">
        <f t="shared" si="21"/>
        <v>0</v>
      </c>
      <c r="W15" s="159">
        <f t="shared" si="22"/>
        <v>666.12</v>
      </c>
      <c r="X15" s="159">
        <f>SUM(W15:W15)</f>
        <v>666.12</v>
      </c>
      <c r="Y15" s="159">
        <f>K15+V15-X15</f>
        <v>6176.88</v>
      </c>
      <c r="Z15" s="110"/>
      <c r="AF15" s="96"/>
    </row>
    <row r="16" spans="1:32" s="93" customFormat="1" ht="57" customHeight="1" x14ac:dyDescent="0.25">
      <c r="A16" s="181"/>
      <c r="B16" s="193"/>
      <c r="C16" s="193"/>
      <c r="D16" s="198"/>
      <c r="E16" s="199"/>
      <c r="F16" s="200"/>
      <c r="G16" s="201"/>
      <c r="H16" s="202"/>
      <c r="I16" s="203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111"/>
      <c r="AF16" s="96"/>
    </row>
    <row r="17" spans="1:32" s="93" customFormat="1" ht="29.25" customHeight="1" x14ac:dyDescent="0.25">
      <c r="A17" s="181"/>
      <c r="B17" s="287" t="s">
        <v>77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F17" s="96"/>
    </row>
    <row r="18" spans="1:32" s="93" customFormat="1" ht="28.5" customHeight="1" x14ac:dyDescent="0.25">
      <c r="A18" s="181"/>
      <c r="B18" s="287" t="s">
        <v>63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F18" s="96"/>
    </row>
    <row r="19" spans="1:32" s="93" customFormat="1" ht="28.5" customHeight="1" x14ac:dyDescent="0.25">
      <c r="A19" s="181"/>
      <c r="B19" s="288" t="s">
        <v>323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F19" s="96"/>
    </row>
    <row r="20" spans="1:32" s="93" customFormat="1" ht="20.25" customHeight="1" x14ac:dyDescent="0.25">
      <c r="A20" s="181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F20" s="96"/>
    </row>
    <row r="21" spans="1:32" s="93" customFormat="1" ht="158.25" customHeight="1" x14ac:dyDescent="0.3">
      <c r="A21" s="181"/>
      <c r="B21" s="152" t="s">
        <v>171</v>
      </c>
      <c r="C21" s="152" t="s">
        <v>113</v>
      </c>
      <c r="D21" s="214" t="s">
        <v>164</v>
      </c>
      <c r="E21" s="220">
        <v>43512</v>
      </c>
      <c r="F21" s="154" t="s">
        <v>162</v>
      </c>
      <c r="G21" s="155">
        <v>15</v>
      </c>
      <c r="H21" s="156"/>
      <c r="I21" s="157">
        <v>8552</v>
      </c>
      <c r="J21" s="158">
        <v>0</v>
      </c>
      <c r="K21" s="159">
        <f t="shared" ref="K21" si="38">SUM(I21:J21)</f>
        <v>8552</v>
      </c>
      <c r="L21" s="160">
        <f t="shared" ref="L21" si="39">IF(I21/15&lt;=SMG,0,J21/2)</f>
        <v>0</v>
      </c>
      <c r="M21" s="160">
        <f t="shared" ref="M21" si="40">I21+L21</f>
        <v>8552</v>
      </c>
      <c r="N21" s="160">
        <f t="shared" ref="N21:N27" si="41">VLOOKUP(M21,Tarifa1,1)</f>
        <v>7641.91</v>
      </c>
      <c r="O21" s="160">
        <f t="shared" ref="O21" si="42">M21-N21</f>
        <v>910.09000000000015</v>
      </c>
      <c r="P21" s="161">
        <f t="shared" ref="P21:P27" si="43">VLOOKUP(M21,Tarifa1,3)</f>
        <v>0.21360000000000001</v>
      </c>
      <c r="Q21" s="160">
        <f t="shared" ref="Q21" si="44">O21*P21</f>
        <v>194.39522400000004</v>
      </c>
      <c r="R21" s="162">
        <f t="shared" ref="R21:R27" si="45">VLOOKUP(M21,Tarifa1,2)</f>
        <v>809.25</v>
      </c>
      <c r="S21" s="160">
        <f t="shared" ref="S21" si="46">Q21+R21</f>
        <v>1003.6452240000001</v>
      </c>
      <c r="T21" s="160">
        <f t="shared" ref="T21:T27" si="47">VLOOKUP(M21,Credito1,2)</f>
        <v>0</v>
      </c>
      <c r="U21" s="160">
        <f t="shared" ref="U21" si="48">ROUND(S21-T21,2)</f>
        <v>1003.65</v>
      </c>
      <c r="V21" s="159">
        <f t="shared" ref="V21:V27" si="49">-IF(U21&gt;0,0,U21)</f>
        <v>0</v>
      </c>
      <c r="W21" s="159">
        <f t="shared" ref="W21:W27" si="50">IF(I21/15&lt;=SMG,0,IF(U21&lt;0,0,U21))</f>
        <v>1003.65</v>
      </c>
      <c r="X21" s="159">
        <f>SUM(W21:W21)</f>
        <v>1003.65</v>
      </c>
      <c r="Y21" s="159">
        <f>K21+V21-X21</f>
        <v>7548.35</v>
      </c>
      <c r="Z21" s="110"/>
      <c r="AA21" s="197"/>
      <c r="AF21" s="96"/>
    </row>
    <row r="22" spans="1:32" s="93" customFormat="1" ht="158.25" customHeight="1" x14ac:dyDescent="0.3">
      <c r="A22" s="109"/>
      <c r="B22" s="152" t="s">
        <v>177</v>
      </c>
      <c r="C22" s="152" t="s">
        <v>113</v>
      </c>
      <c r="D22" s="214" t="s">
        <v>178</v>
      </c>
      <c r="E22" s="220">
        <v>43632</v>
      </c>
      <c r="F22" s="154" t="s">
        <v>162</v>
      </c>
      <c r="G22" s="155">
        <v>15</v>
      </c>
      <c r="H22" s="156"/>
      <c r="I22" s="157">
        <v>8552</v>
      </c>
      <c r="J22" s="158">
        <v>0</v>
      </c>
      <c r="K22" s="159">
        <f t="shared" ref="K22" si="51">SUM(I22:J22)</f>
        <v>8552</v>
      </c>
      <c r="L22" s="160">
        <f t="shared" ref="L22:L26" si="52">IF(I22/15&lt;=SMG,0,J22/2)</f>
        <v>0</v>
      </c>
      <c r="M22" s="160">
        <f t="shared" ref="M22:M27" si="53">I22+L22</f>
        <v>8552</v>
      </c>
      <c r="N22" s="160">
        <f t="shared" si="41"/>
        <v>7641.91</v>
      </c>
      <c r="O22" s="160">
        <f t="shared" ref="O22:O27" si="54">M22-N22</f>
        <v>910.09000000000015</v>
      </c>
      <c r="P22" s="161">
        <f t="shared" si="43"/>
        <v>0.21360000000000001</v>
      </c>
      <c r="Q22" s="160">
        <f t="shared" ref="Q22:Q27" si="55">O22*P22</f>
        <v>194.39522400000004</v>
      </c>
      <c r="R22" s="162">
        <f t="shared" si="45"/>
        <v>809.25</v>
      </c>
      <c r="S22" s="160">
        <f t="shared" ref="S22:S27" si="56">Q22+R22</f>
        <v>1003.6452240000001</v>
      </c>
      <c r="T22" s="160">
        <f t="shared" si="47"/>
        <v>0</v>
      </c>
      <c r="U22" s="160">
        <f t="shared" ref="U22:U27" si="57">ROUND(S22-T22,2)</f>
        <v>1003.65</v>
      </c>
      <c r="V22" s="159">
        <f t="shared" si="49"/>
        <v>0</v>
      </c>
      <c r="W22" s="159">
        <f t="shared" si="50"/>
        <v>1003.65</v>
      </c>
      <c r="X22" s="159">
        <f>SUM(W22:W22)</f>
        <v>1003.65</v>
      </c>
      <c r="Y22" s="159">
        <f>K22+V22-X22</f>
        <v>7548.35</v>
      </c>
      <c r="Z22" s="110"/>
      <c r="AF22" s="96"/>
    </row>
    <row r="23" spans="1:32" s="93" customFormat="1" ht="158.25" customHeight="1" x14ac:dyDescent="0.3">
      <c r="A23" s="109"/>
      <c r="B23" s="152" t="s">
        <v>268</v>
      </c>
      <c r="C23" s="152" t="s">
        <v>113</v>
      </c>
      <c r="D23" s="214" t="s">
        <v>269</v>
      </c>
      <c r="E23" s="220">
        <v>44728</v>
      </c>
      <c r="F23" s="154" t="s">
        <v>162</v>
      </c>
      <c r="G23" s="155"/>
      <c r="H23" s="156"/>
      <c r="I23" s="157">
        <v>8552</v>
      </c>
      <c r="J23" s="158">
        <v>0</v>
      </c>
      <c r="K23" s="159">
        <f>SUM(I23:J23)</f>
        <v>8552</v>
      </c>
      <c r="L23" s="160">
        <f t="shared" si="52"/>
        <v>0</v>
      </c>
      <c r="M23" s="160">
        <f t="shared" si="53"/>
        <v>8552</v>
      </c>
      <c r="N23" s="160">
        <f t="shared" si="41"/>
        <v>7641.91</v>
      </c>
      <c r="O23" s="160">
        <f t="shared" si="54"/>
        <v>910.09000000000015</v>
      </c>
      <c r="P23" s="161">
        <f t="shared" si="43"/>
        <v>0.21360000000000001</v>
      </c>
      <c r="Q23" s="160">
        <f t="shared" si="55"/>
        <v>194.39522400000004</v>
      </c>
      <c r="R23" s="162">
        <f t="shared" si="45"/>
        <v>809.25</v>
      </c>
      <c r="S23" s="160">
        <f t="shared" si="56"/>
        <v>1003.6452240000001</v>
      </c>
      <c r="T23" s="160">
        <f t="shared" si="47"/>
        <v>0</v>
      </c>
      <c r="U23" s="160">
        <f t="shared" si="57"/>
        <v>1003.65</v>
      </c>
      <c r="V23" s="159">
        <f t="shared" si="49"/>
        <v>0</v>
      </c>
      <c r="W23" s="159">
        <f t="shared" si="50"/>
        <v>1003.65</v>
      </c>
      <c r="X23" s="159">
        <f>SUM(W23:W23)</f>
        <v>1003.65</v>
      </c>
      <c r="Y23" s="159">
        <f>K23+V23-X23</f>
        <v>7548.35</v>
      </c>
      <c r="Z23" s="110"/>
      <c r="AF23" s="96"/>
    </row>
    <row r="24" spans="1:32" s="93" customFormat="1" ht="158.25" customHeight="1" x14ac:dyDescent="0.3">
      <c r="A24" s="109"/>
      <c r="B24" s="152" t="s">
        <v>193</v>
      </c>
      <c r="C24" s="152" t="s">
        <v>113</v>
      </c>
      <c r="D24" s="216" t="s">
        <v>194</v>
      </c>
      <c r="E24" s="221">
        <v>43967</v>
      </c>
      <c r="F24" s="154" t="s">
        <v>162</v>
      </c>
      <c r="G24" s="155"/>
      <c r="H24" s="156"/>
      <c r="I24" s="157">
        <v>6843</v>
      </c>
      <c r="J24" s="158">
        <v>0</v>
      </c>
      <c r="K24" s="159">
        <f>SUM(I24:J24)</f>
        <v>6843</v>
      </c>
      <c r="L24" s="160">
        <f t="shared" si="52"/>
        <v>0</v>
      </c>
      <c r="M24" s="160">
        <f t="shared" si="53"/>
        <v>6843</v>
      </c>
      <c r="N24" s="160">
        <f t="shared" si="41"/>
        <v>6382.81</v>
      </c>
      <c r="O24" s="160">
        <f t="shared" si="54"/>
        <v>460.1899999999996</v>
      </c>
      <c r="P24" s="161">
        <f t="shared" si="43"/>
        <v>0.1792</v>
      </c>
      <c r="Q24" s="160">
        <f t="shared" si="55"/>
        <v>82.46604799999993</v>
      </c>
      <c r="R24" s="162">
        <f t="shared" si="45"/>
        <v>583.65</v>
      </c>
      <c r="S24" s="160">
        <f t="shared" si="56"/>
        <v>666.11604799999986</v>
      </c>
      <c r="T24" s="160">
        <f t="shared" si="47"/>
        <v>0</v>
      </c>
      <c r="U24" s="160">
        <f t="shared" si="57"/>
        <v>666.12</v>
      </c>
      <c r="V24" s="159">
        <f t="shared" si="49"/>
        <v>0</v>
      </c>
      <c r="W24" s="159">
        <f t="shared" si="50"/>
        <v>666.12</v>
      </c>
      <c r="X24" s="159">
        <f>SUM(W24:W24)</f>
        <v>666.12</v>
      </c>
      <c r="Y24" s="159">
        <f>K24+V24-X24</f>
        <v>6176.88</v>
      </c>
      <c r="Z24" s="110"/>
      <c r="AF24" s="96"/>
    </row>
    <row r="25" spans="1:32" s="93" customFormat="1" ht="158.25" customHeight="1" x14ac:dyDescent="0.3">
      <c r="A25" s="109"/>
      <c r="B25" s="152" t="s">
        <v>320</v>
      </c>
      <c r="C25" s="152" t="s">
        <v>113</v>
      </c>
      <c r="D25" s="216" t="s">
        <v>324</v>
      </c>
      <c r="E25" s="221">
        <v>45033</v>
      </c>
      <c r="F25" s="154" t="s">
        <v>162</v>
      </c>
      <c r="G25" s="155"/>
      <c r="H25" s="156"/>
      <c r="I25" s="157">
        <v>6843</v>
      </c>
      <c r="J25" s="158">
        <v>0</v>
      </c>
      <c r="K25" s="159">
        <f>SUM(I25:J25)</f>
        <v>6843</v>
      </c>
      <c r="L25" s="160">
        <f t="shared" ref="L25" si="58">IF(I25/15&lt;=SMG,0,J25/2)</f>
        <v>0</v>
      </c>
      <c r="M25" s="160">
        <f t="shared" ref="M25" si="59">I25+L25</f>
        <v>6843</v>
      </c>
      <c r="N25" s="160">
        <f t="shared" ref="N25" si="60">VLOOKUP(M25,Tarifa1,1)</f>
        <v>6382.81</v>
      </c>
      <c r="O25" s="160">
        <f t="shared" ref="O25" si="61">M25-N25</f>
        <v>460.1899999999996</v>
      </c>
      <c r="P25" s="161">
        <f t="shared" ref="P25" si="62">VLOOKUP(M25,Tarifa1,3)</f>
        <v>0.1792</v>
      </c>
      <c r="Q25" s="160">
        <f t="shared" ref="Q25" si="63">O25*P25</f>
        <v>82.46604799999993</v>
      </c>
      <c r="R25" s="162">
        <f t="shared" ref="R25" si="64">VLOOKUP(M25,Tarifa1,2)</f>
        <v>583.65</v>
      </c>
      <c r="S25" s="160">
        <f t="shared" ref="S25" si="65">Q25+R25</f>
        <v>666.11604799999986</v>
      </c>
      <c r="T25" s="160">
        <f t="shared" ref="T25" si="66">VLOOKUP(M25,Credito1,2)</f>
        <v>0</v>
      </c>
      <c r="U25" s="160">
        <f t="shared" ref="U25" si="67">ROUND(S25-T25,2)</f>
        <v>666.12</v>
      </c>
      <c r="V25" s="159">
        <f t="shared" ref="V25" si="68">-IF(U25&gt;0,0,U25)</f>
        <v>0</v>
      </c>
      <c r="W25" s="159">
        <f t="shared" ref="W25" si="69">IF(I25/15&lt;=SMG,0,IF(U25&lt;0,0,U25))</f>
        <v>666.12</v>
      </c>
      <c r="X25" s="159">
        <f>SUM(W25:W25)</f>
        <v>666.12</v>
      </c>
      <c r="Y25" s="159">
        <f>K25+V25-X25</f>
        <v>6176.88</v>
      </c>
      <c r="Z25" s="110"/>
      <c r="AF25" s="96"/>
    </row>
    <row r="26" spans="1:32" s="93" customFormat="1" ht="158.25" customHeight="1" x14ac:dyDescent="0.3">
      <c r="A26" s="109"/>
      <c r="B26" s="152" t="s">
        <v>272</v>
      </c>
      <c r="C26" s="152" t="s">
        <v>113</v>
      </c>
      <c r="D26" s="214" t="s">
        <v>270</v>
      </c>
      <c r="E26" s="221">
        <v>44728</v>
      </c>
      <c r="F26" s="154" t="s">
        <v>271</v>
      </c>
      <c r="G26" s="155"/>
      <c r="H26" s="156"/>
      <c r="I26" s="157">
        <v>6253</v>
      </c>
      <c r="J26" s="158">
        <v>0</v>
      </c>
      <c r="K26" s="157">
        <f>I26</f>
        <v>6253</v>
      </c>
      <c r="L26" s="160">
        <f t="shared" si="52"/>
        <v>0</v>
      </c>
      <c r="M26" s="160">
        <f t="shared" si="53"/>
        <v>6253</v>
      </c>
      <c r="N26" s="160">
        <f t="shared" si="41"/>
        <v>5490.76</v>
      </c>
      <c r="O26" s="160">
        <f t="shared" si="54"/>
        <v>762.23999999999978</v>
      </c>
      <c r="P26" s="161">
        <f t="shared" si="43"/>
        <v>0.16</v>
      </c>
      <c r="Q26" s="160">
        <f t="shared" si="55"/>
        <v>121.95839999999997</v>
      </c>
      <c r="R26" s="162">
        <f t="shared" si="45"/>
        <v>441</v>
      </c>
      <c r="S26" s="160">
        <f t="shared" si="56"/>
        <v>562.95839999999998</v>
      </c>
      <c r="T26" s="160">
        <f t="shared" si="47"/>
        <v>0</v>
      </c>
      <c r="U26" s="160">
        <f t="shared" si="57"/>
        <v>562.96</v>
      </c>
      <c r="V26" s="159">
        <f t="shared" si="49"/>
        <v>0</v>
      </c>
      <c r="W26" s="159">
        <f t="shared" si="50"/>
        <v>562.96</v>
      </c>
      <c r="X26" s="159">
        <f>SUM(W26:W26)</f>
        <v>562.96</v>
      </c>
      <c r="Y26" s="159">
        <f>K26+V26-X26+J26</f>
        <v>5690.04</v>
      </c>
      <c r="Z26" s="110"/>
      <c r="AF26" s="96"/>
    </row>
    <row r="27" spans="1:32" s="93" customFormat="1" ht="158.25" customHeight="1" x14ac:dyDescent="0.3">
      <c r="A27" s="109"/>
      <c r="B27" s="152" t="s">
        <v>173</v>
      </c>
      <c r="C27" s="152" t="s">
        <v>113</v>
      </c>
      <c r="D27" s="214" t="s">
        <v>163</v>
      </c>
      <c r="E27" s="220">
        <v>43512</v>
      </c>
      <c r="F27" s="154" t="s">
        <v>266</v>
      </c>
      <c r="G27" s="155">
        <v>15</v>
      </c>
      <c r="H27" s="156">
        <f t="shared" ref="H27" si="70">I27/G27</f>
        <v>310.2</v>
      </c>
      <c r="I27" s="157">
        <v>4653</v>
      </c>
      <c r="J27" s="158">
        <v>0</v>
      </c>
      <c r="K27" s="159">
        <f t="shared" ref="K27" si="71">SUM(I27:J27)</f>
        <v>4653</v>
      </c>
      <c r="L27" s="160">
        <f t="shared" ref="L27" si="72">IF(I27/15&lt;=SMG,0,J27/2)</f>
        <v>0</v>
      </c>
      <c r="M27" s="160">
        <f t="shared" si="53"/>
        <v>4653</v>
      </c>
      <c r="N27" s="160">
        <f t="shared" si="41"/>
        <v>3124.36</v>
      </c>
      <c r="O27" s="160">
        <f t="shared" si="54"/>
        <v>1528.6399999999999</v>
      </c>
      <c r="P27" s="161">
        <f t="shared" si="43"/>
        <v>0.10879999999999999</v>
      </c>
      <c r="Q27" s="160">
        <f t="shared" si="55"/>
        <v>166.31603199999998</v>
      </c>
      <c r="R27" s="162">
        <f t="shared" si="45"/>
        <v>183.45</v>
      </c>
      <c r="S27" s="160">
        <f t="shared" si="56"/>
        <v>349.766032</v>
      </c>
      <c r="T27" s="160">
        <f t="shared" si="47"/>
        <v>0</v>
      </c>
      <c r="U27" s="160">
        <f t="shared" si="57"/>
        <v>349.77</v>
      </c>
      <c r="V27" s="159">
        <f t="shared" si="49"/>
        <v>0</v>
      </c>
      <c r="W27" s="159">
        <f t="shared" si="50"/>
        <v>349.77</v>
      </c>
      <c r="X27" s="159">
        <f>SUM(W27:W27)</f>
        <v>349.77</v>
      </c>
      <c r="Y27" s="159">
        <f>K27+V27-X27</f>
        <v>4303.2299999999996</v>
      </c>
      <c r="Z27" s="110"/>
      <c r="AF27" s="96"/>
    </row>
    <row r="28" spans="1:32" s="51" customFormat="1" ht="39" customHeight="1" thickBot="1" x14ac:dyDescent="0.3">
      <c r="A28" s="284" t="s">
        <v>44</v>
      </c>
      <c r="B28" s="285"/>
      <c r="C28" s="285"/>
      <c r="D28" s="285"/>
      <c r="E28" s="285"/>
      <c r="F28" s="285"/>
      <c r="G28" s="285"/>
      <c r="H28" s="286"/>
      <c r="I28" s="163">
        <f t="shared" ref="I28:Y28" si="73">SUM(I9:I27)</f>
        <v>103035</v>
      </c>
      <c r="J28" s="163">
        <f t="shared" si="73"/>
        <v>0</v>
      </c>
      <c r="K28" s="163">
        <f t="shared" si="73"/>
        <v>103035</v>
      </c>
      <c r="L28" s="164">
        <f t="shared" si="73"/>
        <v>0</v>
      </c>
      <c r="M28" s="164">
        <f t="shared" si="73"/>
        <v>103035</v>
      </c>
      <c r="N28" s="164">
        <f t="shared" si="73"/>
        <v>85569.74</v>
      </c>
      <c r="O28" s="164">
        <f t="shared" si="73"/>
        <v>17465.259999999998</v>
      </c>
      <c r="P28" s="164">
        <f t="shared" si="73"/>
        <v>2.4632000000000001</v>
      </c>
      <c r="Q28" s="164">
        <f t="shared" si="73"/>
        <v>3218.7535279999993</v>
      </c>
      <c r="R28" s="164">
        <f t="shared" si="73"/>
        <v>7928.0999999999995</v>
      </c>
      <c r="S28" s="164">
        <f t="shared" si="73"/>
        <v>11146.853527999998</v>
      </c>
      <c r="T28" s="164">
        <f t="shared" si="73"/>
        <v>0</v>
      </c>
      <c r="U28" s="164">
        <f t="shared" si="73"/>
        <v>11146.890000000003</v>
      </c>
      <c r="V28" s="163">
        <f t="shared" si="73"/>
        <v>0</v>
      </c>
      <c r="W28" s="163">
        <f t="shared" si="73"/>
        <v>11146.890000000003</v>
      </c>
      <c r="X28" s="163">
        <f t="shared" si="73"/>
        <v>11146.890000000003</v>
      </c>
      <c r="Y28" s="163">
        <f t="shared" si="73"/>
        <v>91888.11</v>
      </c>
      <c r="Z28" s="111"/>
    </row>
    <row r="29" spans="1:32" s="51" customFormat="1" ht="39" customHeight="1" thickTop="1" x14ac:dyDescent="0.25">
      <c r="A29" s="105"/>
      <c r="B29" s="105"/>
      <c r="C29" s="105"/>
      <c r="D29" s="105"/>
      <c r="E29" s="105"/>
      <c r="F29" s="105"/>
      <c r="G29" s="105"/>
      <c r="H29" s="105"/>
      <c r="I29" s="106"/>
      <c r="J29" s="106"/>
      <c r="K29" s="106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6"/>
      <c r="W29" s="106"/>
      <c r="X29" s="106"/>
      <c r="Y29" s="106"/>
    </row>
    <row r="30" spans="1:32" s="51" customFormat="1" ht="39" customHeight="1" x14ac:dyDescent="0.25">
      <c r="A30" s="105"/>
      <c r="B30" s="105"/>
      <c r="C30" s="105"/>
      <c r="D30" s="105"/>
      <c r="E30" s="105"/>
      <c r="F30" s="105"/>
      <c r="G30" s="105"/>
      <c r="H30" s="105"/>
      <c r="I30" s="106"/>
      <c r="J30" s="106"/>
      <c r="K30" s="106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6"/>
      <c r="W30" s="106"/>
      <c r="X30" s="106"/>
      <c r="Y30" s="106"/>
    </row>
    <row r="31" spans="1:32" s="51" customFormat="1" ht="12" x14ac:dyDescent="0.2"/>
  </sheetData>
  <mergeCells count="11">
    <mergeCell ref="A28:H28"/>
    <mergeCell ref="C5:C7"/>
    <mergeCell ref="A1:Z1"/>
    <mergeCell ref="A2:Z2"/>
    <mergeCell ref="A3:Z3"/>
    <mergeCell ref="I5:K5"/>
    <mergeCell ref="N5:S5"/>
    <mergeCell ref="W5:X5"/>
    <mergeCell ref="B17:AA17"/>
    <mergeCell ref="B18:AA18"/>
    <mergeCell ref="B19:AA19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27 D15:D16 E21:E25 E16 D21:D27" xr:uid="{00000000-0002-0000-03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8"/>
  <sheetViews>
    <sheetView topLeftCell="B27" zoomScale="69" zoomScaleNormal="69" workbookViewId="0">
      <selection activeCell="X27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3.42578125" customWidth="1"/>
    <col min="5" max="5" width="15.42578125" customWidth="1"/>
    <col min="6" max="6" width="23.85546875" customWidth="1"/>
    <col min="7" max="7" width="7.85546875" hidden="1" customWidth="1"/>
    <col min="8" max="8" width="2.5703125" hidden="1" customWidth="1"/>
    <col min="9" max="9" width="14" customWidth="1"/>
    <col min="10" max="10" width="13.28515625" customWidth="1"/>
    <col min="11" max="11" width="13.7109375" customWidth="1"/>
    <col min="12" max="12" width="13.140625" hidden="1" customWidth="1"/>
    <col min="13" max="14" width="13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customWidth="1"/>
    <col min="23" max="23" width="13.42578125" customWidth="1"/>
    <col min="24" max="24" width="13" customWidth="1"/>
    <col min="25" max="25" width="13.5703125" customWidth="1"/>
    <col min="26" max="26" width="47.28515625" customWidth="1"/>
  </cols>
  <sheetData>
    <row r="1" spans="1:26" ht="18" x14ac:dyDescent="0.25">
      <c r="A1" s="297" t="s">
        <v>77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9.5" x14ac:dyDescent="0.25">
      <c r="A3" s="288" t="s">
        <v>323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s="51" customFormat="1" ht="12" x14ac:dyDescent="0.2">
      <c r="A5" s="47"/>
      <c r="B5" s="47"/>
      <c r="C5" s="47"/>
      <c r="D5" s="47"/>
      <c r="E5" s="47"/>
      <c r="F5" s="47"/>
      <c r="G5" s="48" t="s">
        <v>22</v>
      </c>
      <c r="H5" s="48" t="s">
        <v>5</v>
      </c>
      <c r="I5" s="309" t="s">
        <v>1</v>
      </c>
      <c r="J5" s="310"/>
      <c r="K5" s="311"/>
      <c r="L5" s="49" t="s">
        <v>25</v>
      </c>
      <c r="M5" s="50"/>
      <c r="N5" s="312" t="s">
        <v>8</v>
      </c>
      <c r="O5" s="313"/>
      <c r="P5" s="313"/>
      <c r="Q5" s="313"/>
      <c r="R5" s="313"/>
      <c r="S5" s="314"/>
      <c r="T5" s="49" t="s">
        <v>29</v>
      </c>
      <c r="U5" s="49" t="s">
        <v>9</v>
      </c>
      <c r="V5" s="48" t="s">
        <v>52</v>
      </c>
      <c r="W5" s="315" t="s">
        <v>2</v>
      </c>
      <c r="X5" s="316"/>
      <c r="Y5" s="48" t="s">
        <v>0</v>
      </c>
      <c r="Z5" s="47"/>
    </row>
    <row r="6" spans="1:26" s="51" customFormat="1" ht="24" x14ac:dyDescent="0.2">
      <c r="A6" s="52" t="s">
        <v>105</v>
      </c>
      <c r="B6" s="46" t="s">
        <v>100</v>
      </c>
      <c r="C6" s="46" t="s">
        <v>122</v>
      </c>
      <c r="D6" s="52" t="s">
        <v>21</v>
      </c>
      <c r="E6" s="52"/>
      <c r="F6" s="52"/>
      <c r="G6" s="53" t="s">
        <v>23</v>
      </c>
      <c r="H6" s="52" t="s">
        <v>24</v>
      </c>
      <c r="I6" s="48" t="s">
        <v>5</v>
      </c>
      <c r="J6" s="48" t="s">
        <v>57</v>
      </c>
      <c r="K6" s="48" t="s">
        <v>27</v>
      </c>
      <c r="L6" s="54" t="s">
        <v>26</v>
      </c>
      <c r="M6" s="50" t="s">
        <v>31</v>
      </c>
      <c r="N6" s="50" t="s">
        <v>11</v>
      </c>
      <c r="O6" s="50" t="s">
        <v>33</v>
      </c>
      <c r="P6" s="50" t="s">
        <v>35</v>
      </c>
      <c r="Q6" s="50" t="s">
        <v>36</v>
      </c>
      <c r="R6" s="85" t="s">
        <v>13</v>
      </c>
      <c r="S6" s="50" t="s">
        <v>9</v>
      </c>
      <c r="T6" s="54" t="s">
        <v>39</v>
      </c>
      <c r="U6" s="54" t="s">
        <v>40</v>
      </c>
      <c r="V6" s="52" t="s">
        <v>30</v>
      </c>
      <c r="W6" s="48" t="s">
        <v>294</v>
      </c>
      <c r="X6" s="48" t="s">
        <v>6</v>
      </c>
      <c r="Y6" s="52" t="s">
        <v>3</v>
      </c>
      <c r="Z6" s="52" t="s">
        <v>56</v>
      </c>
    </row>
    <row r="7" spans="1:26" s="51" customFormat="1" ht="12" x14ac:dyDescent="0.2">
      <c r="A7" s="52"/>
      <c r="B7" s="52"/>
      <c r="C7" s="52"/>
      <c r="D7" s="52"/>
      <c r="E7" s="52"/>
      <c r="F7" s="52"/>
      <c r="G7" s="52"/>
      <c r="H7" s="52"/>
      <c r="I7" s="52" t="s">
        <v>46</v>
      </c>
      <c r="J7" s="52" t="s">
        <v>58</v>
      </c>
      <c r="K7" s="52" t="s">
        <v>28</v>
      </c>
      <c r="L7" s="54" t="s">
        <v>42</v>
      </c>
      <c r="M7" s="49" t="s">
        <v>32</v>
      </c>
      <c r="N7" s="49" t="s">
        <v>12</v>
      </c>
      <c r="O7" s="49" t="s">
        <v>34</v>
      </c>
      <c r="P7" s="49" t="s">
        <v>34</v>
      </c>
      <c r="Q7" s="49" t="s">
        <v>37</v>
      </c>
      <c r="R7" s="86" t="s">
        <v>14</v>
      </c>
      <c r="S7" s="49" t="s">
        <v>38</v>
      </c>
      <c r="T7" s="54" t="s">
        <v>18</v>
      </c>
      <c r="U7" s="55" t="s">
        <v>123</v>
      </c>
      <c r="V7" s="52" t="s">
        <v>51</v>
      </c>
      <c r="W7" s="52"/>
      <c r="X7" s="52" t="s">
        <v>43</v>
      </c>
      <c r="Y7" s="52" t="s">
        <v>4</v>
      </c>
      <c r="Z7" s="56"/>
    </row>
    <row r="8" spans="1:26" s="4" customFormat="1" ht="39.75" customHeight="1" x14ac:dyDescent="0.25">
      <c r="A8" s="97"/>
      <c r="B8" s="116"/>
      <c r="C8" s="116"/>
      <c r="D8" s="116" t="s">
        <v>68</v>
      </c>
      <c r="E8" s="135" t="s">
        <v>315</v>
      </c>
      <c r="F8" s="116" t="s">
        <v>60</v>
      </c>
      <c r="G8" s="116"/>
      <c r="H8" s="116"/>
      <c r="I8" s="117">
        <f>SUM(I9:I20)</f>
        <v>47765</v>
      </c>
      <c r="J8" s="117">
        <f>SUM(J9:J20)</f>
        <v>0</v>
      </c>
      <c r="K8" s="117">
        <f>SUM(K9:K20)</f>
        <v>47765</v>
      </c>
      <c r="L8" s="116"/>
      <c r="M8" s="116"/>
      <c r="N8" s="116"/>
      <c r="O8" s="116"/>
      <c r="P8" s="116"/>
      <c r="Q8" s="116"/>
      <c r="R8" s="118"/>
      <c r="S8" s="116"/>
      <c r="T8" s="116"/>
      <c r="U8" s="116"/>
      <c r="V8" s="117">
        <f>SUM(V9:V20)</f>
        <v>24.99</v>
      </c>
      <c r="W8" s="117">
        <f>SUM(W9:W20)</f>
        <v>2749.08</v>
      </c>
      <c r="X8" s="117">
        <f>SUM(X9:X20)</f>
        <v>2749.08</v>
      </c>
      <c r="Y8" s="117">
        <f>SUM(Y9:Y20)</f>
        <v>45040.909999999989</v>
      </c>
      <c r="Z8" s="98"/>
    </row>
    <row r="9" spans="1:26" s="4" customFormat="1" ht="77.25" customHeight="1" x14ac:dyDescent="0.3">
      <c r="A9" s="43"/>
      <c r="B9" s="152" t="s">
        <v>174</v>
      </c>
      <c r="C9" s="152" t="s">
        <v>113</v>
      </c>
      <c r="D9" s="216" t="s">
        <v>169</v>
      </c>
      <c r="E9" s="221">
        <v>43512</v>
      </c>
      <c r="F9" s="154" t="s">
        <v>168</v>
      </c>
      <c r="G9" s="155">
        <v>15</v>
      </c>
      <c r="H9" s="156">
        <f>I9/G9</f>
        <v>265.66666666666669</v>
      </c>
      <c r="I9" s="157">
        <v>3985</v>
      </c>
      <c r="J9" s="158">
        <v>0</v>
      </c>
      <c r="K9" s="159">
        <f t="shared" ref="K9" si="0">SUM(I9:J9)</f>
        <v>3985</v>
      </c>
      <c r="L9" s="160">
        <f t="shared" ref="L9:L13" si="1">IF(I9/15&lt;=SMG,0,J9/2)</f>
        <v>0</v>
      </c>
      <c r="M9" s="160">
        <f>I9+L9</f>
        <v>3985</v>
      </c>
      <c r="N9" s="160">
        <f t="shared" ref="N9:N20" si="2">VLOOKUP(M9,Tarifa1,1)</f>
        <v>3124.36</v>
      </c>
      <c r="O9" s="160">
        <f>M9-N9</f>
        <v>860.63999999999987</v>
      </c>
      <c r="P9" s="161">
        <f t="shared" ref="P9:P20" si="3">VLOOKUP(M9,Tarifa1,3)</f>
        <v>0.10879999999999999</v>
      </c>
      <c r="Q9" s="160">
        <f>O9*P9</f>
        <v>93.637631999999982</v>
      </c>
      <c r="R9" s="162">
        <f t="shared" ref="R9:R20" si="4">VLOOKUP(M9,Tarifa1,2)</f>
        <v>183.45</v>
      </c>
      <c r="S9" s="160">
        <f>Q9+R9</f>
        <v>277.08763199999999</v>
      </c>
      <c r="T9" s="160">
        <f t="shared" ref="T9:T20" si="5">VLOOKUP(M9,Credito1,2)</f>
        <v>0</v>
      </c>
      <c r="U9" s="160">
        <f>ROUND(S9-T9,2)</f>
        <v>277.08999999999997</v>
      </c>
      <c r="V9" s="159">
        <f>-IF(U9&gt;0,0,U9)</f>
        <v>0</v>
      </c>
      <c r="W9" s="159">
        <f t="shared" ref="W9:W20" si="6">IF(I9/15&lt;=SMG,0,IF(U9&lt;0,0,U9))</f>
        <v>277.08999999999997</v>
      </c>
      <c r="X9" s="159">
        <f>SUM(W9:W9)</f>
        <v>277.08999999999997</v>
      </c>
      <c r="Y9" s="159">
        <f>K9+V9-X9</f>
        <v>3707.91</v>
      </c>
      <c r="Z9" s="89"/>
    </row>
    <row r="10" spans="1:26" s="4" customFormat="1" ht="77.25" customHeight="1" x14ac:dyDescent="0.3">
      <c r="A10" s="43"/>
      <c r="B10" s="152" t="s">
        <v>102</v>
      </c>
      <c r="C10" s="152" t="s">
        <v>113</v>
      </c>
      <c r="D10" s="216" t="s">
        <v>69</v>
      </c>
      <c r="E10" s="221">
        <v>39448</v>
      </c>
      <c r="F10" s="154" t="s">
        <v>70</v>
      </c>
      <c r="G10" s="155">
        <v>15</v>
      </c>
      <c r="H10" s="156">
        <f>I10/G10</f>
        <v>265.66666666666669</v>
      </c>
      <c r="I10" s="157">
        <v>3985</v>
      </c>
      <c r="J10" s="158">
        <v>0</v>
      </c>
      <c r="K10" s="159">
        <f t="shared" ref="K10" si="7">SUM(I10:J10)</f>
        <v>3985</v>
      </c>
      <c r="L10" s="160">
        <f t="shared" si="1"/>
        <v>0</v>
      </c>
      <c r="M10" s="160">
        <f t="shared" ref="M10:M20" si="8">I10+L10</f>
        <v>3985</v>
      </c>
      <c r="N10" s="160">
        <f t="shared" si="2"/>
        <v>3124.36</v>
      </c>
      <c r="O10" s="160">
        <f t="shared" ref="O10:O20" si="9">M10-N10</f>
        <v>860.63999999999987</v>
      </c>
      <c r="P10" s="161">
        <f t="shared" si="3"/>
        <v>0.10879999999999999</v>
      </c>
      <c r="Q10" s="160">
        <f t="shared" ref="Q10:Q20" si="10">O10*P10</f>
        <v>93.637631999999982</v>
      </c>
      <c r="R10" s="162">
        <f t="shared" si="4"/>
        <v>183.45</v>
      </c>
      <c r="S10" s="160">
        <f t="shared" ref="S10:S20" si="11">Q10+R10</f>
        <v>277.08763199999999</v>
      </c>
      <c r="T10" s="160">
        <f t="shared" si="5"/>
        <v>0</v>
      </c>
      <c r="U10" s="160">
        <f t="shared" ref="U10:U20" si="12">ROUND(S10-T10,2)</f>
        <v>277.08999999999997</v>
      </c>
      <c r="V10" s="159">
        <f t="shared" ref="V10:V20" si="13">-IF(U10&gt;0,0,U10)</f>
        <v>0</v>
      </c>
      <c r="W10" s="159">
        <f t="shared" si="6"/>
        <v>277.08999999999997</v>
      </c>
      <c r="X10" s="159">
        <f>SUM(W10:W10)</f>
        <v>277.08999999999997</v>
      </c>
      <c r="Y10" s="159">
        <f>K10+V10-X10</f>
        <v>3707.91</v>
      </c>
      <c r="Z10" s="89"/>
    </row>
    <row r="11" spans="1:26" s="4" customFormat="1" ht="77.25" customHeight="1" x14ac:dyDescent="0.3">
      <c r="A11" s="43"/>
      <c r="B11" s="152" t="s">
        <v>274</v>
      </c>
      <c r="C11" s="152" t="s">
        <v>113</v>
      </c>
      <c r="D11" s="216" t="s">
        <v>278</v>
      </c>
      <c r="E11" s="227">
        <v>44743</v>
      </c>
      <c r="F11" s="154" t="s">
        <v>168</v>
      </c>
      <c r="G11" s="155">
        <v>15</v>
      </c>
      <c r="H11" s="156"/>
      <c r="I11" s="157">
        <v>3985</v>
      </c>
      <c r="J11" s="158">
        <v>0</v>
      </c>
      <c r="K11" s="159">
        <f t="shared" ref="K11" si="14">SUM(I11:J11)</f>
        <v>3985</v>
      </c>
      <c r="L11" s="160">
        <f t="shared" si="1"/>
        <v>0</v>
      </c>
      <c r="M11" s="160">
        <f t="shared" si="8"/>
        <v>3985</v>
      </c>
      <c r="N11" s="160">
        <f t="shared" si="2"/>
        <v>3124.36</v>
      </c>
      <c r="O11" s="160">
        <f t="shared" si="9"/>
        <v>860.63999999999987</v>
      </c>
      <c r="P11" s="161">
        <f t="shared" si="3"/>
        <v>0.10879999999999999</v>
      </c>
      <c r="Q11" s="160">
        <f t="shared" si="10"/>
        <v>93.637631999999982</v>
      </c>
      <c r="R11" s="162">
        <f t="shared" si="4"/>
        <v>183.45</v>
      </c>
      <c r="S11" s="160">
        <f t="shared" si="11"/>
        <v>277.08763199999999</v>
      </c>
      <c r="T11" s="160">
        <f t="shared" si="5"/>
        <v>0</v>
      </c>
      <c r="U11" s="160">
        <f t="shared" si="12"/>
        <v>277.08999999999997</v>
      </c>
      <c r="V11" s="159">
        <f t="shared" si="13"/>
        <v>0</v>
      </c>
      <c r="W11" s="159">
        <f t="shared" si="6"/>
        <v>277.08999999999997</v>
      </c>
      <c r="X11" s="159">
        <f>SUM(W11:W11)</f>
        <v>277.08999999999997</v>
      </c>
      <c r="Y11" s="159">
        <f>K11+V11-X11</f>
        <v>3707.91</v>
      </c>
      <c r="Z11" s="89"/>
    </row>
    <row r="12" spans="1:26" s="4" customFormat="1" ht="77.25" customHeight="1" x14ac:dyDescent="0.3">
      <c r="A12" s="43"/>
      <c r="B12" s="152" t="s">
        <v>130</v>
      </c>
      <c r="C12" s="152" t="s">
        <v>113</v>
      </c>
      <c r="D12" s="218" t="s">
        <v>129</v>
      </c>
      <c r="E12" s="225">
        <v>42948</v>
      </c>
      <c r="F12" s="154" t="s">
        <v>101</v>
      </c>
      <c r="G12" s="155">
        <v>15</v>
      </c>
      <c r="H12" s="156">
        <f>I12/G12</f>
        <v>297.8</v>
      </c>
      <c r="I12" s="157">
        <v>4467</v>
      </c>
      <c r="J12" s="158">
        <v>0</v>
      </c>
      <c r="K12" s="159">
        <f>SUM(I12:J12)</f>
        <v>4467</v>
      </c>
      <c r="L12" s="160">
        <f t="shared" si="1"/>
        <v>0</v>
      </c>
      <c r="M12" s="160">
        <f t="shared" si="8"/>
        <v>4467</v>
      </c>
      <c r="N12" s="160">
        <f t="shared" si="2"/>
        <v>3124.36</v>
      </c>
      <c r="O12" s="160">
        <f t="shared" si="9"/>
        <v>1342.6399999999999</v>
      </c>
      <c r="P12" s="161">
        <f t="shared" si="3"/>
        <v>0.10879999999999999</v>
      </c>
      <c r="Q12" s="160">
        <f t="shared" si="10"/>
        <v>146.07923199999999</v>
      </c>
      <c r="R12" s="162">
        <f t="shared" si="4"/>
        <v>183.45</v>
      </c>
      <c r="S12" s="160">
        <f t="shared" si="11"/>
        <v>329.52923199999998</v>
      </c>
      <c r="T12" s="160">
        <f t="shared" si="5"/>
        <v>0</v>
      </c>
      <c r="U12" s="160">
        <f t="shared" si="12"/>
        <v>329.53</v>
      </c>
      <c r="V12" s="159">
        <f t="shared" si="13"/>
        <v>0</v>
      </c>
      <c r="W12" s="159">
        <f t="shared" si="6"/>
        <v>329.53</v>
      </c>
      <c r="X12" s="159">
        <f>SUM(W12:W12)</f>
        <v>329.53</v>
      </c>
      <c r="Y12" s="159">
        <f>K12+V12-X12</f>
        <v>4137.47</v>
      </c>
      <c r="Z12" s="89"/>
    </row>
    <row r="13" spans="1:26" s="4" customFormat="1" ht="77.25" customHeight="1" x14ac:dyDescent="0.3">
      <c r="A13" s="43"/>
      <c r="B13" s="152" t="s">
        <v>184</v>
      </c>
      <c r="C13" s="152" t="s">
        <v>113</v>
      </c>
      <c r="D13" s="218" t="s">
        <v>185</v>
      </c>
      <c r="E13" s="225">
        <v>43709</v>
      </c>
      <c r="F13" s="154" t="s">
        <v>248</v>
      </c>
      <c r="G13" s="155">
        <v>15</v>
      </c>
      <c r="H13" s="156"/>
      <c r="I13" s="157">
        <v>3403</v>
      </c>
      <c r="J13" s="158">
        <v>0</v>
      </c>
      <c r="K13" s="159">
        <f t="shared" ref="K13" si="15">SUM(I13:J13)</f>
        <v>3403</v>
      </c>
      <c r="L13" s="160">
        <f t="shared" si="1"/>
        <v>0</v>
      </c>
      <c r="M13" s="160">
        <f t="shared" si="8"/>
        <v>3403</v>
      </c>
      <c r="N13" s="160">
        <f t="shared" si="2"/>
        <v>3124.36</v>
      </c>
      <c r="O13" s="160">
        <f t="shared" si="9"/>
        <v>278.63999999999987</v>
      </c>
      <c r="P13" s="161">
        <f t="shared" si="3"/>
        <v>0.10879999999999999</v>
      </c>
      <c r="Q13" s="160">
        <f t="shared" si="10"/>
        <v>30.316031999999986</v>
      </c>
      <c r="R13" s="162">
        <f t="shared" si="4"/>
        <v>183.45</v>
      </c>
      <c r="S13" s="160">
        <f t="shared" si="11"/>
        <v>213.76603199999997</v>
      </c>
      <c r="T13" s="160">
        <f t="shared" si="5"/>
        <v>125.1</v>
      </c>
      <c r="U13" s="160">
        <f t="shared" si="12"/>
        <v>88.67</v>
      </c>
      <c r="V13" s="159">
        <f t="shared" si="13"/>
        <v>0</v>
      </c>
      <c r="W13" s="159">
        <f t="shared" si="6"/>
        <v>88.67</v>
      </c>
      <c r="X13" s="159">
        <f>SUM(W13:W13)</f>
        <v>88.67</v>
      </c>
      <c r="Y13" s="159">
        <f>K13+V13-X13</f>
        <v>3314.33</v>
      </c>
      <c r="Z13" s="89"/>
    </row>
    <row r="14" spans="1:26" s="4" customFormat="1" ht="77.25" customHeight="1" x14ac:dyDescent="0.3">
      <c r="A14" s="43"/>
      <c r="B14" s="152" t="s">
        <v>249</v>
      </c>
      <c r="C14" s="152" t="s">
        <v>113</v>
      </c>
      <c r="D14" s="218" t="s">
        <v>251</v>
      </c>
      <c r="E14" s="225">
        <v>44470</v>
      </c>
      <c r="F14" s="154" t="s">
        <v>250</v>
      </c>
      <c r="G14" s="155">
        <v>15</v>
      </c>
      <c r="H14" s="156"/>
      <c r="I14" s="157">
        <v>2373</v>
      </c>
      <c r="J14" s="158">
        <v>0</v>
      </c>
      <c r="K14" s="159">
        <f>SUM(I14:J14)</f>
        <v>2373</v>
      </c>
      <c r="L14" s="160">
        <f>IF(I14/15&lt;=SMG,0,J14/2)</f>
        <v>0</v>
      </c>
      <c r="M14" s="160">
        <f t="shared" si="8"/>
        <v>2373</v>
      </c>
      <c r="N14" s="160">
        <f t="shared" si="2"/>
        <v>368.11</v>
      </c>
      <c r="O14" s="160">
        <f t="shared" si="9"/>
        <v>2004.8899999999999</v>
      </c>
      <c r="P14" s="161">
        <f t="shared" si="3"/>
        <v>6.4000000000000001E-2</v>
      </c>
      <c r="Q14" s="160">
        <f t="shared" si="10"/>
        <v>128.31296</v>
      </c>
      <c r="R14" s="162">
        <f t="shared" si="4"/>
        <v>7.05</v>
      </c>
      <c r="S14" s="160">
        <f t="shared" si="11"/>
        <v>135.36296000000002</v>
      </c>
      <c r="T14" s="160">
        <f t="shared" si="5"/>
        <v>160.35</v>
      </c>
      <c r="U14" s="160">
        <f t="shared" si="12"/>
        <v>-24.99</v>
      </c>
      <c r="V14" s="159">
        <f t="shared" si="13"/>
        <v>24.99</v>
      </c>
      <c r="W14" s="159">
        <f t="shared" si="6"/>
        <v>0</v>
      </c>
      <c r="X14" s="159">
        <f>SUM(W14:W14)</f>
        <v>0</v>
      </c>
      <c r="Y14" s="159">
        <f>K14+V14-X14</f>
        <v>2397.9899999999998</v>
      </c>
      <c r="Z14" s="89"/>
    </row>
    <row r="15" spans="1:26" s="4" customFormat="1" ht="77.25" customHeight="1" x14ac:dyDescent="0.3">
      <c r="A15" s="43"/>
      <c r="B15" s="152" t="s">
        <v>301</v>
      </c>
      <c r="C15" s="152" t="s">
        <v>113</v>
      </c>
      <c r="D15" s="218" t="s">
        <v>302</v>
      </c>
      <c r="E15" s="225">
        <v>44973</v>
      </c>
      <c r="F15" s="154" t="s">
        <v>303</v>
      </c>
      <c r="G15" s="155"/>
      <c r="H15" s="156"/>
      <c r="I15" s="157">
        <v>3403</v>
      </c>
      <c r="J15" s="158">
        <v>0</v>
      </c>
      <c r="K15" s="159">
        <f t="shared" ref="K15" si="16">SUM(I15:J15)</f>
        <v>3403</v>
      </c>
      <c r="L15" s="160">
        <f t="shared" ref="L15" si="17">IF(I15/15&lt;=SMG,0,J15/2)</f>
        <v>0</v>
      </c>
      <c r="M15" s="160">
        <f t="shared" ref="M15" si="18">I15+L15</f>
        <v>3403</v>
      </c>
      <c r="N15" s="160">
        <f t="shared" ref="N15" si="19">VLOOKUP(M15,Tarifa1,1)</f>
        <v>3124.36</v>
      </c>
      <c r="O15" s="160">
        <f t="shared" ref="O15" si="20">M15-N15</f>
        <v>278.63999999999987</v>
      </c>
      <c r="P15" s="161">
        <f t="shared" ref="P15" si="21">VLOOKUP(M15,Tarifa1,3)</f>
        <v>0.10879999999999999</v>
      </c>
      <c r="Q15" s="160">
        <f t="shared" ref="Q15" si="22">O15*P15</f>
        <v>30.316031999999986</v>
      </c>
      <c r="R15" s="162">
        <f t="shared" ref="R15" si="23">VLOOKUP(M15,Tarifa1,2)</f>
        <v>183.45</v>
      </c>
      <c r="S15" s="160">
        <f t="shared" ref="S15" si="24">Q15+R15</f>
        <v>213.76603199999997</v>
      </c>
      <c r="T15" s="160">
        <f t="shared" ref="T15" si="25">VLOOKUP(M15,Credito1,2)</f>
        <v>125.1</v>
      </c>
      <c r="U15" s="160">
        <f t="shared" ref="U15" si="26">ROUND(S15-T15,2)</f>
        <v>88.67</v>
      </c>
      <c r="V15" s="159">
        <f t="shared" ref="V15" si="27">-IF(U15&gt;0,0,U15)</f>
        <v>0</v>
      </c>
      <c r="W15" s="159">
        <f t="shared" ref="W15" si="28">IF(I15/15&lt;=SMG,0,IF(U15&lt;0,0,U15))</f>
        <v>88.67</v>
      </c>
      <c r="X15" s="159">
        <f>SUM(W15:W15)</f>
        <v>88.67</v>
      </c>
      <c r="Y15" s="159">
        <f>K15+V15-X15</f>
        <v>3314.33</v>
      </c>
      <c r="Z15" s="89"/>
    </row>
    <row r="16" spans="1:26" s="4" customFormat="1" ht="77.25" customHeight="1" x14ac:dyDescent="0.3">
      <c r="A16" s="43"/>
      <c r="B16" s="151" t="s">
        <v>218</v>
      </c>
      <c r="C16" s="152" t="s">
        <v>113</v>
      </c>
      <c r="D16" s="216" t="s">
        <v>237</v>
      </c>
      <c r="E16" s="221">
        <v>44470</v>
      </c>
      <c r="F16" s="153" t="s">
        <v>71</v>
      </c>
      <c r="G16" s="155">
        <v>15</v>
      </c>
      <c r="H16" s="156">
        <f>I16/G16</f>
        <v>497.6</v>
      </c>
      <c r="I16" s="157">
        <v>7464</v>
      </c>
      <c r="J16" s="158">
        <v>0</v>
      </c>
      <c r="K16" s="159">
        <f t="shared" ref="K16" si="29">SUM(I16:J16)</f>
        <v>7464</v>
      </c>
      <c r="L16" s="160">
        <f t="shared" ref="L16" si="30">IF(I16/15&lt;=SMG,0,J16/2)</f>
        <v>0</v>
      </c>
      <c r="M16" s="160">
        <f t="shared" si="8"/>
        <v>7464</v>
      </c>
      <c r="N16" s="160">
        <f t="shared" si="2"/>
        <v>6382.81</v>
      </c>
      <c r="O16" s="160">
        <f t="shared" si="9"/>
        <v>1081.1899999999996</v>
      </c>
      <c r="P16" s="161">
        <f t="shared" si="3"/>
        <v>0.1792</v>
      </c>
      <c r="Q16" s="160">
        <f t="shared" si="10"/>
        <v>193.74924799999994</v>
      </c>
      <c r="R16" s="162">
        <f t="shared" si="4"/>
        <v>583.65</v>
      </c>
      <c r="S16" s="160">
        <f t="shared" si="11"/>
        <v>777.39924799999994</v>
      </c>
      <c r="T16" s="160">
        <f t="shared" si="5"/>
        <v>0</v>
      </c>
      <c r="U16" s="160">
        <f t="shared" si="12"/>
        <v>777.4</v>
      </c>
      <c r="V16" s="159">
        <f t="shared" si="13"/>
        <v>0</v>
      </c>
      <c r="W16" s="159">
        <f t="shared" si="6"/>
        <v>777.4</v>
      </c>
      <c r="X16" s="159">
        <f>SUM(W16:W16)</f>
        <v>777.4</v>
      </c>
      <c r="Y16" s="159">
        <f>K16+V16-X16</f>
        <v>6686.6</v>
      </c>
      <c r="Z16" s="89"/>
    </row>
    <row r="17" spans="1:32" s="4" customFormat="1" ht="77.25" customHeight="1" x14ac:dyDescent="0.3">
      <c r="A17" s="43"/>
      <c r="B17" s="151" t="s">
        <v>219</v>
      </c>
      <c r="C17" s="152" t="s">
        <v>113</v>
      </c>
      <c r="D17" s="216" t="s">
        <v>236</v>
      </c>
      <c r="E17" s="221">
        <v>44473</v>
      </c>
      <c r="F17" s="154" t="s">
        <v>167</v>
      </c>
      <c r="G17" s="155">
        <v>15</v>
      </c>
      <c r="H17" s="156"/>
      <c r="I17" s="157">
        <v>4241</v>
      </c>
      <c r="J17" s="158">
        <v>0</v>
      </c>
      <c r="K17" s="159">
        <f>SUM(I17:J17)</f>
        <v>4241</v>
      </c>
      <c r="L17" s="160">
        <f>IF(I17/15&lt;=SMG,0,J17/2)</f>
        <v>0</v>
      </c>
      <c r="M17" s="160">
        <f t="shared" si="8"/>
        <v>4241</v>
      </c>
      <c r="N17" s="160">
        <f t="shared" si="2"/>
        <v>3124.36</v>
      </c>
      <c r="O17" s="160">
        <f t="shared" si="9"/>
        <v>1116.6399999999999</v>
      </c>
      <c r="P17" s="161">
        <f t="shared" si="3"/>
        <v>0.10879999999999999</v>
      </c>
      <c r="Q17" s="160">
        <f t="shared" si="10"/>
        <v>121.49043199999998</v>
      </c>
      <c r="R17" s="162">
        <f t="shared" si="4"/>
        <v>183.45</v>
      </c>
      <c r="S17" s="160">
        <f t="shared" si="11"/>
        <v>304.94043199999999</v>
      </c>
      <c r="T17" s="160">
        <f t="shared" si="5"/>
        <v>0</v>
      </c>
      <c r="U17" s="160">
        <f t="shared" si="12"/>
        <v>304.94</v>
      </c>
      <c r="V17" s="159">
        <f t="shared" si="13"/>
        <v>0</v>
      </c>
      <c r="W17" s="159">
        <f t="shared" si="6"/>
        <v>304.94</v>
      </c>
      <c r="X17" s="159">
        <f>SUM(W17:W17)</f>
        <v>304.94</v>
      </c>
      <c r="Y17" s="159">
        <f>K17+V17-X17</f>
        <v>3936.06</v>
      </c>
      <c r="Z17" s="89"/>
    </row>
    <row r="18" spans="1:32" s="4" customFormat="1" ht="77.25" customHeight="1" x14ac:dyDescent="0.3">
      <c r="A18" s="112"/>
      <c r="B18" s="151" t="s">
        <v>191</v>
      </c>
      <c r="C18" s="152" t="s">
        <v>113</v>
      </c>
      <c r="D18" s="216" t="s">
        <v>80</v>
      </c>
      <c r="E18" s="221">
        <v>41410</v>
      </c>
      <c r="F18" s="154" t="s">
        <v>179</v>
      </c>
      <c r="G18" s="155">
        <v>15</v>
      </c>
      <c r="H18" s="156">
        <f>I18/G18</f>
        <v>214.73333333333332</v>
      </c>
      <c r="I18" s="157">
        <v>3221</v>
      </c>
      <c r="J18" s="158">
        <v>0</v>
      </c>
      <c r="K18" s="159">
        <f>SUM(I18:J18)</f>
        <v>3221</v>
      </c>
      <c r="L18" s="160">
        <f>IF(I18/15&lt;=SMG,0,J18/2)</f>
        <v>0</v>
      </c>
      <c r="M18" s="160">
        <f t="shared" si="8"/>
        <v>3221</v>
      </c>
      <c r="N18" s="160">
        <f t="shared" si="2"/>
        <v>3124.36</v>
      </c>
      <c r="O18" s="160">
        <f t="shared" si="9"/>
        <v>96.639999999999873</v>
      </c>
      <c r="P18" s="161">
        <f t="shared" si="3"/>
        <v>0.10879999999999999</v>
      </c>
      <c r="Q18" s="160">
        <f t="shared" si="10"/>
        <v>10.514431999999985</v>
      </c>
      <c r="R18" s="162">
        <f t="shared" si="4"/>
        <v>183.45</v>
      </c>
      <c r="S18" s="160">
        <f t="shared" si="11"/>
        <v>193.96443199999999</v>
      </c>
      <c r="T18" s="160">
        <f t="shared" si="5"/>
        <v>125.1</v>
      </c>
      <c r="U18" s="160">
        <f t="shared" si="12"/>
        <v>68.86</v>
      </c>
      <c r="V18" s="159">
        <f t="shared" si="13"/>
        <v>0</v>
      </c>
      <c r="W18" s="159">
        <f t="shared" si="6"/>
        <v>68.86</v>
      </c>
      <c r="X18" s="159">
        <f>SUM(W18:W18)</f>
        <v>68.86</v>
      </c>
      <c r="Y18" s="159">
        <f>K18+V18-X18</f>
        <v>3152.14</v>
      </c>
      <c r="Z18" s="89"/>
      <c r="AA18" s="87"/>
    </row>
    <row r="19" spans="1:32" s="4" customFormat="1" ht="77.25" customHeight="1" x14ac:dyDescent="0.3">
      <c r="A19" s="112"/>
      <c r="B19" s="151" t="s">
        <v>220</v>
      </c>
      <c r="C19" s="152" t="s">
        <v>113</v>
      </c>
      <c r="D19" s="216" t="s">
        <v>232</v>
      </c>
      <c r="E19" s="221">
        <v>44470</v>
      </c>
      <c r="F19" s="154" t="s">
        <v>141</v>
      </c>
      <c r="G19" s="155">
        <v>15</v>
      </c>
      <c r="H19" s="156"/>
      <c r="I19" s="157">
        <v>3619</v>
      </c>
      <c r="J19" s="158">
        <v>0</v>
      </c>
      <c r="K19" s="159">
        <f t="shared" ref="K19" si="31">SUM(I19:J19)</f>
        <v>3619</v>
      </c>
      <c r="L19" s="160">
        <f t="shared" ref="L19" si="32">IF(I19/15&lt;=SMG,0,J19/2)</f>
        <v>0</v>
      </c>
      <c r="M19" s="160">
        <f t="shared" si="8"/>
        <v>3619</v>
      </c>
      <c r="N19" s="160">
        <f t="shared" si="2"/>
        <v>3124.36</v>
      </c>
      <c r="O19" s="160">
        <f t="shared" si="9"/>
        <v>494.63999999999987</v>
      </c>
      <c r="P19" s="161">
        <f t="shared" si="3"/>
        <v>0.10879999999999999</v>
      </c>
      <c r="Q19" s="160">
        <f t="shared" si="10"/>
        <v>53.816831999999984</v>
      </c>
      <c r="R19" s="162">
        <f t="shared" si="4"/>
        <v>183.45</v>
      </c>
      <c r="S19" s="160">
        <f t="shared" si="11"/>
        <v>237.26683199999997</v>
      </c>
      <c r="T19" s="160">
        <f t="shared" si="5"/>
        <v>107.4</v>
      </c>
      <c r="U19" s="160">
        <f t="shared" si="12"/>
        <v>129.87</v>
      </c>
      <c r="V19" s="159">
        <f t="shared" si="13"/>
        <v>0</v>
      </c>
      <c r="W19" s="159">
        <f t="shared" si="6"/>
        <v>129.87</v>
      </c>
      <c r="X19" s="159">
        <f>SUM(W19:W19)</f>
        <v>129.87</v>
      </c>
      <c r="Y19" s="159">
        <f>K19+V19-X19</f>
        <v>3489.13</v>
      </c>
      <c r="Z19" s="89"/>
      <c r="AA19" s="87"/>
    </row>
    <row r="20" spans="1:32" s="4" customFormat="1" ht="77.25" customHeight="1" x14ac:dyDescent="0.3">
      <c r="A20" s="112"/>
      <c r="B20" s="151" t="s">
        <v>253</v>
      </c>
      <c r="C20" s="152" t="s">
        <v>113</v>
      </c>
      <c r="D20" s="216" t="s">
        <v>234</v>
      </c>
      <c r="E20" s="221">
        <v>44473</v>
      </c>
      <c r="F20" s="154" t="s">
        <v>141</v>
      </c>
      <c r="G20" s="155">
        <v>15</v>
      </c>
      <c r="H20" s="156"/>
      <c r="I20" s="157">
        <v>3619</v>
      </c>
      <c r="J20" s="158">
        <v>0</v>
      </c>
      <c r="K20" s="159">
        <f>SUM(I20:J20)</f>
        <v>3619</v>
      </c>
      <c r="L20" s="160">
        <f>IF(I20/15&lt;=SMG,0,J20/2)</f>
        <v>0</v>
      </c>
      <c r="M20" s="160">
        <f t="shared" si="8"/>
        <v>3619</v>
      </c>
      <c r="N20" s="160">
        <f t="shared" si="2"/>
        <v>3124.36</v>
      </c>
      <c r="O20" s="160">
        <f t="shared" si="9"/>
        <v>494.63999999999987</v>
      </c>
      <c r="P20" s="161">
        <f t="shared" si="3"/>
        <v>0.10879999999999999</v>
      </c>
      <c r="Q20" s="160">
        <f t="shared" si="10"/>
        <v>53.816831999999984</v>
      </c>
      <c r="R20" s="162">
        <f t="shared" si="4"/>
        <v>183.45</v>
      </c>
      <c r="S20" s="160">
        <f t="shared" si="11"/>
        <v>237.26683199999997</v>
      </c>
      <c r="T20" s="160">
        <f t="shared" si="5"/>
        <v>107.4</v>
      </c>
      <c r="U20" s="160">
        <f t="shared" si="12"/>
        <v>129.87</v>
      </c>
      <c r="V20" s="159">
        <f t="shared" si="13"/>
        <v>0</v>
      </c>
      <c r="W20" s="159">
        <f t="shared" si="6"/>
        <v>129.87</v>
      </c>
      <c r="X20" s="159">
        <f>SUM(W20:W20)</f>
        <v>129.87</v>
      </c>
      <c r="Y20" s="159">
        <f>K20+V20-X20</f>
        <v>3489.13</v>
      </c>
      <c r="Z20" s="89"/>
      <c r="AA20" s="87"/>
    </row>
    <row r="21" spans="1:32" s="4" customFormat="1" ht="75" customHeight="1" x14ac:dyDescent="0.2">
      <c r="A21" s="112"/>
      <c r="B21" s="136"/>
      <c r="C21" s="112"/>
      <c r="D21" s="147"/>
      <c r="E21" s="147"/>
      <c r="F21" s="147"/>
      <c r="G21" s="137"/>
      <c r="H21" s="138"/>
      <c r="I21" s="139"/>
      <c r="J21" s="140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AA21" s="87"/>
    </row>
    <row r="22" spans="1:32" s="4" customFormat="1" ht="24" customHeight="1" x14ac:dyDescent="0.25">
      <c r="A22" s="112"/>
      <c r="B22" s="297" t="s">
        <v>77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</row>
    <row r="23" spans="1:32" s="4" customFormat="1" ht="24" customHeight="1" x14ac:dyDescent="0.25">
      <c r="A23" s="112"/>
      <c r="B23" s="297" t="s">
        <v>63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</row>
    <row r="24" spans="1:32" s="4" customFormat="1" ht="25.5" customHeight="1" x14ac:dyDescent="0.25">
      <c r="A24" s="112"/>
      <c r="B24" s="288" t="s">
        <v>323</v>
      </c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</row>
    <row r="25" spans="1:32" s="4" customFormat="1" ht="24" customHeight="1" x14ac:dyDescent="0.2">
      <c r="A25" s="112"/>
      <c r="B25" s="136"/>
      <c r="C25" s="112"/>
      <c r="D25" s="147"/>
      <c r="E25" s="147"/>
      <c r="F25" s="147"/>
      <c r="G25" s="137"/>
      <c r="H25" s="138"/>
      <c r="I25" s="139"/>
      <c r="J25" s="140"/>
      <c r="K25" s="141"/>
      <c r="L25" s="142"/>
      <c r="M25" s="142"/>
      <c r="N25" s="142"/>
      <c r="O25" s="142"/>
      <c r="P25" s="143"/>
      <c r="Q25" s="142"/>
      <c r="R25" s="144"/>
      <c r="S25" s="142"/>
      <c r="T25" s="145"/>
      <c r="U25" s="142"/>
      <c r="V25" s="141"/>
      <c r="W25" s="141"/>
      <c r="X25" s="141"/>
      <c r="Y25" s="141"/>
      <c r="AA25" s="87"/>
    </row>
    <row r="26" spans="1:32" s="4" customFormat="1" ht="21.75" customHeight="1" x14ac:dyDescent="0.2">
      <c r="A26" s="112"/>
      <c r="B26" s="136"/>
      <c r="C26" s="112"/>
      <c r="D26" s="147"/>
      <c r="E26" s="147"/>
      <c r="F26" s="147"/>
      <c r="G26" s="137"/>
      <c r="H26" s="138"/>
      <c r="I26" s="139"/>
      <c r="J26" s="140"/>
      <c r="K26" s="141"/>
      <c r="L26" s="142"/>
      <c r="M26" s="142"/>
      <c r="N26" s="142"/>
      <c r="O26" s="142"/>
      <c r="P26" s="143"/>
      <c r="Q26" s="142"/>
      <c r="R26" s="144"/>
      <c r="S26" s="142"/>
      <c r="T26" s="145"/>
      <c r="U26" s="142"/>
      <c r="V26" s="141"/>
      <c r="W26" s="141"/>
      <c r="X26" s="141"/>
      <c r="Y26" s="141"/>
      <c r="AA26" s="87"/>
    </row>
    <row r="27" spans="1:32" s="4" customFormat="1" ht="57.75" customHeight="1" x14ac:dyDescent="0.25">
      <c r="A27" s="108"/>
      <c r="B27" s="115" t="s">
        <v>100</v>
      </c>
      <c r="C27" s="115" t="s">
        <v>122</v>
      </c>
      <c r="D27" s="116" t="s">
        <v>121</v>
      </c>
      <c r="E27" s="135" t="s">
        <v>315</v>
      </c>
      <c r="F27" s="116" t="s">
        <v>60</v>
      </c>
      <c r="G27" s="116"/>
      <c r="H27" s="116"/>
      <c r="I27" s="117">
        <f>SUM(I28:I29)</f>
        <v>10933.51</v>
      </c>
      <c r="J27" s="117">
        <f>SUM(J28:J29)</f>
        <v>0</v>
      </c>
      <c r="K27" s="117">
        <f>SUM(K28:K29)</f>
        <v>10933.51</v>
      </c>
      <c r="L27" s="116"/>
      <c r="M27" s="116"/>
      <c r="N27" s="116"/>
      <c r="O27" s="116"/>
      <c r="P27" s="116"/>
      <c r="Q27" s="116"/>
      <c r="R27" s="118"/>
      <c r="S27" s="116"/>
      <c r="T27" s="116"/>
      <c r="U27" s="116"/>
      <c r="V27" s="117">
        <f>SUM(V28:V29)</f>
        <v>0</v>
      </c>
      <c r="W27" s="117">
        <f>SUM(W28:W29)</f>
        <v>892.14</v>
      </c>
      <c r="X27" s="117">
        <f>SUM(X28:X29)</f>
        <v>892.14</v>
      </c>
      <c r="Y27" s="117">
        <f>SUM(Y28:Y29)</f>
        <v>10041.370000000001</v>
      </c>
      <c r="Z27" s="98"/>
    </row>
    <row r="28" spans="1:32" s="4" customFormat="1" ht="99.75" customHeight="1" x14ac:dyDescent="0.3">
      <c r="A28" s="109" t="s">
        <v>83</v>
      </c>
      <c r="B28" s="151" t="s">
        <v>156</v>
      </c>
      <c r="C28" s="152" t="s">
        <v>113</v>
      </c>
      <c r="D28" s="216" t="s">
        <v>143</v>
      </c>
      <c r="E28" s="221">
        <v>43374</v>
      </c>
      <c r="F28" s="154" t="s">
        <v>142</v>
      </c>
      <c r="G28" s="155">
        <v>15</v>
      </c>
      <c r="H28" s="156">
        <f>I28/G28</f>
        <v>342.73333333333335</v>
      </c>
      <c r="I28" s="157">
        <v>5141</v>
      </c>
      <c r="J28" s="158">
        <v>0</v>
      </c>
      <c r="K28" s="159">
        <f>SUM(I28:J28)</f>
        <v>5141</v>
      </c>
      <c r="L28" s="160">
        <f>IF(I28/15&lt;=SMG,0,J28/2)</f>
        <v>0</v>
      </c>
      <c r="M28" s="160">
        <f t="shared" ref="M28:M29" si="33">I28+L28</f>
        <v>5141</v>
      </c>
      <c r="N28" s="160">
        <f>VLOOKUP(M28,Tarifa1,1)</f>
        <v>3124.36</v>
      </c>
      <c r="O28" s="160">
        <f t="shared" ref="O28:O29" si="34">M28-N28</f>
        <v>2016.6399999999999</v>
      </c>
      <c r="P28" s="161">
        <f>VLOOKUP(M28,Tarifa1,3)</f>
        <v>0.10879999999999999</v>
      </c>
      <c r="Q28" s="160">
        <f t="shared" ref="Q28:Q29" si="35">O28*P28</f>
        <v>219.41043199999999</v>
      </c>
      <c r="R28" s="162">
        <f>VLOOKUP(M28,Tarifa1,2)</f>
        <v>183.45</v>
      </c>
      <c r="S28" s="160">
        <f t="shared" ref="S28:S29" si="36">Q28+R28</f>
        <v>402.86043199999995</v>
      </c>
      <c r="T28" s="160">
        <f>VLOOKUP(M28,Credito1,2)</f>
        <v>0</v>
      </c>
      <c r="U28" s="160">
        <f t="shared" ref="U28:U29" si="37">ROUND(S28-T28,2)</f>
        <v>402.86</v>
      </c>
      <c r="V28" s="159">
        <f t="shared" ref="V28:V29" si="38">-IF(U28&gt;0,0,U28)</f>
        <v>0</v>
      </c>
      <c r="W28" s="159">
        <f>IF(I28/15&lt;=SMG,0,IF(U28&lt;0,0,U28))</f>
        <v>402.86</v>
      </c>
      <c r="X28" s="159">
        <f>SUM(W28:W28)</f>
        <v>402.86</v>
      </c>
      <c r="Y28" s="159">
        <f>K28+V28-X28</f>
        <v>4738.1400000000003</v>
      </c>
      <c r="Z28" s="89"/>
      <c r="AF28" s="94"/>
    </row>
    <row r="29" spans="1:32" s="4" customFormat="1" ht="99.75" customHeight="1" x14ac:dyDescent="0.3">
      <c r="A29" s="109"/>
      <c r="B29" s="151" t="s">
        <v>175</v>
      </c>
      <c r="C29" s="152" t="s">
        <v>113</v>
      </c>
      <c r="D29" s="216" t="s">
        <v>165</v>
      </c>
      <c r="E29" s="221">
        <v>43512</v>
      </c>
      <c r="F29" s="154" t="s">
        <v>166</v>
      </c>
      <c r="G29" s="155">
        <v>15</v>
      </c>
      <c r="H29" s="156"/>
      <c r="I29" s="157">
        <v>5792.51</v>
      </c>
      <c r="J29" s="158">
        <v>0</v>
      </c>
      <c r="K29" s="157">
        <f>I29</f>
        <v>5792.51</v>
      </c>
      <c r="L29" s="160">
        <f t="shared" ref="L29" si="39">IF(I29/15&lt;=SMG,0,J29/2)</f>
        <v>0</v>
      </c>
      <c r="M29" s="160">
        <f t="shared" si="33"/>
        <v>5792.51</v>
      </c>
      <c r="N29" s="160">
        <f t="shared" ref="N29" si="40">VLOOKUP(M29,Tarifa1,1)</f>
        <v>5490.76</v>
      </c>
      <c r="O29" s="160">
        <f t="shared" si="34"/>
        <v>301.75</v>
      </c>
      <c r="P29" s="161">
        <f t="shared" ref="P29" si="41">VLOOKUP(M29,Tarifa1,3)</f>
        <v>0.16</v>
      </c>
      <c r="Q29" s="160">
        <f t="shared" si="35"/>
        <v>48.28</v>
      </c>
      <c r="R29" s="162">
        <f t="shared" ref="R29" si="42">VLOOKUP(M29,Tarifa1,2)</f>
        <v>441</v>
      </c>
      <c r="S29" s="160">
        <f t="shared" si="36"/>
        <v>489.28</v>
      </c>
      <c r="T29" s="160">
        <f t="shared" ref="T29" si="43">VLOOKUP(M29,Credito1,2)</f>
        <v>0</v>
      </c>
      <c r="U29" s="160">
        <f t="shared" si="37"/>
        <v>489.28</v>
      </c>
      <c r="V29" s="159">
        <f t="shared" si="38"/>
        <v>0</v>
      </c>
      <c r="W29" s="159">
        <f t="shared" ref="W29" si="44">IF(I29/15&lt;=SMG,0,IF(U29&lt;0,0,U29))</f>
        <v>489.28</v>
      </c>
      <c r="X29" s="159">
        <f>SUM(W29:W29)</f>
        <v>489.28</v>
      </c>
      <c r="Y29" s="159">
        <f>K29+V29-X29+J29</f>
        <v>5303.2300000000005</v>
      </c>
      <c r="Z29" s="89"/>
      <c r="AF29" s="94"/>
    </row>
    <row r="30" spans="1:32" s="4" customFormat="1" ht="27.75" customHeight="1" x14ac:dyDescent="0.25">
      <c r="A30" s="176"/>
      <c r="B30" s="176"/>
      <c r="C30" s="176"/>
      <c r="D30" s="176"/>
      <c r="E30" s="176"/>
      <c r="F30" s="176"/>
      <c r="G30" s="176"/>
      <c r="H30" s="176"/>
      <c r="I30" s="182"/>
      <c r="J30" s="182"/>
      <c r="K30" s="182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</row>
    <row r="31" spans="1:32" s="4" customFormat="1" ht="75" customHeight="1" thickBot="1" x14ac:dyDescent="0.3">
      <c r="A31" s="284" t="s">
        <v>44</v>
      </c>
      <c r="B31" s="285"/>
      <c r="C31" s="285"/>
      <c r="D31" s="285"/>
      <c r="E31" s="285"/>
      <c r="F31" s="285"/>
      <c r="G31" s="285"/>
      <c r="H31" s="286"/>
      <c r="I31" s="163">
        <f>I8+I27</f>
        <v>58698.51</v>
      </c>
      <c r="J31" s="163">
        <f>J8+J27</f>
        <v>0</v>
      </c>
      <c r="K31" s="163">
        <f>K8+K27</f>
        <v>58698.51</v>
      </c>
      <c r="L31" s="164">
        <f t="shared" ref="L31:U31" si="45">SUM(L9:L30)</f>
        <v>0</v>
      </c>
      <c r="M31" s="164">
        <f t="shared" si="45"/>
        <v>58698.51</v>
      </c>
      <c r="N31" s="164">
        <f t="shared" si="45"/>
        <v>46609.640000000007</v>
      </c>
      <c r="O31" s="164">
        <f t="shared" si="45"/>
        <v>12088.869999999995</v>
      </c>
      <c r="P31" s="164">
        <f t="shared" si="45"/>
        <v>1.5999999999999999</v>
      </c>
      <c r="Q31" s="164">
        <f t="shared" si="45"/>
        <v>1317.0153599999996</v>
      </c>
      <c r="R31" s="164">
        <f t="shared" si="45"/>
        <v>3049.6499999999996</v>
      </c>
      <c r="S31" s="164">
        <f t="shared" si="45"/>
        <v>4366.66536</v>
      </c>
      <c r="T31" s="164">
        <f t="shared" si="45"/>
        <v>750.44999999999993</v>
      </c>
      <c r="U31" s="164">
        <f t="shared" si="45"/>
        <v>3616.2300000000005</v>
      </c>
      <c r="V31" s="163">
        <f>V8+V27</f>
        <v>24.99</v>
      </c>
      <c r="W31" s="163">
        <f>W8+W27</f>
        <v>3641.22</v>
      </c>
      <c r="X31" s="163">
        <f>X8+X27</f>
        <v>3641.22</v>
      </c>
      <c r="Y31" s="163">
        <f>Y8+Y27</f>
        <v>55082.279999999992</v>
      </c>
    </row>
    <row r="32" spans="1:32" s="4" customFormat="1" ht="18" customHeight="1" thickTop="1" x14ac:dyDescent="0.25">
      <c r="A32" s="148"/>
      <c r="B32" s="148"/>
      <c r="C32" s="148"/>
      <c r="D32" s="148"/>
      <c r="E32" s="148"/>
      <c r="F32" s="148"/>
      <c r="G32" s="148"/>
      <c r="H32" s="148"/>
      <c r="I32" s="149"/>
      <c r="J32" s="149"/>
      <c r="K32" s="149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49"/>
      <c r="W32" s="149"/>
      <c r="X32" s="149"/>
      <c r="Y32" s="149"/>
    </row>
    <row r="33" spans="1:25" s="4" customFormat="1" ht="18" customHeight="1" x14ac:dyDescent="0.25">
      <c r="A33" s="148"/>
      <c r="B33" s="148"/>
      <c r="C33" s="148"/>
      <c r="D33" s="148"/>
      <c r="E33" s="148"/>
      <c r="F33" s="148"/>
      <c r="G33" s="148"/>
      <c r="H33" s="148"/>
      <c r="I33" s="149"/>
      <c r="J33" s="149"/>
      <c r="K33" s="149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49"/>
      <c r="W33" s="149"/>
      <c r="X33" s="149"/>
      <c r="Y33" s="149"/>
    </row>
    <row r="34" spans="1:25" s="4" customFormat="1" ht="18" customHeight="1" x14ac:dyDescent="0.25">
      <c r="A34" s="148"/>
      <c r="B34" s="148"/>
      <c r="C34" s="148"/>
      <c r="D34" s="148"/>
      <c r="E34" s="148"/>
      <c r="F34" s="148"/>
      <c r="G34" s="148"/>
      <c r="H34" s="148"/>
      <c r="I34" s="149"/>
      <c r="J34" s="149"/>
      <c r="K34" s="149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49"/>
      <c r="W34" s="149"/>
      <c r="X34" s="149"/>
      <c r="Y34" s="149"/>
    </row>
    <row r="35" spans="1:25" s="4" customFormat="1" ht="18" customHeight="1" x14ac:dyDescent="0.25">
      <c r="A35" s="148"/>
      <c r="B35" s="148"/>
      <c r="C35" s="148"/>
      <c r="D35" s="148"/>
      <c r="E35" s="148"/>
      <c r="F35" s="148"/>
      <c r="G35" s="148"/>
      <c r="H35" s="148"/>
      <c r="I35" s="149"/>
      <c r="J35" s="149"/>
      <c r="K35" s="149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49"/>
      <c r="W35" s="149"/>
      <c r="X35" s="149"/>
      <c r="Y35" s="149"/>
    </row>
    <row r="36" spans="1:25" s="4" customFormat="1" ht="18" customHeight="1" x14ac:dyDescent="0.25">
      <c r="A36" s="148"/>
      <c r="B36" s="148"/>
      <c r="C36" s="148"/>
      <c r="D36" s="148"/>
      <c r="E36" s="148"/>
      <c r="F36" s="148"/>
      <c r="G36" s="148"/>
      <c r="H36" s="148"/>
      <c r="I36" s="149"/>
      <c r="J36" s="149"/>
      <c r="K36" s="149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49"/>
      <c r="W36" s="149"/>
      <c r="X36" s="149"/>
      <c r="Y36" s="149"/>
    </row>
    <row r="37" spans="1:25" s="4" customFormat="1" x14ac:dyDescent="0.2"/>
    <row r="38" spans="1:25" s="4" customFormat="1" x14ac:dyDescent="0.2"/>
  </sheetData>
  <mergeCells count="10">
    <mergeCell ref="A31:H31"/>
    <mergeCell ref="A1:Z1"/>
    <mergeCell ref="A2:Z2"/>
    <mergeCell ref="A3:Z3"/>
    <mergeCell ref="I5:K5"/>
    <mergeCell ref="N5:S5"/>
    <mergeCell ref="W5:X5"/>
    <mergeCell ref="B22:AA22"/>
    <mergeCell ref="B23:AA23"/>
    <mergeCell ref="B24:AA24"/>
  </mergeCells>
  <pageMargins left="0.27559055118110237" right="0.19685039370078741" top="0.74803149606299213" bottom="0.74803149606299213" header="0.31496062992125984" footer="0.31496062992125984"/>
  <pageSetup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4"/>
  <sheetViews>
    <sheetView topLeftCell="B35" zoomScale="55" zoomScaleNormal="55" workbookViewId="0">
      <selection activeCell="X35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6" customWidth="1"/>
    <col min="3" max="3" width="11.85546875" customWidth="1"/>
    <col min="4" max="4" width="29.28515625" customWidth="1"/>
    <col min="5" max="5" width="17.42578125" customWidth="1"/>
    <col min="6" max="6" width="21.85546875" customWidth="1"/>
    <col min="7" max="7" width="7.42578125" hidden="1" customWidth="1"/>
    <col min="8" max="8" width="10" hidden="1" customWidth="1"/>
    <col min="9" max="9" width="18.7109375" customWidth="1"/>
    <col min="10" max="10" width="14" customWidth="1"/>
    <col min="11" max="11" width="17.28515625" customWidth="1"/>
    <col min="12" max="12" width="13.140625" hidden="1" customWidth="1"/>
    <col min="13" max="13" width="14.7109375" hidden="1" customWidth="1"/>
    <col min="14" max="14" width="15.5703125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12.5703125" customWidth="1"/>
    <col min="23" max="23" width="16.7109375" customWidth="1"/>
    <col min="24" max="24" width="16.140625" customWidth="1"/>
    <col min="25" max="25" width="17.42578125" customWidth="1"/>
    <col min="26" max="26" width="65.28515625" customWidth="1"/>
    <col min="27" max="27" width="1.28515625" customWidth="1"/>
  </cols>
  <sheetData>
    <row r="1" spans="1:32" ht="19.5" x14ac:dyDescent="0.25">
      <c r="A1" s="287" t="s">
        <v>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</row>
    <row r="2" spans="1:32" ht="19.5" x14ac:dyDescent="0.25">
      <c r="A2" s="287" t="s">
        <v>63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32" ht="19.5" x14ac:dyDescent="0.25">
      <c r="A3" s="288" t="s">
        <v>323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1" customFormat="1" ht="21" customHeight="1" x14ac:dyDescent="0.25">
      <c r="A5" s="47"/>
      <c r="B5" s="47"/>
      <c r="C5" s="318" t="s">
        <v>122</v>
      </c>
      <c r="D5" s="47"/>
      <c r="E5" s="47"/>
      <c r="F5" s="47"/>
      <c r="G5" s="48" t="s">
        <v>22</v>
      </c>
      <c r="H5" s="48" t="s">
        <v>5</v>
      </c>
      <c r="I5" s="289" t="s">
        <v>1</v>
      </c>
      <c r="J5" s="290"/>
      <c r="K5" s="291"/>
      <c r="L5" s="121" t="s">
        <v>25</v>
      </c>
      <c r="M5" s="122"/>
      <c r="N5" s="292" t="s">
        <v>8</v>
      </c>
      <c r="O5" s="293"/>
      <c r="P5" s="293"/>
      <c r="Q5" s="293"/>
      <c r="R5" s="293"/>
      <c r="S5" s="294"/>
      <c r="T5" s="121" t="s">
        <v>29</v>
      </c>
      <c r="U5" s="121" t="s">
        <v>9</v>
      </c>
      <c r="V5" s="120" t="s">
        <v>52</v>
      </c>
      <c r="W5" s="295" t="s">
        <v>2</v>
      </c>
      <c r="X5" s="296"/>
      <c r="Y5" s="120" t="s">
        <v>0</v>
      </c>
      <c r="Z5" s="47"/>
    </row>
    <row r="6" spans="1:32" s="51" customFormat="1" ht="31.5" x14ac:dyDescent="0.25">
      <c r="A6" s="52" t="s">
        <v>20</v>
      </c>
      <c r="B6" s="123" t="s">
        <v>100</v>
      </c>
      <c r="C6" s="319"/>
      <c r="D6" s="124" t="s">
        <v>21</v>
      </c>
      <c r="E6" s="52"/>
      <c r="F6" s="52"/>
      <c r="G6" s="53" t="s">
        <v>23</v>
      </c>
      <c r="H6" s="52" t="s">
        <v>24</v>
      </c>
      <c r="I6" s="120" t="s">
        <v>5</v>
      </c>
      <c r="J6" s="120" t="s">
        <v>57</v>
      </c>
      <c r="K6" s="120" t="s">
        <v>27</v>
      </c>
      <c r="L6" s="125" t="s">
        <v>26</v>
      </c>
      <c r="M6" s="122" t="s">
        <v>31</v>
      </c>
      <c r="N6" s="122" t="s">
        <v>11</v>
      </c>
      <c r="O6" s="122" t="s">
        <v>33</v>
      </c>
      <c r="P6" s="122" t="s">
        <v>35</v>
      </c>
      <c r="Q6" s="122" t="s">
        <v>36</v>
      </c>
      <c r="R6" s="118" t="s">
        <v>13</v>
      </c>
      <c r="S6" s="122" t="s">
        <v>9</v>
      </c>
      <c r="T6" s="125" t="s">
        <v>39</v>
      </c>
      <c r="U6" s="125" t="s">
        <v>40</v>
      </c>
      <c r="V6" s="124" t="s">
        <v>30</v>
      </c>
      <c r="W6" s="120" t="s">
        <v>294</v>
      </c>
      <c r="X6" s="120" t="s">
        <v>6</v>
      </c>
      <c r="Y6" s="124" t="s">
        <v>3</v>
      </c>
      <c r="Z6" s="124" t="s">
        <v>56</v>
      </c>
    </row>
    <row r="7" spans="1:32" s="51" customFormat="1" ht="15.75" x14ac:dyDescent="0.25">
      <c r="A7" s="52"/>
      <c r="B7" s="52"/>
      <c r="C7" s="320"/>
      <c r="D7" s="52"/>
      <c r="E7" s="52"/>
      <c r="F7" s="52"/>
      <c r="G7" s="52"/>
      <c r="H7" s="52"/>
      <c r="I7" s="124" t="s">
        <v>46</v>
      </c>
      <c r="J7" s="124" t="s">
        <v>58</v>
      </c>
      <c r="K7" s="124" t="s">
        <v>28</v>
      </c>
      <c r="L7" s="125" t="s">
        <v>42</v>
      </c>
      <c r="M7" s="121" t="s">
        <v>32</v>
      </c>
      <c r="N7" s="121" t="s">
        <v>12</v>
      </c>
      <c r="O7" s="121" t="s">
        <v>34</v>
      </c>
      <c r="P7" s="121" t="s">
        <v>34</v>
      </c>
      <c r="Q7" s="121" t="s">
        <v>37</v>
      </c>
      <c r="R7" s="255" t="s">
        <v>14</v>
      </c>
      <c r="S7" s="121" t="s">
        <v>38</v>
      </c>
      <c r="T7" s="125" t="s">
        <v>18</v>
      </c>
      <c r="U7" s="129" t="s">
        <v>212</v>
      </c>
      <c r="V7" s="124" t="s">
        <v>51</v>
      </c>
      <c r="W7" s="124"/>
      <c r="X7" s="124" t="s">
        <v>43</v>
      </c>
      <c r="Y7" s="124" t="s">
        <v>4</v>
      </c>
      <c r="Z7" s="56"/>
    </row>
    <row r="8" spans="1:32" s="51" customFormat="1" ht="84.95" customHeight="1" x14ac:dyDescent="0.25">
      <c r="A8" s="37"/>
      <c r="B8" s="196" t="s">
        <v>100</v>
      </c>
      <c r="C8" s="196" t="s">
        <v>122</v>
      </c>
      <c r="D8" s="196" t="s">
        <v>146</v>
      </c>
      <c r="E8" s="196" t="s">
        <v>315</v>
      </c>
      <c r="F8" s="247" t="s">
        <v>60</v>
      </c>
      <c r="G8" s="247"/>
      <c r="H8" s="247"/>
      <c r="I8" s="248">
        <f>SUM(I9:I9)</f>
        <v>7013</v>
      </c>
      <c r="J8" s="248">
        <f>SUM(J9:J9)</f>
        <v>0</v>
      </c>
      <c r="K8" s="248">
        <f>SUM(K9:K9)</f>
        <v>7013</v>
      </c>
      <c r="L8" s="247"/>
      <c r="M8" s="247"/>
      <c r="N8" s="247"/>
      <c r="O8" s="247"/>
      <c r="P8" s="247"/>
      <c r="Q8" s="247"/>
      <c r="R8" s="250"/>
      <c r="S8" s="247"/>
      <c r="T8" s="247"/>
      <c r="U8" s="247"/>
      <c r="V8" s="248">
        <f>SUM(V9:V9)</f>
        <v>0</v>
      </c>
      <c r="W8" s="248">
        <f>SUM(W9:W9)</f>
        <v>696.58</v>
      </c>
      <c r="X8" s="248">
        <f>SUM(X9:X9)</f>
        <v>696.58</v>
      </c>
      <c r="Y8" s="248">
        <f>SUM(Y9:Y9)</f>
        <v>6316.42</v>
      </c>
      <c r="Z8" s="99"/>
    </row>
    <row r="9" spans="1:32" s="51" customFormat="1" ht="138" customHeight="1" x14ac:dyDescent="0.3">
      <c r="A9" s="37"/>
      <c r="B9" s="183">
        <v>275</v>
      </c>
      <c r="C9" s="184" t="s">
        <v>113</v>
      </c>
      <c r="D9" s="262" t="s">
        <v>247</v>
      </c>
      <c r="E9" s="226">
        <v>44476</v>
      </c>
      <c r="F9" s="185" t="s">
        <v>215</v>
      </c>
      <c r="G9" s="170">
        <v>15</v>
      </c>
      <c r="H9" s="170"/>
      <c r="I9" s="157">
        <v>7013</v>
      </c>
      <c r="J9" s="158">
        <v>0</v>
      </c>
      <c r="K9" s="159">
        <f>SUM(I9:J9)</f>
        <v>7013</v>
      </c>
      <c r="L9" s="160">
        <f>IF(I9/15&lt;=SMG,0,J9/2)</f>
        <v>0</v>
      </c>
      <c r="M9" s="160">
        <f>I9+L9</f>
        <v>7013</v>
      </c>
      <c r="N9" s="160">
        <f>VLOOKUP(M9,Tarifa1,1)</f>
        <v>6382.81</v>
      </c>
      <c r="O9" s="160">
        <f>M9-N9</f>
        <v>630.1899999999996</v>
      </c>
      <c r="P9" s="161">
        <f>VLOOKUP(M9,Tarifa1,3)</f>
        <v>0.1792</v>
      </c>
      <c r="Q9" s="160">
        <f>O9*P9</f>
        <v>112.93004799999993</v>
      </c>
      <c r="R9" s="162">
        <f>VLOOKUP(M9,Tarifa1,2)</f>
        <v>583.65</v>
      </c>
      <c r="S9" s="160">
        <f>Q9+R9</f>
        <v>696.58004799999992</v>
      </c>
      <c r="T9" s="160">
        <f>VLOOKUP(M9,Credito1,2)</f>
        <v>0</v>
      </c>
      <c r="U9" s="160">
        <f>ROUND(S9-T9,2)</f>
        <v>696.58</v>
      </c>
      <c r="V9" s="159">
        <f>-IF(U9&gt;0,0,U9)</f>
        <v>0</v>
      </c>
      <c r="W9" s="159">
        <f>IF(I9/15&lt;=SMG,0,IF(U9&lt;0,0,U9))</f>
        <v>696.58</v>
      </c>
      <c r="X9" s="159">
        <f>SUM(W9:W9)</f>
        <v>696.58</v>
      </c>
      <c r="Y9" s="159">
        <f>K9+V9-X9</f>
        <v>6316.42</v>
      </c>
      <c r="Z9" s="146"/>
    </row>
    <row r="10" spans="1:32" s="51" customFormat="1" ht="138" customHeight="1" x14ac:dyDescent="0.25">
      <c r="A10" s="37"/>
      <c r="B10" s="151" t="s">
        <v>154</v>
      </c>
      <c r="C10" s="152" t="s">
        <v>113</v>
      </c>
      <c r="D10" s="263" t="s">
        <v>139</v>
      </c>
      <c r="E10" s="221">
        <v>43374</v>
      </c>
      <c r="F10" s="154" t="s">
        <v>275</v>
      </c>
      <c r="G10" s="155">
        <v>15</v>
      </c>
      <c r="H10" s="156">
        <v>341.11</v>
      </c>
      <c r="I10" s="157">
        <v>4814</v>
      </c>
      <c r="J10" s="158">
        <v>0</v>
      </c>
      <c r="K10" s="159">
        <f>SUM(I10:J10)</f>
        <v>4814</v>
      </c>
      <c r="L10" s="160">
        <f>IF(I10/15&lt;=SMG,0,J10/2)</f>
        <v>0</v>
      </c>
      <c r="M10" s="160">
        <f>I10+L10</f>
        <v>4814</v>
      </c>
      <c r="N10" s="160">
        <f>VLOOKUP(M10,Tarifa1,1)</f>
        <v>3124.36</v>
      </c>
      <c r="O10" s="160">
        <f>M10-N10</f>
        <v>1689.6399999999999</v>
      </c>
      <c r="P10" s="161">
        <f>VLOOKUP(M10,Tarifa1,3)</f>
        <v>0.10879999999999999</v>
      </c>
      <c r="Q10" s="160">
        <f>O10*P10</f>
        <v>183.83283199999997</v>
      </c>
      <c r="R10" s="162">
        <f>VLOOKUP(M10,Tarifa1,2)</f>
        <v>183.45</v>
      </c>
      <c r="S10" s="160">
        <f>Q10+R10</f>
        <v>367.28283199999998</v>
      </c>
      <c r="T10" s="160">
        <f>VLOOKUP(M10,Credito1,2)</f>
        <v>0</v>
      </c>
      <c r="U10" s="160">
        <f>ROUND(S10-T10,2)</f>
        <v>367.28</v>
      </c>
      <c r="V10" s="159">
        <f>-IF(U10&gt;0,0,U10)</f>
        <v>0</v>
      </c>
      <c r="W10" s="159">
        <f>IF(I10/15&lt;=SMG,0,IF(U10&lt;0,0,U10))</f>
        <v>367.28</v>
      </c>
      <c r="X10" s="159">
        <f>SUM(W10:W10)</f>
        <v>367.28</v>
      </c>
      <c r="Y10" s="159">
        <f>K10+V10-X10</f>
        <v>4446.72</v>
      </c>
      <c r="Z10" s="146"/>
    </row>
    <row r="11" spans="1:32" s="51" customFormat="1" ht="84.95" customHeight="1" x14ac:dyDescent="0.25">
      <c r="A11" s="45"/>
      <c r="B11" s="196" t="s">
        <v>100</v>
      </c>
      <c r="C11" s="196" t="s">
        <v>122</v>
      </c>
      <c r="D11" s="247" t="s">
        <v>125</v>
      </c>
      <c r="E11" s="196" t="s">
        <v>315</v>
      </c>
      <c r="F11" s="247" t="s">
        <v>60</v>
      </c>
      <c r="G11" s="247"/>
      <c r="H11" s="247"/>
      <c r="I11" s="248">
        <f>SUM(I12:I12)</f>
        <v>6873</v>
      </c>
      <c r="J11" s="248">
        <f>SUM(J12:J12)</f>
        <v>0</v>
      </c>
      <c r="K11" s="248">
        <f>SUM(K12:K12)</f>
        <v>6873</v>
      </c>
      <c r="L11" s="247"/>
      <c r="M11" s="247"/>
      <c r="N11" s="247"/>
      <c r="O11" s="247"/>
      <c r="P11" s="247"/>
      <c r="Q11" s="247"/>
      <c r="R11" s="250"/>
      <c r="S11" s="247"/>
      <c r="T11" s="247"/>
      <c r="U11" s="247"/>
      <c r="V11" s="248">
        <f>SUM(V12:V12)</f>
        <v>0</v>
      </c>
      <c r="W11" s="248">
        <f>SUM(W12:W12)</f>
        <v>671.49</v>
      </c>
      <c r="X11" s="248">
        <f>SUM(X12:X12)</f>
        <v>671.49</v>
      </c>
      <c r="Y11" s="248">
        <f>SUM(Y12:Y12)</f>
        <v>6201.51</v>
      </c>
      <c r="Z11" s="99"/>
      <c r="AF11" s="59"/>
    </row>
    <row r="12" spans="1:32" s="51" customFormat="1" ht="137.25" customHeight="1" x14ac:dyDescent="0.25">
      <c r="A12" s="45" t="s">
        <v>86</v>
      </c>
      <c r="B12" s="152" t="s">
        <v>112</v>
      </c>
      <c r="C12" s="152" t="s">
        <v>113</v>
      </c>
      <c r="D12" s="263" t="s">
        <v>92</v>
      </c>
      <c r="E12" s="224">
        <v>42278</v>
      </c>
      <c r="F12" s="154" t="s">
        <v>93</v>
      </c>
      <c r="G12" s="155">
        <v>15</v>
      </c>
      <c r="H12" s="156">
        <f t="shared" ref="H12:H33" si="0">I12/G12</f>
        <v>458.2</v>
      </c>
      <c r="I12" s="157">
        <v>6873</v>
      </c>
      <c r="J12" s="158">
        <v>0</v>
      </c>
      <c r="K12" s="159">
        <f>SUM(I12:J12)</f>
        <v>6873</v>
      </c>
      <c r="L12" s="160">
        <f>IF(I12/15&lt;=SMG,0,J12/2)</f>
        <v>0</v>
      </c>
      <c r="M12" s="160">
        <f>I12+L12</f>
        <v>6873</v>
      </c>
      <c r="N12" s="160">
        <f>VLOOKUP(M12,Tarifa1,1)</f>
        <v>6382.81</v>
      </c>
      <c r="O12" s="160">
        <f>M12-N12</f>
        <v>490.1899999999996</v>
      </c>
      <c r="P12" s="161">
        <f>VLOOKUP(M12,Tarifa1,3)</f>
        <v>0.1792</v>
      </c>
      <c r="Q12" s="160">
        <f>O12*P12</f>
        <v>87.842047999999934</v>
      </c>
      <c r="R12" s="162">
        <f>VLOOKUP(M12,Tarifa1,2)</f>
        <v>583.65</v>
      </c>
      <c r="S12" s="160">
        <f>Q12+R12</f>
        <v>671.49204799999995</v>
      </c>
      <c r="T12" s="160">
        <f>VLOOKUP(M12,Credito1,2)</f>
        <v>0</v>
      </c>
      <c r="U12" s="160">
        <f>ROUND(S12-T12,2)</f>
        <v>671.49</v>
      </c>
      <c r="V12" s="159">
        <f>-IF(U12&gt;0,0,U12)</f>
        <v>0</v>
      </c>
      <c r="W12" s="159">
        <f>IF(I12/15&lt;=SMG,0,IF(U12&lt;0,0,U12))</f>
        <v>671.49</v>
      </c>
      <c r="X12" s="159">
        <f>SUM(W12:W12)</f>
        <v>671.49</v>
      </c>
      <c r="Y12" s="159">
        <f>K12+V12-X12</f>
        <v>6201.51</v>
      </c>
      <c r="Z12" s="92"/>
      <c r="AF12" s="64"/>
    </row>
    <row r="13" spans="1:32" s="51" customFormat="1" ht="51.75" customHeight="1" x14ac:dyDescent="0.25">
      <c r="A13" s="45"/>
      <c r="B13" s="196" t="s">
        <v>100</v>
      </c>
      <c r="C13" s="196" t="s">
        <v>122</v>
      </c>
      <c r="D13" s="196" t="s">
        <v>126</v>
      </c>
      <c r="E13" s="196" t="s">
        <v>315</v>
      </c>
      <c r="F13" s="247" t="s">
        <v>60</v>
      </c>
      <c r="G13" s="247"/>
      <c r="H13" s="247"/>
      <c r="I13" s="248">
        <f>SUM(I14:I16)</f>
        <v>16828</v>
      </c>
      <c r="J13" s="248">
        <f>SUM(J14:J16)</f>
        <v>0</v>
      </c>
      <c r="K13" s="248">
        <f>SUM(K14:K16)</f>
        <v>16828</v>
      </c>
      <c r="L13" s="247"/>
      <c r="M13" s="247"/>
      <c r="N13" s="247"/>
      <c r="O13" s="247"/>
      <c r="P13" s="247"/>
      <c r="Q13" s="247"/>
      <c r="R13" s="250"/>
      <c r="S13" s="247"/>
      <c r="T13" s="247"/>
      <c r="U13" s="247"/>
      <c r="V13" s="248">
        <f>SUM(V14:V16)</f>
        <v>0</v>
      </c>
      <c r="W13" s="248">
        <f>SUM(W14:W16)</f>
        <v>1483.24</v>
      </c>
      <c r="X13" s="248">
        <f>SUM(X14:X16)</f>
        <v>1483.24</v>
      </c>
      <c r="Y13" s="248">
        <f>SUM(Y14:Y16)</f>
        <v>15344.76</v>
      </c>
      <c r="Z13" s="99"/>
      <c r="AF13" s="64"/>
    </row>
    <row r="14" spans="1:32" s="51" customFormat="1" ht="130.5" customHeight="1" x14ac:dyDescent="0.3">
      <c r="A14" s="45" t="s">
        <v>87</v>
      </c>
      <c r="B14" s="186">
        <v>185</v>
      </c>
      <c r="C14" s="152" t="s">
        <v>113</v>
      </c>
      <c r="D14" s="264" t="s">
        <v>151</v>
      </c>
      <c r="E14" s="223">
        <v>43374</v>
      </c>
      <c r="F14" s="154" t="s">
        <v>94</v>
      </c>
      <c r="G14" s="155">
        <v>15</v>
      </c>
      <c r="H14" s="156">
        <f t="shared" si="0"/>
        <v>497.6</v>
      </c>
      <c r="I14" s="157">
        <v>7464</v>
      </c>
      <c r="J14" s="158">
        <v>0</v>
      </c>
      <c r="K14" s="159">
        <f t="shared" ref="K14" si="1">SUM(I14:J14)</f>
        <v>7464</v>
      </c>
      <c r="L14" s="160">
        <f>IF(I14/15&lt;=SMG,0,J14/2)</f>
        <v>0</v>
      </c>
      <c r="M14" s="160">
        <f>I14+L14</f>
        <v>7464</v>
      </c>
      <c r="N14" s="160">
        <f>VLOOKUP(M14,Tarifa1,1)</f>
        <v>6382.81</v>
      </c>
      <c r="O14" s="160">
        <f>M14-N14</f>
        <v>1081.1899999999996</v>
      </c>
      <c r="P14" s="161">
        <f>VLOOKUP(M14,Tarifa1,3)</f>
        <v>0.1792</v>
      </c>
      <c r="Q14" s="160">
        <f>O14*P14</f>
        <v>193.74924799999994</v>
      </c>
      <c r="R14" s="162">
        <f>VLOOKUP(M14,Tarifa1,2)</f>
        <v>583.65</v>
      </c>
      <c r="S14" s="160">
        <f>Q14+R14</f>
        <v>777.39924799999994</v>
      </c>
      <c r="T14" s="160">
        <f>VLOOKUP(M14,Credito1,2)</f>
        <v>0</v>
      </c>
      <c r="U14" s="160">
        <f>ROUND(S14-T14,2)</f>
        <v>777.4</v>
      </c>
      <c r="V14" s="159">
        <f>-IF(U14&gt;0,0,U14)</f>
        <v>0</v>
      </c>
      <c r="W14" s="159">
        <f>IF(I14/15&lt;=SMG,0,IF(U14&lt;0,0,U14))</f>
        <v>777.4</v>
      </c>
      <c r="X14" s="159">
        <f>SUM(W14:W14)</f>
        <v>777.4</v>
      </c>
      <c r="Y14" s="159">
        <f>K14+V14-X14</f>
        <v>6686.6</v>
      </c>
      <c r="Z14" s="92"/>
      <c r="AF14" s="64"/>
    </row>
    <row r="15" spans="1:32" s="51" customFormat="1" ht="130.5" customHeight="1" x14ac:dyDescent="0.3">
      <c r="A15" s="45"/>
      <c r="B15" s="151" t="s">
        <v>300</v>
      </c>
      <c r="C15" s="152" t="s">
        <v>113</v>
      </c>
      <c r="D15" s="218" t="s">
        <v>299</v>
      </c>
      <c r="E15" s="225">
        <v>44958</v>
      </c>
      <c r="F15" s="154" t="s">
        <v>144</v>
      </c>
      <c r="G15" s="155">
        <v>15</v>
      </c>
      <c r="H15" s="156">
        <f>I15/G15</f>
        <v>358.6</v>
      </c>
      <c r="I15" s="157">
        <v>5379</v>
      </c>
      <c r="J15" s="158">
        <v>0</v>
      </c>
      <c r="K15" s="159">
        <f>SUM(I15:J15)</f>
        <v>5379</v>
      </c>
      <c r="L15" s="160">
        <f>IF(I15/15&lt;=SMG,0,J15/2)</f>
        <v>0</v>
      </c>
      <c r="M15" s="160">
        <f t="shared" ref="M15:M16" si="2">I15+L15</f>
        <v>5379</v>
      </c>
      <c r="N15" s="160">
        <f>VLOOKUP(M15,Tarifa1,1)</f>
        <v>3124.36</v>
      </c>
      <c r="O15" s="160">
        <f t="shared" ref="O15:O16" si="3">M15-N15</f>
        <v>2254.64</v>
      </c>
      <c r="P15" s="161">
        <f>VLOOKUP(M15,Tarifa1,3)</f>
        <v>0.10879999999999999</v>
      </c>
      <c r="Q15" s="160">
        <f t="shared" ref="Q15:Q16" si="4">O15*P15</f>
        <v>245.30483199999998</v>
      </c>
      <c r="R15" s="162">
        <f>VLOOKUP(M15,Tarifa1,2)</f>
        <v>183.45</v>
      </c>
      <c r="S15" s="160">
        <f t="shared" ref="S15:S16" si="5">Q15+R15</f>
        <v>428.75483199999996</v>
      </c>
      <c r="T15" s="160">
        <f>VLOOKUP(M15,Credito1,2)</f>
        <v>0</v>
      </c>
      <c r="U15" s="160">
        <f t="shared" ref="U15:U16" si="6">ROUND(S15-T15,2)</f>
        <v>428.75</v>
      </c>
      <c r="V15" s="159">
        <f t="shared" ref="V15:V16" si="7">-IF(U15&gt;0,0,U15)</f>
        <v>0</v>
      </c>
      <c r="W15" s="159">
        <f>IF(I15/15&lt;=SMG,0,IF(U15&lt;0,0,U15))</f>
        <v>428.75</v>
      </c>
      <c r="X15" s="159">
        <f>SUM(W15:W15)</f>
        <v>428.75</v>
      </c>
      <c r="Y15" s="159">
        <f>K15+V15-X15</f>
        <v>4950.25</v>
      </c>
      <c r="Z15" s="92"/>
      <c r="AF15" s="64"/>
    </row>
    <row r="16" spans="1:32" s="51" customFormat="1" ht="130.5" customHeight="1" x14ac:dyDescent="0.3">
      <c r="A16" s="45"/>
      <c r="B16" s="151" t="s">
        <v>183</v>
      </c>
      <c r="C16" s="152" t="s">
        <v>113</v>
      </c>
      <c r="D16" s="265" t="s">
        <v>180</v>
      </c>
      <c r="E16" s="225">
        <v>43617</v>
      </c>
      <c r="F16" s="154" t="s">
        <v>181</v>
      </c>
      <c r="G16" s="155">
        <v>15</v>
      </c>
      <c r="H16" s="156"/>
      <c r="I16" s="157">
        <v>3985</v>
      </c>
      <c r="J16" s="158">
        <v>0</v>
      </c>
      <c r="K16" s="159">
        <f>SUM(I16:J16)</f>
        <v>3985</v>
      </c>
      <c r="L16" s="160">
        <f>IF(I16/15&lt;=SMG,0,J16/2)</f>
        <v>0</v>
      </c>
      <c r="M16" s="160">
        <f t="shared" si="2"/>
        <v>3985</v>
      </c>
      <c r="N16" s="160">
        <f>VLOOKUP(M16,Tarifa1,1)</f>
        <v>3124.36</v>
      </c>
      <c r="O16" s="160">
        <f t="shared" si="3"/>
        <v>860.63999999999987</v>
      </c>
      <c r="P16" s="161">
        <f>VLOOKUP(M16,Tarifa1,3)</f>
        <v>0.10879999999999999</v>
      </c>
      <c r="Q16" s="160">
        <f t="shared" si="4"/>
        <v>93.637631999999982</v>
      </c>
      <c r="R16" s="162">
        <f>VLOOKUP(M16,Tarifa1,2)</f>
        <v>183.45</v>
      </c>
      <c r="S16" s="160">
        <f t="shared" si="5"/>
        <v>277.08763199999999</v>
      </c>
      <c r="T16" s="160">
        <f>VLOOKUP(M16,Credito1,2)</f>
        <v>0</v>
      </c>
      <c r="U16" s="160">
        <f t="shared" si="6"/>
        <v>277.08999999999997</v>
      </c>
      <c r="V16" s="159">
        <f t="shared" si="7"/>
        <v>0</v>
      </c>
      <c r="W16" s="159">
        <f>IF(I16/15&lt;=SMG,0,IF(U16&lt;0,0,U16))</f>
        <v>277.08999999999997</v>
      </c>
      <c r="X16" s="159">
        <f>SUM(W16:W16)</f>
        <v>277.08999999999997</v>
      </c>
      <c r="Y16" s="159">
        <f>K16+V16-X16</f>
        <v>3707.91</v>
      </c>
      <c r="Z16" s="92"/>
      <c r="AF16" s="64"/>
    </row>
    <row r="17" spans="1:32" s="51" customFormat="1" ht="130.5" customHeight="1" x14ac:dyDescent="0.3">
      <c r="A17" s="45" t="s">
        <v>88</v>
      </c>
      <c r="B17" s="186">
        <v>186</v>
      </c>
      <c r="C17" s="152" t="s">
        <v>113</v>
      </c>
      <c r="D17" s="264" t="s">
        <v>151</v>
      </c>
      <c r="E17" s="223">
        <v>43374</v>
      </c>
      <c r="F17" s="154" t="s">
        <v>94</v>
      </c>
      <c r="G17" s="155">
        <v>15</v>
      </c>
      <c r="H17" s="156">
        <f t="shared" ref="H17" si="8">I17/G17</f>
        <v>142.02222222222198</v>
      </c>
      <c r="I17" s="157">
        <v>2130.3333333333298</v>
      </c>
      <c r="J17" s="158">
        <v>0</v>
      </c>
      <c r="K17" s="159">
        <f t="shared" ref="K17" si="9">SUM(I17:J17)</f>
        <v>2130.3333333333298</v>
      </c>
      <c r="L17" s="160">
        <f>IF(I17/15&lt;=SMG,0,J17/2)</f>
        <v>0</v>
      </c>
      <c r="M17" s="160">
        <f>I17+L17</f>
        <v>2130.3333333333298</v>
      </c>
      <c r="N17" s="160">
        <f>VLOOKUP(M17,Tarifa1,1)</f>
        <v>368.11</v>
      </c>
      <c r="O17" s="160">
        <f>M17-N17</f>
        <v>1762.2233333333297</v>
      </c>
      <c r="P17" s="161">
        <f>VLOOKUP(M17,Tarifa1,3)</f>
        <v>6.4000000000000001E-2</v>
      </c>
      <c r="Q17" s="160">
        <f>O17*P17</f>
        <v>112.7822933333331</v>
      </c>
      <c r="R17" s="162">
        <f>VLOOKUP(M17,Tarifa1,2)</f>
        <v>7.05</v>
      </c>
      <c r="S17" s="160">
        <f>Q17+R17</f>
        <v>119.8322933333331</v>
      </c>
      <c r="T17" s="160">
        <f>VLOOKUP(M17,Credito1,2)</f>
        <v>188.7</v>
      </c>
      <c r="U17" s="160">
        <f>ROUND(S17-T17,2)</f>
        <v>-68.87</v>
      </c>
      <c r="V17" s="159">
        <f>-IF(U17&gt;0,0,U17)</f>
        <v>68.87</v>
      </c>
      <c r="W17" s="159">
        <f>IF(I17/15&lt;=SMG,0,IF(U17&lt;0,0,U17))</f>
        <v>0</v>
      </c>
      <c r="X17" s="159">
        <f>SUM(W17:W17)</f>
        <v>0</v>
      </c>
      <c r="Y17" s="159">
        <f>K17+V17-X17</f>
        <v>2199.2033333333297</v>
      </c>
      <c r="Z17" s="92"/>
      <c r="AF17" s="64"/>
    </row>
    <row r="18" spans="1:32" s="51" customFormat="1" ht="24" customHeight="1" x14ac:dyDescent="0.25">
      <c r="A18" s="45"/>
      <c r="B18" s="207"/>
      <c r="C18" s="193"/>
      <c r="D18" s="208"/>
      <c r="E18" s="208"/>
      <c r="F18" s="200"/>
      <c r="G18" s="201"/>
      <c r="H18" s="202"/>
      <c r="I18" s="203"/>
      <c r="J18" s="204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93"/>
      <c r="AF18" s="64"/>
    </row>
    <row r="19" spans="1:32" s="51" customFormat="1" ht="24" customHeight="1" x14ac:dyDescent="0.25">
      <c r="A19" s="45"/>
      <c r="B19" s="207"/>
      <c r="C19" s="193"/>
      <c r="D19" s="208"/>
      <c r="E19" s="208"/>
      <c r="F19" s="200"/>
      <c r="G19" s="201"/>
      <c r="H19" s="202"/>
      <c r="I19" s="203"/>
      <c r="J19" s="204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93"/>
      <c r="AF19" s="64"/>
    </row>
    <row r="20" spans="1:32" s="51" customFormat="1" ht="24" customHeight="1" x14ac:dyDescent="0.25">
      <c r="A20" s="45"/>
      <c r="B20" s="207"/>
      <c r="C20" s="193"/>
      <c r="D20" s="208"/>
      <c r="E20" s="208"/>
      <c r="F20" s="200"/>
      <c r="G20" s="201"/>
      <c r="H20" s="202"/>
      <c r="I20" s="203"/>
      <c r="J20" s="204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93"/>
      <c r="AF20" s="64"/>
    </row>
    <row r="21" spans="1:32" s="51" customFormat="1" ht="24" customHeight="1" x14ac:dyDescent="0.25">
      <c r="A21" s="45"/>
      <c r="B21" s="207"/>
      <c r="C21" s="193"/>
      <c r="D21" s="208"/>
      <c r="E21" s="208"/>
      <c r="F21" s="200"/>
      <c r="G21" s="201"/>
      <c r="H21" s="202"/>
      <c r="I21" s="203"/>
      <c r="J21" s="204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93"/>
      <c r="AF21" s="64"/>
    </row>
    <row r="22" spans="1:32" s="51" customFormat="1" ht="24" customHeight="1" x14ac:dyDescent="0.25">
      <c r="A22" s="45"/>
      <c r="B22" s="207"/>
      <c r="C22" s="193"/>
      <c r="D22" s="208"/>
      <c r="E22" s="208"/>
      <c r="F22" s="200"/>
      <c r="G22" s="201"/>
      <c r="H22" s="202"/>
      <c r="I22" s="203"/>
      <c r="J22" s="204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93"/>
      <c r="AF22" s="64"/>
    </row>
    <row r="23" spans="1:32" s="51" customFormat="1" ht="24" customHeight="1" x14ac:dyDescent="0.25">
      <c r="A23" s="45"/>
      <c r="B23" s="207"/>
      <c r="C23" s="193"/>
      <c r="D23" s="208"/>
      <c r="E23" s="208"/>
      <c r="F23" s="200"/>
      <c r="G23" s="201"/>
      <c r="H23" s="202"/>
      <c r="I23" s="203"/>
      <c r="J23" s="204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93"/>
      <c r="AF23" s="64"/>
    </row>
    <row r="24" spans="1:32" s="51" customFormat="1" ht="24" customHeight="1" x14ac:dyDescent="0.25">
      <c r="A24" s="45"/>
      <c r="B24" s="207"/>
      <c r="C24" s="193"/>
      <c r="D24" s="208"/>
      <c r="E24" s="208"/>
      <c r="F24" s="200"/>
      <c r="G24" s="201"/>
      <c r="H24" s="202"/>
      <c r="I24" s="203"/>
      <c r="J24" s="204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93"/>
      <c r="AF24" s="64"/>
    </row>
    <row r="25" spans="1:32" s="51" customFormat="1" ht="26.25" customHeight="1" x14ac:dyDescent="0.25">
      <c r="A25" s="45"/>
      <c r="B25" s="297" t="s">
        <v>77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F25" s="64"/>
    </row>
    <row r="26" spans="1:32" s="51" customFormat="1" ht="21.75" customHeight="1" x14ac:dyDescent="0.25">
      <c r="A26" s="45"/>
      <c r="B26" s="297" t="s">
        <v>63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F26" s="64"/>
    </row>
    <row r="27" spans="1:32" s="51" customFormat="1" ht="25.5" customHeight="1" x14ac:dyDescent="0.25">
      <c r="A27" s="45"/>
      <c r="B27" s="288" t="s">
        <v>323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F27" s="64"/>
    </row>
    <row r="28" spans="1:32" s="51" customFormat="1" ht="25.5" customHeight="1" x14ac:dyDescent="0.25">
      <c r="A28" s="20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F28" s="64"/>
    </row>
    <row r="29" spans="1:32" s="51" customFormat="1" ht="25.5" customHeight="1" x14ac:dyDescent="0.25">
      <c r="A29" s="206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F29" s="64"/>
    </row>
    <row r="30" spans="1:32" s="51" customFormat="1" ht="72.75" customHeight="1" x14ac:dyDescent="0.25">
      <c r="A30" s="206"/>
      <c r="B30" s="196" t="s">
        <v>100</v>
      </c>
      <c r="C30" s="196" t="s">
        <v>122</v>
      </c>
      <c r="D30" s="247" t="s">
        <v>288</v>
      </c>
      <c r="E30" s="196" t="s">
        <v>315</v>
      </c>
      <c r="F30" s="247" t="s">
        <v>60</v>
      </c>
      <c r="G30" s="247"/>
      <c r="H30" s="247"/>
      <c r="I30" s="248">
        <f>SUM(I31:I32)</f>
        <v>12448</v>
      </c>
      <c r="J30" s="248">
        <f>SUM(J31:J32)</f>
        <v>0</v>
      </c>
      <c r="K30" s="248">
        <f>SUM(K31:K32)</f>
        <v>12448</v>
      </c>
      <c r="L30" s="247"/>
      <c r="M30" s="247"/>
      <c r="N30" s="247"/>
      <c r="O30" s="247"/>
      <c r="P30" s="247"/>
      <c r="Q30" s="247"/>
      <c r="R30" s="250"/>
      <c r="S30" s="247"/>
      <c r="T30" s="247"/>
      <c r="U30" s="247"/>
      <c r="V30" s="248">
        <f>SUM(V31:V32)</f>
        <v>0</v>
      </c>
      <c r="W30" s="248">
        <f>SUM(W31:W32)</f>
        <v>1131.43</v>
      </c>
      <c r="X30" s="248">
        <f>SUM(X31:X32)</f>
        <v>1131.43</v>
      </c>
      <c r="Y30" s="248">
        <f>SUM(Y31:Y32)</f>
        <v>11316.57</v>
      </c>
      <c r="Z30" s="99"/>
      <c r="AA30" s="197"/>
      <c r="AF30" s="64"/>
    </row>
    <row r="31" spans="1:32" s="51" customFormat="1" ht="130.5" customHeight="1" x14ac:dyDescent="0.3">
      <c r="A31" s="206"/>
      <c r="B31" s="151" t="s">
        <v>285</v>
      </c>
      <c r="C31" s="152" t="s">
        <v>113</v>
      </c>
      <c r="D31" s="218" t="s">
        <v>286</v>
      </c>
      <c r="E31" s="225">
        <v>44805</v>
      </c>
      <c r="F31" s="154" t="s">
        <v>287</v>
      </c>
      <c r="G31" s="155"/>
      <c r="H31" s="156"/>
      <c r="I31" s="157">
        <v>7013</v>
      </c>
      <c r="J31" s="158">
        <v>0</v>
      </c>
      <c r="K31" s="159">
        <f>SUM(I31:J31)</f>
        <v>7013</v>
      </c>
      <c r="L31" s="160">
        <f>IF(I31/15&lt;=SMG,0,J31/2)</f>
        <v>0</v>
      </c>
      <c r="M31" s="160">
        <f t="shared" ref="M31" si="10">I31+L31</f>
        <v>7013</v>
      </c>
      <c r="N31" s="160">
        <f>VLOOKUP(M31,Tarifa1,1)</f>
        <v>6382.81</v>
      </c>
      <c r="O31" s="160">
        <f t="shared" ref="O31" si="11">M31-N31</f>
        <v>630.1899999999996</v>
      </c>
      <c r="P31" s="161">
        <f>VLOOKUP(M31,Tarifa1,3)</f>
        <v>0.1792</v>
      </c>
      <c r="Q31" s="160">
        <f t="shared" ref="Q31" si="12">O31*P31</f>
        <v>112.93004799999993</v>
      </c>
      <c r="R31" s="162">
        <f>VLOOKUP(M31,Tarifa1,2)</f>
        <v>583.65</v>
      </c>
      <c r="S31" s="160">
        <f t="shared" ref="S31" si="13">Q31+R31</f>
        <v>696.58004799999992</v>
      </c>
      <c r="T31" s="160">
        <f>VLOOKUP(M31,Credito1,2)</f>
        <v>0</v>
      </c>
      <c r="U31" s="160">
        <f t="shared" ref="U31" si="14">ROUND(S31-T31,2)</f>
        <v>696.58</v>
      </c>
      <c r="V31" s="159">
        <f t="shared" ref="V31" si="15">-IF(U31&gt;0,0,U31)</f>
        <v>0</v>
      </c>
      <c r="W31" s="159">
        <f>IF(I31/15&lt;=SMG,0,IF(U31&lt;0,0,U31))</f>
        <v>696.58</v>
      </c>
      <c r="X31" s="159">
        <f>SUM(W31:W31)</f>
        <v>696.58</v>
      </c>
      <c r="Y31" s="159">
        <f>K31+V31-X31</f>
        <v>6316.42</v>
      </c>
      <c r="Z31" s="92"/>
      <c r="AA31" s="197"/>
      <c r="AF31" s="64"/>
    </row>
    <row r="32" spans="1:32" s="111" customFormat="1" ht="84.95" customHeight="1" x14ac:dyDescent="0.25">
      <c r="A32" s="152"/>
      <c r="B32" s="196" t="s">
        <v>100</v>
      </c>
      <c r="C32" s="196" t="s">
        <v>122</v>
      </c>
      <c r="D32" s="196" t="s">
        <v>127</v>
      </c>
      <c r="E32" s="196" t="s">
        <v>315</v>
      </c>
      <c r="F32" s="247" t="s">
        <v>60</v>
      </c>
      <c r="G32" s="247"/>
      <c r="H32" s="247"/>
      <c r="I32" s="248">
        <f>SUM(I33)</f>
        <v>5435</v>
      </c>
      <c r="J32" s="248">
        <f>SUM(J33)</f>
        <v>0</v>
      </c>
      <c r="K32" s="248">
        <f>SUM(K33)</f>
        <v>5435</v>
      </c>
      <c r="L32" s="247"/>
      <c r="M32" s="247"/>
      <c r="N32" s="247"/>
      <c r="O32" s="247"/>
      <c r="P32" s="247"/>
      <c r="Q32" s="247"/>
      <c r="R32" s="250"/>
      <c r="S32" s="247"/>
      <c r="T32" s="247"/>
      <c r="U32" s="247"/>
      <c r="V32" s="248">
        <f>SUM(V33)</f>
        <v>0</v>
      </c>
      <c r="W32" s="248">
        <f>SUM(W33)</f>
        <v>434.85</v>
      </c>
      <c r="X32" s="248">
        <f>SUM(X33)</f>
        <v>434.85</v>
      </c>
      <c r="Y32" s="248">
        <f>SUM(Y33)</f>
        <v>5000.1499999999996</v>
      </c>
      <c r="Z32" s="251"/>
      <c r="AF32" s="252"/>
    </row>
    <row r="33" spans="1:32" s="111" customFormat="1" ht="131.25" customHeight="1" x14ac:dyDescent="0.3">
      <c r="A33" s="152" t="s">
        <v>88</v>
      </c>
      <c r="B33" s="151" t="s">
        <v>158</v>
      </c>
      <c r="C33" s="152" t="s">
        <v>113</v>
      </c>
      <c r="D33" s="216" t="s">
        <v>211</v>
      </c>
      <c r="E33" s="221">
        <v>43374</v>
      </c>
      <c r="F33" s="154" t="s">
        <v>99</v>
      </c>
      <c r="G33" s="155">
        <v>15</v>
      </c>
      <c r="H33" s="156">
        <f t="shared" si="0"/>
        <v>362.33333333333331</v>
      </c>
      <c r="I33" s="157">
        <v>5435</v>
      </c>
      <c r="J33" s="158">
        <v>0</v>
      </c>
      <c r="K33" s="159">
        <f>SUM(I33:J33)</f>
        <v>5435</v>
      </c>
      <c r="L33" s="160">
        <f>IF(I33/15&lt;=SMG,0,J33/2)</f>
        <v>0</v>
      </c>
      <c r="M33" s="160">
        <f t="shared" ref="M33" si="16">I33+L33</f>
        <v>5435</v>
      </c>
      <c r="N33" s="160">
        <f>VLOOKUP(M33,Tarifa1,1)</f>
        <v>3124.36</v>
      </c>
      <c r="O33" s="160">
        <f t="shared" ref="O33" si="17">M33-N33</f>
        <v>2310.64</v>
      </c>
      <c r="P33" s="161">
        <f>VLOOKUP(M33,Tarifa1,3)</f>
        <v>0.10879999999999999</v>
      </c>
      <c r="Q33" s="160">
        <f t="shared" ref="Q33" si="18">O33*P33</f>
        <v>251.39763199999996</v>
      </c>
      <c r="R33" s="162">
        <f>VLOOKUP(M33,Tarifa1,2)</f>
        <v>183.45</v>
      </c>
      <c r="S33" s="160">
        <f t="shared" ref="S33" si="19">Q33+R33</f>
        <v>434.84763199999998</v>
      </c>
      <c r="T33" s="160">
        <f>VLOOKUP(M33,Credito1,2)</f>
        <v>0</v>
      </c>
      <c r="U33" s="160">
        <f t="shared" ref="U33" si="20">ROUND(S33-T33,2)</f>
        <v>434.85</v>
      </c>
      <c r="V33" s="159">
        <f>-IF(U33&gt;0,0,U33)</f>
        <v>0</v>
      </c>
      <c r="W33" s="159">
        <f>IF(I33/15&lt;=SMG,0,IF(U33&lt;0,0,U33))</f>
        <v>434.85</v>
      </c>
      <c r="X33" s="159">
        <f>SUM(W33:W33)</f>
        <v>434.85</v>
      </c>
      <c r="Y33" s="159">
        <f>K33+V33-X33</f>
        <v>5000.1499999999996</v>
      </c>
      <c r="Z33" s="110"/>
      <c r="AF33" s="252"/>
    </row>
    <row r="34" spans="1:32" s="111" customFormat="1" ht="84.95" customHeight="1" x14ac:dyDescent="0.25">
      <c r="A34" s="152"/>
      <c r="B34" s="196" t="s">
        <v>100</v>
      </c>
      <c r="C34" s="196" t="s">
        <v>122</v>
      </c>
      <c r="D34" s="196" t="s">
        <v>276</v>
      </c>
      <c r="E34" s="196" t="s">
        <v>315</v>
      </c>
      <c r="F34" s="247" t="s">
        <v>60</v>
      </c>
      <c r="G34" s="247"/>
      <c r="H34" s="247"/>
      <c r="I34" s="248">
        <f>SUM(I35)</f>
        <v>5043</v>
      </c>
      <c r="J34" s="248">
        <f>SUM(J35)</f>
        <v>0</v>
      </c>
      <c r="K34" s="248">
        <f>SUM(K35)</f>
        <v>5043</v>
      </c>
      <c r="L34" s="247"/>
      <c r="M34" s="247"/>
      <c r="N34" s="247"/>
      <c r="O34" s="247"/>
      <c r="P34" s="247"/>
      <c r="Q34" s="247"/>
      <c r="R34" s="250"/>
      <c r="S34" s="247"/>
      <c r="T34" s="247"/>
      <c r="U34" s="247"/>
      <c r="V34" s="248">
        <f>SUM(V35)</f>
        <v>0</v>
      </c>
      <c r="W34" s="248">
        <f>SUM(W35)</f>
        <v>392.2</v>
      </c>
      <c r="X34" s="248">
        <f>SUM(X35)</f>
        <v>392.2</v>
      </c>
      <c r="Y34" s="248">
        <f>SUM(Y35)</f>
        <v>4650.8</v>
      </c>
      <c r="Z34" s="251"/>
      <c r="AF34" s="252"/>
    </row>
    <row r="35" spans="1:32" s="111" customFormat="1" ht="130.5" customHeight="1" x14ac:dyDescent="0.3">
      <c r="A35" s="152"/>
      <c r="B35" s="152" t="s">
        <v>107</v>
      </c>
      <c r="C35" s="152" t="s">
        <v>113</v>
      </c>
      <c r="D35" s="216" t="s">
        <v>97</v>
      </c>
      <c r="E35" s="221">
        <v>40102</v>
      </c>
      <c r="F35" s="154" t="s">
        <v>280</v>
      </c>
      <c r="G35" s="155">
        <v>15</v>
      </c>
      <c r="H35" s="156">
        <v>305.35000000000002</v>
      </c>
      <c r="I35" s="157">
        <v>5043</v>
      </c>
      <c r="J35" s="158">
        <v>0</v>
      </c>
      <c r="K35" s="159">
        <f>SUM(I35:J35)</f>
        <v>5043</v>
      </c>
      <c r="L35" s="160">
        <f>IF(I35/15&lt;=SMG,0,J35/2)</f>
        <v>0</v>
      </c>
      <c r="M35" s="160">
        <f t="shared" ref="M35" si="21">I35+L35</f>
        <v>5043</v>
      </c>
      <c r="N35" s="160">
        <f>VLOOKUP(M35,Tarifa1,1)</f>
        <v>3124.36</v>
      </c>
      <c r="O35" s="160">
        <f t="shared" ref="O35" si="22">M35-N35</f>
        <v>1918.6399999999999</v>
      </c>
      <c r="P35" s="161">
        <f>VLOOKUP(M35,Tarifa1,3)</f>
        <v>0.10879999999999999</v>
      </c>
      <c r="Q35" s="160">
        <f t="shared" ref="Q35" si="23">O35*P35</f>
        <v>208.74803199999997</v>
      </c>
      <c r="R35" s="162">
        <f>VLOOKUP(M35,Tarifa1,2)</f>
        <v>183.45</v>
      </c>
      <c r="S35" s="160">
        <f t="shared" ref="S35" si="24">Q35+R35</f>
        <v>392.19803199999996</v>
      </c>
      <c r="T35" s="160">
        <f>VLOOKUP(M35,Credito1,2)</f>
        <v>0</v>
      </c>
      <c r="U35" s="160">
        <f t="shared" ref="U35" si="25">ROUND(S35-T35,2)</f>
        <v>392.2</v>
      </c>
      <c r="V35" s="159">
        <f t="shared" ref="V35" si="26">-IF(U35&gt;0,0,U35)</f>
        <v>0</v>
      </c>
      <c r="W35" s="159">
        <f>IF(I35/15&lt;=SMG,0,IF(U35&lt;0,0,U35))</f>
        <v>392.2</v>
      </c>
      <c r="X35" s="159">
        <f>SUM(W35:W35)</f>
        <v>392.2</v>
      </c>
      <c r="Y35" s="159">
        <f>K35+V35-X35</f>
        <v>4650.8</v>
      </c>
      <c r="Z35" s="110"/>
      <c r="AF35" s="252"/>
    </row>
    <row r="36" spans="1:32" s="111" customFormat="1" ht="84.95" customHeight="1" x14ac:dyDescent="0.25">
      <c r="A36" s="228"/>
      <c r="B36" s="196" t="s">
        <v>100</v>
      </c>
      <c r="C36" s="196" t="s">
        <v>122</v>
      </c>
      <c r="D36" s="247" t="s">
        <v>145</v>
      </c>
      <c r="E36" s="196" t="s">
        <v>315</v>
      </c>
      <c r="F36" s="247" t="s">
        <v>60</v>
      </c>
      <c r="G36" s="247"/>
      <c r="H36" s="247"/>
      <c r="I36" s="248">
        <f>SUM(I37)</f>
        <v>7013</v>
      </c>
      <c r="J36" s="248">
        <f>SUM(J37)</f>
        <v>0</v>
      </c>
      <c r="K36" s="248">
        <f>SUM(K37)</f>
        <v>7013</v>
      </c>
      <c r="L36" s="247"/>
      <c r="M36" s="247"/>
      <c r="N36" s="247"/>
      <c r="O36" s="247"/>
      <c r="P36" s="247"/>
      <c r="Q36" s="247"/>
      <c r="R36" s="250"/>
      <c r="S36" s="247"/>
      <c r="T36" s="247"/>
      <c r="U36" s="247"/>
      <c r="V36" s="248">
        <f>SUM(V37)</f>
        <v>0</v>
      </c>
      <c r="W36" s="248">
        <f>SUM(W37)</f>
        <v>696.58</v>
      </c>
      <c r="X36" s="248">
        <f>SUM(X37)</f>
        <v>696.58</v>
      </c>
      <c r="Y36" s="248">
        <f>SUM(Y37)</f>
        <v>6316.42</v>
      </c>
      <c r="Z36" s="251"/>
    </row>
    <row r="37" spans="1:32" s="111" customFormat="1" ht="130.5" customHeight="1" x14ac:dyDescent="0.3">
      <c r="A37" s="228"/>
      <c r="B37" s="151" t="s">
        <v>157</v>
      </c>
      <c r="C37" s="152" t="s">
        <v>113</v>
      </c>
      <c r="D37" s="216" t="s">
        <v>148</v>
      </c>
      <c r="E37" s="225">
        <v>43101</v>
      </c>
      <c r="F37" s="154" t="s">
        <v>149</v>
      </c>
      <c r="G37" s="155">
        <v>15</v>
      </c>
      <c r="H37" s="156">
        <f>I37/G37</f>
        <v>467.53333333333336</v>
      </c>
      <c r="I37" s="157">
        <v>7013</v>
      </c>
      <c r="J37" s="158">
        <v>0</v>
      </c>
      <c r="K37" s="159">
        <f>SUM(I37:J37)</f>
        <v>7013</v>
      </c>
      <c r="L37" s="160">
        <f>IF(I37/15&lt;=SMG,0,J37/2)</f>
        <v>0</v>
      </c>
      <c r="M37" s="160">
        <f t="shared" ref="M37" si="27">I37+L37</f>
        <v>7013</v>
      </c>
      <c r="N37" s="160">
        <f>VLOOKUP(M37,Tarifa1,1)</f>
        <v>6382.81</v>
      </c>
      <c r="O37" s="160">
        <f t="shared" ref="O37" si="28">M37-N37</f>
        <v>630.1899999999996</v>
      </c>
      <c r="P37" s="161">
        <f>VLOOKUP(M37,Tarifa1,3)</f>
        <v>0.1792</v>
      </c>
      <c r="Q37" s="160">
        <f t="shared" ref="Q37" si="29">O37*P37</f>
        <v>112.93004799999993</v>
      </c>
      <c r="R37" s="162">
        <f>VLOOKUP(M37,Tarifa1,2)</f>
        <v>583.65</v>
      </c>
      <c r="S37" s="160">
        <f t="shared" ref="S37" si="30">Q37+R37</f>
        <v>696.58004799999992</v>
      </c>
      <c r="T37" s="160">
        <f>VLOOKUP(M37,Credito1,2)</f>
        <v>0</v>
      </c>
      <c r="U37" s="160">
        <f t="shared" ref="U37" si="31">ROUND(S37-T37,2)</f>
        <v>696.58</v>
      </c>
      <c r="V37" s="159">
        <f t="shared" ref="V37" si="32">-IF(U37&gt;0,0,U37)</f>
        <v>0</v>
      </c>
      <c r="W37" s="159">
        <f>IF(I37/15&lt;=SMG,0,IF(U37&lt;0,0,U37))</f>
        <v>696.58</v>
      </c>
      <c r="X37" s="159">
        <f>SUM(W37:W37)</f>
        <v>696.58</v>
      </c>
      <c r="Y37" s="159">
        <f>K37+V37-X37</f>
        <v>6316.42</v>
      </c>
      <c r="Z37" s="110"/>
    </row>
    <row r="38" spans="1:32" s="111" customFormat="1" ht="18" x14ac:dyDescent="0.25">
      <c r="A38" s="228"/>
      <c r="B38" s="228"/>
      <c r="C38" s="228"/>
      <c r="D38" s="228"/>
      <c r="E38" s="228"/>
      <c r="F38" s="228"/>
      <c r="G38" s="228"/>
      <c r="H38" s="228"/>
      <c r="I38" s="253"/>
      <c r="J38" s="253"/>
      <c r="K38" s="253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110"/>
    </row>
    <row r="39" spans="1:32" s="111" customFormat="1" ht="39" customHeight="1" x14ac:dyDescent="0.25">
      <c r="A39" s="317" t="s">
        <v>44</v>
      </c>
      <c r="B39" s="317"/>
      <c r="C39" s="317"/>
      <c r="D39" s="317"/>
      <c r="E39" s="317"/>
      <c r="F39" s="317"/>
      <c r="G39" s="317"/>
      <c r="H39" s="317"/>
      <c r="I39" s="187">
        <f>SUM(I8+I11+I13+I30+I32+I34+I36)</f>
        <v>60653</v>
      </c>
      <c r="J39" s="187">
        <f>SUM(J8+J11+J13+J30+J32+J34+J36)</f>
        <v>0</v>
      </c>
      <c r="K39" s="187">
        <f>SUM(K8+K11+K13+K30+K32+K34+K36)</f>
        <v>60653</v>
      </c>
      <c r="L39" s="188">
        <f t="shared" ref="L39:U39" si="33">SUM(L11:L38)</f>
        <v>0</v>
      </c>
      <c r="M39" s="188">
        <f t="shared" si="33"/>
        <v>50335.333333333328</v>
      </c>
      <c r="N39" s="188">
        <f t="shared" si="33"/>
        <v>38396.79</v>
      </c>
      <c r="O39" s="188">
        <f t="shared" si="33"/>
        <v>11938.543333333328</v>
      </c>
      <c r="P39" s="188">
        <f t="shared" si="33"/>
        <v>1.216</v>
      </c>
      <c r="Q39" s="188">
        <f t="shared" si="33"/>
        <v>1419.3218133333328</v>
      </c>
      <c r="R39" s="188">
        <f t="shared" si="33"/>
        <v>3075.45</v>
      </c>
      <c r="S39" s="188">
        <f t="shared" si="33"/>
        <v>4494.7718133333328</v>
      </c>
      <c r="T39" s="188">
        <f t="shared" si="33"/>
        <v>188.7</v>
      </c>
      <c r="U39" s="188">
        <f t="shared" si="33"/>
        <v>4306.07</v>
      </c>
      <c r="V39" s="187">
        <f>SUM(V8+V11+V13+V30+V32+V34+V36)</f>
        <v>0</v>
      </c>
      <c r="W39" s="187">
        <f>SUM(W8+W11+W13+W30+W32+W34+W36)</f>
        <v>5506.3700000000008</v>
      </c>
      <c r="X39" s="187">
        <f>SUM(X8+X11+X13+X30+X32+X34+X36)</f>
        <v>5506.3700000000008</v>
      </c>
      <c r="Y39" s="187">
        <f>SUM(Y8+Y11+Y13+Y30+Y32+Y34+Y36)</f>
        <v>55146.630000000005</v>
      </c>
      <c r="Z39" s="110"/>
    </row>
    <row r="40" spans="1:32" s="51" customFormat="1" ht="12" x14ac:dyDescent="0.2"/>
    <row r="41" spans="1:32" s="51" customFormat="1" ht="12" x14ac:dyDescent="0.2"/>
    <row r="42" spans="1:32" s="51" customFormat="1" ht="12" x14ac:dyDescent="0.2"/>
    <row r="43" spans="1:32" s="51" customFormat="1" ht="12" x14ac:dyDescent="0.2"/>
    <row r="44" spans="1:32" s="51" customFormat="1" ht="12" x14ac:dyDescent="0.2"/>
  </sheetData>
  <mergeCells count="11">
    <mergeCell ref="A39:H39"/>
    <mergeCell ref="A1:Z1"/>
    <mergeCell ref="A2:Z2"/>
    <mergeCell ref="A3:Z3"/>
    <mergeCell ref="I5:K5"/>
    <mergeCell ref="N5:S5"/>
    <mergeCell ref="W5:X5"/>
    <mergeCell ref="C5:C7"/>
    <mergeCell ref="B25:AA25"/>
    <mergeCell ref="B26:AA26"/>
    <mergeCell ref="B27:AA27"/>
  </mergeCells>
  <phoneticPr fontId="34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D10 D12:E12" xr:uid="{00000000-0002-0000-0500-000000000000}"/>
  </dataValidations>
  <pageMargins left="0.27559055118110237" right="0.19685039370078741" top="0.6692913385826772" bottom="0.15748031496062992" header="0.31496062992125984" footer="0.31496062992125984"/>
  <pageSetup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6"/>
  <sheetViews>
    <sheetView topLeftCell="B11" zoomScale="77" zoomScaleNormal="77" workbookViewId="0">
      <selection activeCell="X11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0.28515625" customWidth="1"/>
    <col min="5" max="5" width="22.7109375" customWidth="1"/>
    <col min="6" max="6" width="23.42578125" customWidth="1"/>
    <col min="7" max="7" width="6.5703125" hidden="1" customWidth="1"/>
    <col min="8" max="8" width="10" hidden="1" customWidth="1"/>
    <col min="9" max="9" width="15.140625" customWidth="1"/>
    <col min="10" max="10" width="10.85546875" customWidth="1"/>
    <col min="11" max="11" width="13.85546875" customWidth="1"/>
    <col min="12" max="12" width="13.140625" hidden="1" customWidth="1"/>
    <col min="13" max="13" width="15.140625" hidden="1" customWidth="1"/>
    <col min="14" max="14" width="15.7109375" hidden="1" customWidth="1"/>
    <col min="15" max="15" width="12.28515625" hidden="1" customWidth="1"/>
    <col min="16" max="17" width="13.140625" hidden="1" customWidth="1"/>
    <col min="18" max="18" width="12.85546875" hidden="1" customWidth="1"/>
    <col min="19" max="19" width="12.140625" hidden="1" customWidth="1"/>
    <col min="20" max="20" width="13.140625" hidden="1" customWidth="1"/>
    <col min="21" max="21" width="13.42578125" hidden="1" customWidth="1"/>
    <col min="22" max="22" width="9.7109375" customWidth="1"/>
    <col min="23" max="23" width="13.85546875" customWidth="1"/>
    <col min="24" max="24" width="14.28515625" customWidth="1"/>
    <col min="25" max="25" width="14.5703125" customWidth="1"/>
    <col min="26" max="26" width="64.140625" customWidth="1"/>
  </cols>
  <sheetData>
    <row r="1" spans="1:26" ht="18" x14ac:dyDescent="0.25">
      <c r="A1" s="297" t="s">
        <v>77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9.5" x14ac:dyDescent="0.25">
      <c r="A3" s="288" t="s">
        <v>323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298" t="s">
        <v>1</v>
      </c>
      <c r="J6" s="299"/>
      <c r="K6" s="300"/>
      <c r="L6" s="24" t="s">
        <v>25</v>
      </c>
      <c r="M6" s="25"/>
      <c r="N6" s="301" t="s">
        <v>8</v>
      </c>
      <c r="O6" s="302"/>
      <c r="P6" s="302"/>
      <c r="Q6" s="302"/>
      <c r="R6" s="302"/>
      <c r="S6" s="303"/>
      <c r="T6" s="24" t="s">
        <v>29</v>
      </c>
      <c r="U6" s="24" t="s">
        <v>9</v>
      </c>
      <c r="V6" s="23" t="s">
        <v>52</v>
      </c>
      <c r="W6" s="304" t="s">
        <v>2</v>
      </c>
      <c r="X6" s="305"/>
      <c r="Y6" s="23" t="s">
        <v>0</v>
      </c>
      <c r="Z6" s="34"/>
    </row>
    <row r="7" spans="1:26" ht="33.75" x14ac:dyDescent="0.2">
      <c r="A7" s="26" t="s">
        <v>20</v>
      </c>
      <c r="B7" s="44" t="s">
        <v>100</v>
      </c>
      <c r="C7" s="44" t="s">
        <v>114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294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s="4" customFormat="1" ht="54.75" customHeight="1" x14ac:dyDescent="0.25">
      <c r="A9" s="132"/>
      <c r="B9" s="132"/>
      <c r="C9" s="132"/>
      <c r="D9" s="131" t="s">
        <v>111</v>
      </c>
      <c r="E9" s="132" t="s">
        <v>315</v>
      </c>
      <c r="F9" s="132" t="s">
        <v>60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3"/>
      <c r="V9" s="132"/>
      <c r="W9" s="132"/>
      <c r="X9" s="132"/>
      <c r="Y9" s="132"/>
      <c r="Z9" s="101"/>
    </row>
    <row r="10" spans="1:26" s="4" customFormat="1" ht="131.25" customHeight="1" x14ac:dyDescent="0.3">
      <c r="A10" s="109" t="s">
        <v>82</v>
      </c>
      <c r="B10" s="152" t="s">
        <v>109</v>
      </c>
      <c r="C10" s="152" t="s">
        <v>113</v>
      </c>
      <c r="D10" s="216" t="s">
        <v>98</v>
      </c>
      <c r="E10" s="219">
        <v>42278</v>
      </c>
      <c r="F10" s="154" t="s">
        <v>213</v>
      </c>
      <c r="G10" s="155">
        <v>15</v>
      </c>
      <c r="H10" s="156">
        <f>I10/G10</f>
        <v>1110.0666666666666</v>
      </c>
      <c r="I10" s="157">
        <v>16651</v>
      </c>
      <c r="J10" s="158">
        <v>0</v>
      </c>
      <c r="K10" s="159">
        <f>SUM(I10:J10)</f>
        <v>16651</v>
      </c>
      <c r="L10" s="160">
        <f>IF(I10/15&lt;=SMG,0,J10/2)</f>
        <v>0</v>
      </c>
      <c r="M10" s="160">
        <f>I10+L10</f>
        <v>16651</v>
      </c>
      <c r="N10" s="160">
        <f>VLOOKUP(M10,Tarifa1,1)</f>
        <v>15412.81</v>
      </c>
      <c r="O10" s="160">
        <f>M10-N10</f>
        <v>1238.1900000000005</v>
      </c>
      <c r="P10" s="161">
        <f>VLOOKUP(M10,Tarifa1,3)</f>
        <v>0.23519999999999999</v>
      </c>
      <c r="Q10" s="160">
        <f>O10*P10</f>
        <v>291.22228800000011</v>
      </c>
      <c r="R10" s="162">
        <f>VLOOKUP(M10,Tarifa1,2)</f>
        <v>2469.15</v>
      </c>
      <c r="S10" s="160">
        <f>Q10+R10</f>
        <v>2760.372288</v>
      </c>
      <c r="T10" s="160">
        <f>VLOOKUP(M10,Credito1,2)</f>
        <v>0</v>
      </c>
      <c r="U10" s="160">
        <f>ROUND(S10-T10,2)</f>
        <v>2760.37</v>
      </c>
      <c r="V10" s="159">
        <f>-IF(U10&gt;0,0,U10)</f>
        <v>0</v>
      </c>
      <c r="W10" s="159">
        <f>IF(I10/15&lt;=SMG,0,IF(U10&lt;0,0,U10))</f>
        <v>2760.37</v>
      </c>
      <c r="X10" s="159">
        <f>SUM(W10:W10)</f>
        <v>2760.37</v>
      </c>
      <c r="Y10" s="159">
        <f>K10+V10-X10</f>
        <v>13890.630000000001</v>
      </c>
      <c r="Z10" s="89"/>
    </row>
    <row r="11" spans="1:26" s="4" customFormat="1" ht="131.25" customHeight="1" x14ac:dyDescent="0.3">
      <c r="A11" s="109" t="s">
        <v>84</v>
      </c>
      <c r="B11" s="152" t="s">
        <v>103</v>
      </c>
      <c r="C11" s="152" t="s">
        <v>113</v>
      </c>
      <c r="D11" s="216" t="s">
        <v>72</v>
      </c>
      <c r="E11" s="219">
        <v>39462</v>
      </c>
      <c r="F11" s="154" t="s">
        <v>214</v>
      </c>
      <c r="G11" s="155">
        <v>15</v>
      </c>
      <c r="H11" s="156">
        <f>I11/G11</f>
        <v>704.86666666666667</v>
      </c>
      <c r="I11" s="157">
        <v>10573</v>
      </c>
      <c r="J11" s="158">
        <v>0</v>
      </c>
      <c r="K11" s="159">
        <f>I11</f>
        <v>10573</v>
      </c>
      <c r="L11" s="160">
        <f>IF(I11/15&lt;=SMG,0,J11/2)</f>
        <v>0</v>
      </c>
      <c r="M11" s="160">
        <f t="shared" ref="M11:M12" si="0">I11+L11</f>
        <v>10573</v>
      </c>
      <c r="N11" s="160">
        <f>VLOOKUP(M11,Tarifa1,1)</f>
        <v>7641.91</v>
      </c>
      <c r="O11" s="160">
        <f t="shared" ref="O11:O12" si="1">M11-N11</f>
        <v>2931.09</v>
      </c>
      <c r="P11" s="161">
        <f>VLOOKUP(M11,Tarifa1,3)</f>
        <v>0.21360000000000001</v>
      </c>
      <c r="Q11" s="160">
        <f t="shared" ref="Q11:Q12" si="2">O11*P11</f>
        <v>626.08082400000012</v>
      </c>
      <c r="R11" s="162">
        <f>VLOOKUP(M11,Tarifa1,2)</f>
        <v>809.25</v>
      </c>
      <c r="S11" s="160">
        <f t="shared" ref="S11:S12" si="3">Q11+R11</f>
        <v>1435.3308240000001</v>
      </c>
      <c r="T11" s="160">
        <f>VLOOKUP(M11,Credito1,2)</f>
        <v>0</v>
      </c>
      <c r="U11" s="160">
        <f t="shared" ref="U11:U12" si="4">ROUND(S11-T11,2)</f>
        <v>1435.33</v>
      </c>
      <c r="V11" s="159">
        <f t="shared" ref="V11:V12" si="5">-IF(U11&gt;0,0,U11)</f>
        <v>0</v>
      </c>
      <c r="W11" s="159">
        <f>IF(I11/15&lt;=SMG,0,IF(U11&lt;0,0,U11))</f>
        <v>1435.33</v>
      </c>
      <c r="X11" s="159">
        <f>SUM(W11:W11)</f>
        <v>1435.33</v>
      </c>
      <c r="Y11" s="159">
        <f>K11+V11-X11</f>
        <v>9137.67</v>
      </c>
      <c r="Z11" s="89"/>
    </row>
    <row r="12" spans="1:26" s="4" customFormat="1" ht="131.25" customHeight="1" x14ac:dyDescent="0.3">
      <c r="A12" s="109" t="s">
        <v>85</v>
      </c>
      <c r="B12" s="152" t="s">
        <v>110</v>
      </c>
      <c r="C12" s="152" t="s">
        <v>113</v>
      </c>
      <c r="D12" s="216" t="s">
        <v>95</v>
      </c>
      <c r="E12" s="219">
        <v>42278</v>
      </c>
      <c r="F12" s="154" t="s">
        <v>214</v>
      </c>
      <c r="G12" s="155">
        <v>15</v>
      </c>
      <c r="H12" s="156">
        <f>I12/G12</f>
        <v>418.33333333333331</v>
      </c>
      <c r="I12" s="157">
        <v>6275</v>
      </c>
      <c r="J12" s="158">
        <v>0</v>
      </c>
      <c r="K12" s="159">
        <f>SUM(I12:J12)</f>
        <v>6275</v>
      </c>
      <c r="L12" s="160">
        <f>IF(I12/15&lt;=SMG,0,J12/2)</f>
        <v>0</v>
      </c>
      <c r="M12" s="160">
        <f t="shared" si="0"/>
        <v>6275</v>
      </c>
      <c r="N12" s="160">
        <f>VLOOKUP(M12,Tarifa1,1)</f>
        <v>5490.76</v>
      </c>
      <c r="O12" s="160">
        <f t="shared" si="1"/>
        <v>784.23999999999978</v>
      </c>
      <c r="P12" s="161">
        <f>VLOOKUP(M12,Tarifa1,3)</f>
        <v>0.16</v>
      </c>
      <c r="Q12" s="160">
        <f t="shared" si="2"/>
        <v>125.47839999999997</v>
      </c>
      <c r="R12" s="162">
        <f>VLOOKUP(M12,Tarifa1,2)</f>
        <v>441</v>
      </c>
      <c r="S12" s="160">
        <f t="shared" si="3"/>
        <v>566.47839999999997</v>
      </c>
      <c r="T12" s="160">
        <f>VLOOKUP(M12,Credito1,2)</f>
        <v>0</v>
      </c>
      <c r="U12" s="160">
        <f t="shared" si="4"/>
        <v>566.48</v>
      </c>
      <c r="V12" s="159">
        <f t="shared" si="5"/>
        <v>0</v>
      </c>
      <c r="W12" s="159">
        <f>IF(I12/15&lt;=SMG,0,IF(U12&lt;0,0,U12))</f>
        <v>566.48</v>
      </c>
      <c r="X12" s="159">
        <f>SUM(W12:W12)</f>
        <v>566.48</v>
      </c>
      <c r="Y12" s="159">
        <f>K12+V12-X12</f>
        <v>5708.52</v>
      </c>
      <c r="Z12" s="89"/>
    </row>
    <row r="13" spans="1:26" s="4" customFormat="1" ht="36" customHeight="1" x14ac:dyDescent="0.25">
      <c r="A13" s="176"/>
      <c r="B13" s="176"/>
      <c r="C13" s="176"/>
      <c r="D13" s="176"/>
      <c r="E13" s="176"/>
      <c r="F13" s="176"/>
      <c r="G13" s="176"/>
      <c r="H13" s="176"/>
      <c r="I13" s="182"/>
      <c r="J13" s="182"/>
      <c r="K13" s="182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</row>
    <row r="14" spans="1:26" s="4" customFormat="1" ht="60" customHeight="1" thickBot="1" x14ac:dyDescent="0.3">
      <c r="A14" s="284" t="s">
        <v>44</v>
      </c>
      <c r="B14" s="285"/>
      <c r="C14" s="285"/>
      <c r="D14" s="285"/>
      <c r="E14" s="285"/>
      <c r="F14" s="285"/>
      <c r="G14" s="285"/>
      <c r="H14" s="286"/>
      <c r="I14" s="163">
        <f>SUM(I10:I13)</f>
        <v>33499</v>
      </c>
      <c r="J14" s="163">
        <f>SUM(J10:J13)</f>
        <v>0</v>
      </c>
      <c r="K14" s="163">
        <f>SUM(K10:K13)</f>
        <v>33499</v>
      </c>
      <c r="L14" s="164">
        <f t="shared" ref="L14:U14" si="6">SUM(L10:L13)</f>
        <v>0</v>
      </c>
      <c r="M14" s="164">
        <f t="shared" si="6"/>
        <v>33499</v>
      </c>
      <c r="N14" s="164">
        <f t="shared" si="6"/>
        <v>28545.480000000003</v>
      </c>
      <c r="O14" s="164">
        <f t="shared" si="6"/>
        <v>4953.5200000000004</v>
      </c>
      <c r="P14" s="164">
        <f t="shared" si="6"/>
        <v>0.60880000000000001</v>
      </c>
      <c r="Q14" s="164">
        <f t="shared" si="6"/>
        <v>1042.7815120000002</v>
      </c>
      <c r="R14" s="164">
        <f t="shared" si="6"/>
        <v>3719.4</v>
      </c>
      <c r="S14" s="164">
        <f t="shared" si="6"/>
        <v>4762.1815120000001</v>
      </c>
      <c r="T14" s="164">
        <f t="shared" si="6"/>
        <v>0</v>
      </c>
      <c r="U14" s="164">
        <f t="shared" si="6"/>
        <v>4762.18</v>
      </c>
      <c r="V14" s="163">
        <f>SUM(V10:V13)</f>
        <v>0</v>
      </c>
      <c r="W14" s="163">
        <f>SUM(W10:W13)</f>
        <v>4762.18</v>
      </c>
      <c r="X14" s="163">
        <f>SUM(X10:X13)</f>
        <v>4762.18</v>
      </c>
      <c r="Y14" s="163">
        <f>SUM(Y10:Y12)</f>
        <v>28736.820000000003</v>
      </c>
    </row>
    <row r="15" spans="1:26" ht="35.1" customHeight="1" thickTop="1" x14ac:dyDescent="0.2"/>
    <row r="16" spans="1:26" ht="35.1" customHeight="1" x14ac:dyDescent="0.2"/>
  </sheetData>
  <mergeCells count="7">
    <mergeCell ref="A14:H14"/>
    <mergeCell ref="A1:Z1"/>
    <mergeCell ref="A3:Z3"/>
    <mergeCell ref="I6:K6"/>
    <mergeCell ref="N6:S6"/>
    <mergeCell ref="W6:X6"/>
    <mergeCell ref="A2:Z2"/>
  </mergeCell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1"/>
  <sheetViews>
    <sheetView topLeftCell="B17" zoomScale="87" zoomScaleNormal="87" workbookViewId="0">
      <selection activeCell="W1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6.5703125" customWidth="1"/>
    <col min="5" max="5" width="24.42578125" customWidth="1"/>
    <col min="6" max="6" width="20.7109375" customWidth="1"/>
    <col min="7" max="7" width="6.5703125" hidden="1" customWidth="1"/>
    <col min="8" max="8" width="8.5703125" hidden="1" customWidth="1"/>
    <col min="9" max="9" width="14.42578125" customWidth="1"/>
    <col min="10" max="10" width="14.28515625" customWidth="1"/>
    <col min="11" max="11" width="13.140625" hidden="1" customWidth="1"/>
    <col min="12" max="14" width="12.85546875" hidden="1" customWidth="1"/>
    <col min="15" max="16" width="13.140625" hidden="1" customWidth="1"/>
    <col min="17" max="17" width="10.5703125" hidden="1" customWidth="1"/>
    <col min="18" max="18" width="13" hidden="1" customWidth="1"/>
    <col min="19" max="19" width="13.140625" hidden="1" customWidth="1"/>
    <col min="20" max="20" width="13.85546875" hidden="1" customWidth="1"/>
    <col min="21" max="21" width="9.7109375" customWidth="1"/>
    <col min="22" max="22" width="14.7109375" customWidth="1"/>
    <col min="23" max="23" width="14.5703125" customWidth="1"/>
    <col min="24" max="24" width="15.42578125" customWidth="1"/>
    <col min="25" max="25" width="71.140625" customWidth="1"/>
    <col min="26" max="26" width="0.85546875" customWidth="1"/>
  </cols>
  <sheetData>
    <row r="1" spans="1:26" ht="18" x14ac:dyDescent="0.25">
      <c r="A1" s="297" t="s">
        <v>77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</row>
    <row r="2" spans="1:26" ht="18" x14ac:dyDescent="0.25">
      <c r="A2" s="297" t="s">
        <v>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6" ht="19.5" x14ac:dyDescent="0.25">
      <c r="A3" s="288" t="s">
        <v>323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298" t="s">
        <v>1</v>
      </c>
      <c r="J6" s="300"/>
      <c r="K6" s="24" t="s">
        <v>25</v>
      </c>
      <c r="L6" s="25"/>
      <c r="M6" s="301" t="s">
        <v>8</v>
      </c>
      <c r="N6" s="302"/>
      <c r="O6" s="302"/>
      <c r="P6" s="302"/>
      <c r="Q6" s="302"/>
      <c r="R6" s="303"/>
      <c r="S6" s="24" t="s">
        <v>29</v>
      </c>
      <c r="T6" s="24" t="s">
        <v>9</v>
      </c>
      <c r="U6" s="23" t="s">
        <v>52</v>
      </c>
      <c r="V6" s="304" t="s">
        <v>2</v>
      </c>
      <c r="W6" s="305"/>
      <c r="X6" s="23" t="s">
        <v>0</v>
      </c>
      <c r="Y6" s="34"/>
    </row>
    <row r="7" spans="1:26" ht="33.75" customHeight="1" x14ac:dyDescent="0.2">
      <c r="A7" s="26" t="s">
        <v>20</v>
      </c>
      <c r="B7" s="44" t="s">
        <v>100</v>
      </c>
      <c r="C7" s="44" t="s">
        <v>114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3" t="s">
        <v>294</v>
      </c>
      <c r="W7" s="23" t="s">
        <v>6</v>
      </c>
      <c r="X7" s="26" t="s">
        <v>3</v>
      </c>
      <c r="Y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28</v>
      </c>
      <c r="K8" s="30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9" t="s">
        <v>51</v>
      </c>
      <c r="V8" s="29"/>
      <c r="W8" s="29" t="s">
        <v>43</v>
      </c>
      <c r="X8" s="29" t="s">
        <v>4</v>
      </c>
      <c r="Y8" s="35"/>
    </row>
    <row r="9" spans="1:26" ht="15" x14ac:dyDescent="0.25">
      <c r="A9" s="39"/>
      <c r="B9" s="39"/>
      <c r="C9" s="39"/>
      <c r="D9" s="90" t="s">
        <v>59</v>
      </c>
      <c r="E9" s="38" t="s">
        <v>315</v>
      </c>
      <c r="F9" s="38" t="s">
        <v>60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39"/>
      <c r="V9" s="39"/>
      <c r="W9" s="39"/>
      <c r="X9" s="39"/>
      <c r="Y9" s="91"/>
    </row>
    <row r="10" spans="1:26" ht="93.75" customHeight="1" x14ac:dyDescent="0.3">
      <c r="A10" s="109" t="s">
        <v>82</v>
      </c>
      <c r="B10" s="151" t="s">
        <v>240</v>
      </c>
      <c r="C10" s="152" t="s">
        <v>113</v>
      </c>
      <c r="D10" s="216" t="s">
        <v>223</v>
      </c>
      <c r="E10" s="219">
        <v>44470</v>
      </c>
      <c r="F10" s="153" t="s">
        <v>74</v>
      </c>
      <c r="G10" s="155">
        <v>15</v>
      </c>
      <c r="H10" s="189">
        <f>I10/G10</f>
        <v>590</v>
      </c>
      <c r="I10" s="157">
        <v>8850</v>
      </c>
      <c r="J10" s="159">
        <f t="shared" ref="J10:J18" si="0">SUM(I10:I10)</f>
        <v>8850</v>
      </c>
      <c r="K10" s="160">
        <v>0</v>
      </c>
      <c r="L10" s="160">
        <f>J10+K10</f>
        <v>8850</v>
      </c>
      <c r="M10" s="160">
        <f t="shared" ref="M10:M18" si="1">VLOOKUP(L10,Tarifa1,1)</f>
        <v>7641.91</v>
      </c>
      <c r="N10" s="160">
        <f>L10-M10</f>
        <v>1208.0900000000001</v>
      </c>
      <c r="O10" s="161">
        <f t="shared" ref="O10" si="2">VLOOKUP(L10,Tarifa1,3)</f>
        <v>0.21360000000000001</v>
      </c>
      <c r="P10" s="160">
        <f>N10*O10</f>
        <v>258.04802400000005</v>
      </c>
      <c r="Q10" s="162">
        <f t="shared" ref="Q10:Q18" si="3">VLOOKUP(L10,Tarifa1,2)</f>
        <v>809.25</v>
      </c>
      <c r="R10" s="160">
        <f>P10+Q10</f>
        <v>1067.2980240000002</v>
      </c>
      <c r="S10" s="160">
        <f t="shared" ref="S10" si="4">VLOOKUP(L10,Credito1,2)</f>
        <v>0</v>
      </c>
      <c r="T10" s="160">
        <f>ROUND(R10-S10,2)</f>
        <v>1067.3</v>
      </c>
      <c r="U10" s="159">
        <f t="shared" ref="U10:U18" si="5">-IF(T10&gt;0,0,T10)</f>
        <v>0</v>
      </c>
      <c r="V10" s="159">
        <f t="shared" ref="V10:V18" si="6">IF(I10/15&lt;=SMG,0,IF(T10&lt;0,0,T10))</f>
        <v>1067.3</v>
      </c>
      <c r="W10" s="159">
        <f>SUM(V10:V10)</f>
        <v>1067.3</v>
      </c>
      <c r="X10" s="159">
        <f>J10+U10-W10</f>
        <v>7782.7</v>
      </c>
      <c r="Y10" s="33"/>
    </row>
    <row r="11" spans="1:26" ht="93.75" customHeight="1" x14ac:dyDescent="0.3">
      <c r="A11" s="109" t="s">
        <v>83</v>
      </c>
      <c r="B11" s="151" t="s">
        <v>221</v>
      </c>
      <c r="C11" s="152" t="s">
        <v>113</v>
      </c>
      <c r="D11" s="216" t="s">
        <v>224</v>
      </c>
      <c r="E11" s="219">
        <v>44470</v>
      </c>
      <c r="F11" s="153" t="s">
        <v>74</v>
      </c>
      <c r="G11" s="155">
        <v>15</v>
      </c>
      <c r="H11" s="189">
        <f t="shared" ref="H11:H18" si="7">I11/G11</f>
        <v>590</v>
      </c>
      <c r="I11" s="157">
        <v>8850</v>
      </c>
      <c r="J11" s="159">
        <f t="shared" si="0"/>
        <v>8850</v>
      </c>
      <c r="K11" s="160">
        <v>0</v>
      </c>
      <c r="L11" s="160">
        <f t="shared" ref="L11:L18" si="8">J11+K11</f>
        <v>8850</v>
      </c>
      <c r="M11" s="160">
        <f t="shared" si="1"/>
        <v>7641.91</v>
      </c>
      <c r="N11" s="160">
        <f t="shared" ref="N11" si="9">L11-M11</f>
        <v>1208.0900000000001</v>
      </c>
      <c r="O11" s="161">
        <f t="shared" ref="O11" si="10">VLOOKUP(L11,Tarifa1,3)</f>
        <v>0.21360000000000001</v>
      </c>
      <c r="P11" s="160">
        <f t="shared" ref="P11" si="11">N11*O11</f>
        <v>258.04802400000005</v>
      </c>
      <c r="Q11" s="162">
        <f t="shared" si="3"/>
        <v>809.25</v>
      </c>
      <c r="R11" s="160">
        <f t="shared" ref="R11:R18" si="12">P11+Q11</f>
        <v>1067.2980240000002</v>
      </c>
      <c r="S11" s="160">
        <f t="shared" ref="S11:S18" si="13">VLOOKUP(L11,Credito1,2)</f>
        <v>0</v>
      </c>
      <c r="T11" s="160">
        <f t="shared" ref="T11:T18" si="14">ROUND(R11-S11,2)</f>
        <v>1067.3</v>
      </c>
      <c r="U11" s="159">
        <f t="shared" si="5"/>
        <v>0</v>
      </c>
      <c r="V11" s="159">
        <f t="shared" si="6"/>
        <v>1067.3</v>
      </c>
      <c r="W11" s="159">
        <f>SUM(V11:V11)</f>
        <v>1067.3</v>
      </c>
      <c r="X11" s="159">
        <f>J11+U11-W11</f>
        <v>7782.7</v>
      </c>
      <c r="Y11" s="33"/>
    </row>
    <row r="12" spans="1:26" ht="93.75" customHeight="1" x14ac:dyDescent="0.3">
      <c r="A12" s="109" t="s">
        <v>84</v>
      </c>
      <c r="B12" s="151" t="s">
        <v>222</v>
      </c>
      <c r="C12" s="152" t="s">
        <v>113</v>
      </c>
      <c r="D12" s="216" t="s">
        <v>225</v>
      </c>
      <c r="E12" s="219">
        <v>44470</v>
      </c>
      <c r="F12" s="153" t="s">
        <v>74</v>
      </c>
      <c r="G12" s="155">
        <v>15</v>
      </c>
      <c r="H12" s="189">
        <f t="shared" si="7"/>
        <v>590</v>
      </c>
      <c r="I12" s="157">
        <v>8850</v>
      </c>
      <c r="J12" s="159">
        <f t="shared" si="0"/>
        <v>8850</v>
      </c>
      <c r="K12" s="160">
        <v>0</v>
      </c>
      <c r="L12" s="160">
        <f t="shared" si="8"/>
        <v>8850</v>
      </c>
      <c r="M12" s="160">
        <f t="shared" si="1"/>
        <v>7641.91</v>
      </c>
      <c r="N12" s="160">
        <f t="shared" ref="N12:N18" si="15">L12-M12</f>
        <v>1208.0900000000001</v>
      </c>
      <c r="O12" s="161">
        <f t="shared" ref="O12:O18" si="16">VLOOKUP(L12,Tarifa1,3)</f>
        <v>0.21360000000000001</v>
      </c>
      <c r="P12" s="160">
        <f t="shared" ref="P12:P18" si="17">N12*O12</f>
        <v>258.04802400000005</v>
      </c>
      <c r="Q12" s="162">
        <f t="shared" si="3"/>
        <v>809.25</v>
      </c>
      <c r="R12" s="160">
        <f t="shared" si="12"/>
        <v>1067.2980240000002</v>
      </c>
      <c r="S12" s="160">
        <f t="shared" si="13"/>
        <v>0</v>
      </c>
      <c r="T12" s="160">
        <f t="shared" si="14"/>
        <v>1067.3</v>
      </c>
      <c r="U12" s="159">
        <f t="shared" si="5"/>
        <v>0</v>
      </c>
      <c r="V12" s="159">
        <f t="shared" si="6"/>
        <v>1067.3</v>
      </c>
      <c r="W12" s="159">
        <f>SUM(V12:V12)</f>
        <v>1067.3</v>
      </c>
      <c r="X12" s="159">
        <f>J12+U12-W12</f>
        <v>7782.7</v>
      </c>
      <c r="Y12" s="33"/>
    </row>
    <row r="13" spans="1:26" ht="93.75" customHeight="1" x14ac:dyDescent="0.3">
      <c r="A13" s="109" t="s">
        <v>85</v>
      </c>
      <c r="B13" s="151" t="s">
        <v>241</v>
      </c>
      <c r="C13" s="152" t="s">
        <v>113</v>
      </c>
      <c r="D13" s="217" t="s">
        <v>226</v>
      </c>
      <c r="E13" s="219">
        <v>44470</v>
      </c>
      <c r="F13" s="153" t="s">
        <v>74</v>
      </c>
      <c r="G13" s="155">
        <v>10</v>
      </c>
      <c r="H13" s="189">
        <f t="shared" si="7"/>
        <v>885</v>
      </c>
      <c r="I13" s="157">
        <v>8850</v>
      </c>
      <c r="J13" s="159">
        <f t="shared" ref="J13" si="18">SUM(I13:I13)</f>
        <v>8850</v>
      </c>
      <c r="K13" s="160">
        <v>0</v>
      </c>
      <c r="L13" s="160">
        <f t="shared" ref="L13" si="19">J13+K13</f>
        <v>8850</v>
      </c>
      <c r="M13" s="160">
        <f t="shared" si="1"/>
        <v>7641.91</v>
      </c>
      <c r="N13" s="160">
        <f t="shared" si="15"/>
        <v>1208.0900000000001</v>
      </c>
      <c r="O13" s="161">
        <f t="shared" si="16"/>
        <v>0.21360000000000001</v>
      </c>
      <c r="P13" s="160">
        <f t="shared" si="17"/>
        <v>258.04802400000005</v>
      </c>
      <c r="Q13" s="162">
        <f t="shared" si="3"/>
        <v>809.25</v>
      </c>
      <c r="R13" s="160">
        <f t="shared" ref="R13" si="20">P13+Q13</f>
        <v>1067.2980240000002</v>
      </c>
      <c r="S13" s="160">
        <f t="shared" ref="S13" si="21">VLOOKUP(L13,Credito1,2)</f>
        <v>0</v>
      </c>
      <c r="T13" s="160">
        <f t="shared" ref="T13" si="22">ROUND(R13-S13,2)</f>
        <v>1067.3</v>
      </c>
      <c r="U13" s="159">
        <f t="shared" si="5"/>
        <v>0</v>
      </c>
      <c r="V13" s="159">
        <f t="shared" si="6"/>
        <v>1067.3</v>
      </c>
      <c r="W13" s="159">
        <f>SUM(V13:V13)</f>
        <v>1067.3</v>
      </c>
      <c r="X13" s="159">
        <f>J13+U13-W13</f>
        <v>7782.7</v>
      </c>
      <c r="Y13" s="33"/>
    </row>
    <row r="14" spans="1:26" ht="93.75" customHeight="1" x14ac:dyDescent="0.3">
      <c r="A14" s="109" t="s">
        <v>86</v>
      </c>
      <c r="B14" s="151" t="s">
        <v>242</v>
      </c>
      <c r="C14" s="152" t="s">
        <v>113</v>
      </c>
      <c r="D14" s="218" t="s">
        <v>227</v>
      </c>
      <c r="E14" s="219">
        <v>44470</v>
      </c>
      <c r="F14" s="166" t="s">
        <v>74</v>
      </c>
      <c r="G14" s="167">
        <v>15</v>
      </c>
      <c r="H14" s="190">
        <f t="shared" si="7"/>
        <v>590</v>
      </c>
      <c r="I14" s="157">
        <v>8850</v>
      </c>
      <c r="J14" s="159">
        <f t="shared" ref="J14" si="23">SUM(I14:I14)</f>
        <v>8850</v>
      </c>
      <c r="K14" s="160">
        <v>0</v>
      </c>
      <c r="L14" s="160">
        <f t="shared" si="8"/>
        <v>8850</v>
      </c>
      <c r="M14" s="160">
        <f t="shared" si="1"/>
        <v>7641.91</v>
      </c>
      <c r="N14" s="160">
        <f t="shared" si="15"/>
        <v>1208.0900000000001</v>
      </c>
      <c r="O14" s="161">
        <f t="shared" si="16"/>
        <v>0.21360000000000001</v>
      </c>
      <c r="P14" s="160">
        <f t="shared" si="17"/>
        <v>258.04802400000005</v>
      </c>
      <c r="Q14" s="162">
        <f t="shared" si="3"/>
        <v>809.25</v>
      </c>
      <c r="R14" s="160">
        <f t="shared" si="12"/>
        <v>1067.2980240000002</v>
      </c>
      <c r="S14" s="160">
        <f t="shared" si="13"/>
        <v>0</v>
      </c>
      <c r="T14" s="160">
        <f t="shared" si="14"/>
        <v>1067.3</v>
      </c>
      <c r="U14" s="159">
        <f t="shared" ref="U14" si="24">-IF(T14&gt;0,0,T14)</f>
        <v>0</v>
      </c>
      <c r="V14" s="159">
        <f t="shared" si="6"/>
        <v>1067.3</v>
      </c>
      <c r="W14" s="159">
        <f>SUM(V14:V14)</f>
        <v>1067.3</v>
      </c>
      <c r="X14" s="159">
        <f>J14+U14-W14</f>
        <v>7782.7</v>
      </c>
      <c r="Y14" s="33"/>
    </row>
    <row r="15" spans="1:26" ht="93.75" customHeight="1" x14ac:dyDescent="0.3">
      <c r="A15" s="109" t="s">
        <v>87</v>
      </c>
      <c r="B15" s="151" t="s">
        <v>243</v>
      </c>
      <c r="C15" s="152" t="s">
        <v>113</v>
      </c>
      <c r="D15" s="216" t="s">
        <v>228</v>
      </c>
      <c r="E15" s="219">
        <v>44470</v>
      </c>
      <c r="F15" s="153" t="s">
        <v>74</v>
      </c>
      <c r="G15" s="155">
        <v>15</v>
      </c>
      <c r="H15" s="189">
        <f t="shared" si="7"/>
        <v>590</v>
      </c>
      <c r="I15" s="157">
        <v>8850</v>
      </c>
      <c r="J15" s="159">
        <f t="shared" si="0"/>
        <v>8850</v>
      </c>
      <c r="K15" s="160">
        <v>0</v>
      </c>
      <c r="L15" s="160">
        <f t="shared" si="8"/>
        <v>8850</v>
      </c>
      <c r="M15" s="160">
        <f t="shared" si="1"/>
        <v>7641.91</v>
      </c>
      <c r="N15" s="160">
        <f t="shared" si="15"/>
        <v>1208.0900000000001</v>
      </c>
      <c r="O15" s="161">
        <f t="shared" si="16"/>
        <v>0.21360000000000001</v>
      </c>
      <c r="P15" s="160">
        <f t="shared" si="17"/>
        <v>258.04802400000005</v>
      </c>
      <c r="Q15" s="162">
        <f t="shared" si="3"/>
        <v>809.25</v>
      </c>
      <c r="R15" s="160">
        <f t="shared" si="12"/>
        <v>1067.2980240000002</v>
      </c>
      <c r="S15" s="160">
        <f t="shared" si="13"/>
        <v>0</v>
      </c>
      <c r="T15" s="160">
        <f t="shared" si="14"/>
        <v>1067.3</v>
      </c>
      <c r="U15" s="159">
        <f t="shared" si="5"/>
        <v>0</v>
      </c>
      <c r="V15" s="159">
        <f t="shared" si="6"/>
        <v>1067.3</v>
      </c>
      <c r="W15" s="159">
        <f>SUM(V15:V15)</f>
        <v>1067.3</v>
      </c>
      <c r="X15" s="159">
        <f>J15+U15-W15</f>
        <v>7782.7</v>
      </c>
      <c r="Y15" s="33"/>
    </row>
    <row r="16" spans="1:26" ht="93.75" customHeight="1" x14ac:dyDescent="0.3">
      <c r="A16" s="109" t="s">
        <v>88</v>
      </c>
      <c r="B16" s="151" t="s">
        <v>229</v>
      </c>
      <c r="C16" s="152" t="s">
        <v>113</v>
      </c>
      <c r="D16" s="216" t="s">
        <v>230</v>
      </c>
      <c r="E16" s="219">
        <v>44470</v>
      </c>
      <c r="F16" s="153" t="s">
        <v>74</v>
      </c>
      <c r="G16" s="155">
        <v>15</v>
      </c>
      <c r="H16" s="189">
        <f t="shared" si="7"/>
        <v>590</v>
      </c>
      <c r="I16" s="157">
        <v>8850</v>
      </c>
      <c r="J16" s="159">
        <f t="shared" si="0"/>
        <v>8850</v>
      </c>
      <c r="K16" s="160">
        <v>0</v>
      </c>
      <c r="L16" s="160">
        <f t="shared" si="8"/>
        <v>8850</v>
      </c>
      <c r="M16" s="160">
        <f t="shared" si="1"/>
        <v>7641.91</v>
      </c>
      <c r="N16" s="160">
        <f t="shared" si="15"/>
        <v>1208.0900000000001</v>
      </c>
      <c r="O16" s="161">
        <f t="shared" si="16"/>
        <v>0.21360000000000001</v>
      </c>
      <c r="P16" s="160">
        <f t="shared" si="17"/>
        <v>258.04802400000005</v>
      </c>
      <c r="Q16" s="162">
        <f t="shared" si="3"/>
        <v>809.25</v>
      </c>
      <c r="R16" s="160">
        <f t="shared" si="12"/>
        <v>1067.2980240000002</v>
      </c>
      <c r="S16" s="160">
        <f t="shared" si="13"/>
        <v>0</v>
      </c>
      <c r="T16" s="160">
        <f t="shared" si="14"/>
        <v>1067.3</v>
      </c>
      <c r="U16" s="159">
        <f t="shared" si="5"/>
        <v>0</v>
      </c>
      <c r="V16" s="159">
        <f t="shared" si="6"/>
        <v>1067.3</v>
      </c>
      <c r="W16" s="159">
        <f>SUM(V16:V16)</f>
        <v>1067.3</v>
      </c>
      <c r="X16" s="159">
        <f>J16+U16-W16</f>
        <v>7782.7</v>
      </c>
      <c r="Y16" s="33"/>
    </row>
    <row r="17" spans="1:25" ht="93.75" customHeight="1" x14ac:dyDescent="0.3">
      <c r="A17" s="109" t="s">
        <v>89</v>
      </c>
      <c r="B17" s="151" t="s">
        <v>244</v>
      </c>
      <c r="C17" s="152" t="s">
        <v>113</v>
      </c>
      <c r="D17" s="216" t="s">
        <v>231</v>
      </c>
      <c r="E17" s="219">
        <v>44470</v>
      </c>
      <c r="F17" s="153" t="s">
        <v>74</v>
      </c>
      <c r="G17" s="155">
        <v>15</v>
      </c>
      <c r="H17" s="189">
        <f t="shared" si="7"/>
        <v>590</v>
      </c>
      <c r="I17" s="157">
        <v>8850</v>
      </c>
      <c r="J17" s="159">
        <f t="shared" si="0"/>
        <v>8850</v>
      </c>
      <c r="K17" s="160">
        <v>0</v>
      </c>
      <c r="L17" s="160">
        <f t="shared" si="8"/>
        <v>8850</v>
      </c>
      <c r="M17" s="160">
        <f t="shared" si="1"/>
        <v>7641.91</v>
      </c>
      <c r="N17" s="160">
        <f t="shared" si="15"/>
        <v>1208.0900000000001</v>
      </c>
      <c r="O17" s="161">
        <f t="shared" si="16"/>
        <v>0.21360000000000001</v>
      </c>
      <c r="P17" s="160">
        <f t="shared" si="17"/>
        <v>258.04802400000005</v>
      </c>
      <c r="Q17" s="162">
        <f t="shared" si="3"/>
        <v>809.25</v>
      </c>
      <c r="R17" s="160">
        <f t="shared" si="12"/>
        <v>1067.2980240000002</v>
      </c>
      <c r="S17" s="160">
        <f t="shared" si="13"/>
        <v>0</v>
      </c>
      <c r="T17" s="160">
        <f t="shared" si="14"/>
        <v>1067.3</v>
      </c>
      <c r="U17" s="159">
        <f t="shared" si="5"/>
        <v>0</v>
      </c>
      <c r="V17" s="159">
        <f t="shared" si="6"/>
        <v>1067.3</v>
      </c>
      <c r="W17" s="159">
        <f>SUM(V17:V17)</f>
        <v>1067.3</v>
      </c>
      <c r="X17" s="159">
        <f>J17+U17-W17</f>
        <v>7782.7</v>
      </c>
      <c r="Y17" s="33"/>
    </row>
    <row r="18" spans="1:25" ht="93.75" customHeight="1" x14ac:dyDescent="0.3">
      <c r="A18" s="109" t="s">
        <v>90</v>
      </c>
      <c r="B18" s="151" t="s">
        <v>245</v>
      </c>
      <c r="C18" s="152" t="s">
        <v>113</v>
      </c>
      <c r="D18" s="216" t="s">
        <v>252</v>
      </c>
      <c r="E18" s="219">
        <v>44470</v>
      </c>
      <c r="F18" s="153" t="s">
        <v>74</v>
      </c>
      <c r="G18" s="155">
        <v>15</v>
      </c>
      <c r="H18" s="189">
        <f t="shared" si="7"/>
        <v>590</v>
      </c>
      <c r="I18" s="157">
        <v>8850</v>
      </c>
      <c r="J18" s="159">
        <f t="shared" si="0"/>
        <v>8850</v>
      </c>
      <c r="K18" s="160">
        <v>0</v>
      </c>
      <c r="L18" s="160">
        <f t="shared" si="8"/>
        <v>8850</v>
      </c>
      <c r="M18" s="160">
        <f t="shared" si="1"/>
        <v>7641.91</v>
      </c>
      <c r="N18" s="160">
        <f t="shared" si="15"/>
        <v>1208.0900000000001</v>
      </c>
      <c r="O18" s="161">
        <f t="shared" si="16"/>
        <v>0.21360000000000001</v>
      </c>
      <c r="P18" s="160">
        <f t="shared" si="17"/>
        <v>258.04802400000005</v>
      </c>
      <c r="Q18" s="162">
        <f t="shared" si="3"/>
        <v>809.25</v>
      </c>
      <c r="R18" s="160">
        <f t="shared" si="12"/>
        <v>1067.2980240000002</v>
      </c>
      <c r="S18" s="160">
        <f t="shared" si="13"/>
        <v>0</v>
      </c>
      <c r="T18" s="160">
        <f t="shared" si="14"/>
        <v>1067.3</v>
      </c>
      <c r="U18" s="159">
        <f t="shared" si="5"/>
        <v>0</v>
      </c>
      <c r="V18" s="159">
        <f t="shared" si="6"/>
        <v>1067.3</v>
      </c>
      <c r="W18" s="159">
        <f>SUM(V18:V18)</f>
        <v>1067.3</v>
      </c>
      <c r="X18" s="159">
        <f>J18+U18-W18</f>
        <v>7782.7</v>
      </c>
      <c r="Y18" s="33"/>
    </row>
    <row r="19" spans="1:25" ht="21.75" customHeight="1" x14ac:dyDescent="0.25">
      <c r="A19" s="176"/>
      <c r="B19" s="176"/>
      <c r="C19" s="176"/>
      <c r="D19" s="176"/>
      <c r="E19" s="176"/>
      <c r="F19" s="176"/>
      <c r="G19" s="176"/>
      <c r="H19" s="176"/>
      <c r="I19" s="182"/>
      <c r="J19" s="182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</row>
    <row r="20" spans="1:25" ht="40.5" customHeight="1" thickBot="1" x14ac:dyDescent="0.3">
      <c r="A20" s="284" t="s">
        <v>44</v>
      </c>
      <c r="B20" s="285"/>
      <c r="C20" s="285"/>
      <c r="D20" s="285"/>
      <c r="E20" s="285"/>
      <c r="F20" s="285"/>
      <c r="G20" s="285"/>
      <c r="H20" s="286"/>
      <c r="I20" s="163">
        <f>SUM(I10:I19)</f>
        <v>79650</v>
      </c>
      <c r="J20" s="163">
        <f>SUM(J10:J19)</f>
        <v>79650</v>
      </c>
      <c r="K20" s="164">
        <f t="shared" ref="K20:T20" si="25">SUM(K10:K19)</f>
        <v>0</v>
      </c>
      <c r="L20" s="164">
        <f t="shared" si="25"/>
        <v>79650</v>
      </c>
      <c r="M20" s="164">
        <f t="shared" si="25"/>
        <v>68777.190000000017</v>
      </c>
      <c r="N20" s="164">
        <f t="shared" si="25"/>
        <v>10872.810000000001</v>
      </c>
      <c r="O20" s="164">
        <f t="shared" si="25"/>
        <v>1.9224000000000001</v>
      </c>
      <c r="P20" s="164">
        <f t="shared" si="25"/>
        <v>2322.4322160000011</v>
      </c>
      <c r="Q20" s="164">
        <f t="shared" si="25"/>
        <v>7283.25</v>
      </c>
      <c r="R20" s="164">
        <f t="shared" si="25"/>
        <v>9605.6822159999992</v>
      </c>
      <c r="S20" s="164">
        <f t="shared" si="25"/>
        <v>0</v>
      </c>
      <c r="T20" s="164">
        <f t="shared" si="25"/>
        <v>9605.6999999999989</v>
      </c>
      <c r="U20" s="163">
        <f>SUM(U10:U19)</f>
        <v>0</v>
      </c>
      <c r="V20" s="163">
        <f>SUM(V10:V19)</f>
        <v>9605.6999999999989</v>
      </c>
      <c r="W20" s="163">
        <f>SUM(W10:W19)</f>
        <v>9605.6999999999989</v>
      </c>
      <c r="X20" s="163">
        <f>SUM(X10:X19)</f>
        <v>70044.299999999988</v>
      </c>
    </row>
    <row r="21" spans="1:25" ht="13.5" thickTop="1" x14ac:dyDescent="0.2"/>
  </sheetData>
  <sortState xmlns:xlrd2="http://schemas.microsoft.com/office/spreadsheetml/2017/richdata2" ref="D10:D18">
    <sortCondition ref="D10"/>
  </sortState>
  <mergeCells count="7">
    <mergeCell ref="A20:H20"/>
    <mergeCell ref="A1:Y1"/>
    <mergeCell ref="A2:Y2"/>
    <mergeCell ref="I6:J6"/>
    <mergeCell ref="M6:R6"/>
    <mergeCell ref="V6:W6"/>
    <mergeCell ref="A3:Z3"/>
  </mergeCells>
  <pageMargins left="0.27559055118110237" right="0.27559055118110237" top="0.74803149606299213" bottom="0.39370078740157483" header="0.31496062992125984" footer="0.31496062992125984"/>
  <pageSetup scale="4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4"/>
  <sheetViews>
    <sheetView topLeftCell="A11" workbookViewId="0">
      <selection activeCell="W11" sqref="W1:W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5.7109375" customWidth="1"/>
    <col min="5" max="5" width="16.5703125" customWidth="1"/>
    <col min="6" max="7" width="0" hidden="1" customWidth="1"/>
    <col min="8" max="8" width="14.42578125" bestFit="1" customWidth="1"/>
    <col min="9" max="9" width="7.42578125" customWidth="1"/>
    <col min="10" max="10" width="14.42578125" bestFit="1" customWidth="1"/>
    <col min="11" max="11" width="11.42578125" hidden="1" customWidth="1"/>
    <col min="12" max="12" width="14.85546875" hidden="1" customWidth="1"/>
    <col min="13" max="13" width="14.7109375" hidden="1" customWidth="1"/>
    <col min="14" max="14" width="13" hidden="1" customWidth="1"/>
    <col min="15" max="15" width="11.42578125" hidden="1" customWidth="1"/>
    <col min="16" max="16" width="13.28515625" hidden="1" customWidth="1"/>
    <col min="17" max="18" width="12.5703125" hidden="1" customWidth="1"/>
    <col min="19" max="19" width="11.42578125" hidden="1" customWidth="1"/>
    <col min="20" max="20" width="12.85546875" hidden="1" customWidth="1"/>
    <col min="21" max="21" width="8.85546875" customWidth="1"/>
    <col min="22" max="22" width="12.7109375" customWidth="1"/>
    <col min="23" max="23" width="13.140625" customWidth="1"/>
    <col min="24" max="24" width="14.42578125" bestFit="1" customWidth="1"/>
    <col min="25" max="25" width="54.5703125" customWidth="1"/>
  </cols>
  <sheetData>
    <row r="1" spans="1:26" ht="18" x14ac:dyDescent="0.25">
      <c r="A1" s="297" t="s">
        <v>77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9.5" x14ac:dyDescent="0.25">
      <c r="A3" s="288" t="s">
        <v>323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6" x14ac:dyDescent="0.2">
      <c r="A7" s="22"/>
      <c r="B7" s="22"/>
      <c r="C7" s="22"/>
      <c r="D7" s="22"/>
      <c r="E7" s="22"/>
      <c r="F7" s="23" t="s">
        <v>22</v>
      </c>
      <c r="G7" s="23" t="s">
        <v>5</v>
      </c>
      <c r="H7" s="298" t="s">
        <v>1</v>
      </c>
      <c r="I7" s="299"/>
      <c r="J7" s="300"/>
      <c r="K7" s="24" t="s">
        <v>25</v>
      </c>
      <c r="L7" s="25"/>
      <c r="M7" s="301" t="s">
        <v>8</v>
      </c>
      <c r="N7" s="302"/>
      <c r="O7" s="302"/>
      <c r="P7" s="302"/>
      <c r="Q7" s="302"/>
      <c r="R7" s="303"/>
      <c r="S7" s="24" t="s">
        <v>29</v>
      </c>
      <c r="T7" s="24" t="s">
        <v>9</v>
      </c>
      <c r="U7" s="23" t="s">
        <v>52</v>
      </c>
      <c r="V7" s="304" t="s">
        <v>2</v>
      </c>
      <c r="W7" s="305"/>
      <c r="X7" s="23" t="s">
        <v>0</v>
      </c>
      <c r="Y7" s="34"/>
    </row>
    <row r="8" spans="1:26" ht="22.5" x14ac:dyDescent="0.2">
      <c r="A8" s="44" t="s">
        <v>100</v>
      </c>
      <c r="B8" s="44" t="s">
        <v>114</v>
      </c>
      <c r="C8" s="26" t="s">
        <v>21</v>
      </c>
      <c r="D8" s="26"/>
      <c r="E8" s="26"/>
      <c r="F8" s="27" t="s">
        <v>23</v>
      </c>
      <c r="G8" s="26" t="s">
        <v>24</v>
      </c>
      <c r="H8" s="23" t="s">
        <v>5</v>
      </c>
      <c r="I8" s="23" t="s">
        <v>57</v>
      </c>
      <c r="J8" s="23" t="s">
        <v>27</v>
      </c>
      <c r="K8" s="28" t="s">
        <v>26</v>
      </c>
      <c r="L8" s="25" t="s">
        <v>31</v>
      </c>
      <c r="M8" s="25" t="s">
        <v>11</v>
      </c>
      <c r="N8" s="25" t="s">
        <v>33</v>
      </c>
      <c r="O8" s="25" t="s">
        <v>35</v>
      </c>
      <c r="P8" s="25" t="s">
        <v>36</v>
      </c>
      <c r="Q8" s="25" t="s">
        <v>13</v>
      </c>
      <c r="R8" s="25" t="s">
        <v>9</v>
      </c>
      <c r="S8" s="28" t="s">
        <v>39</v>
      </c>
      <c r="T8" s="28" t="s">
        <v>40</v>
      </c>
      <c r="U8" s="26" t="s">
        <v>30</v>
      </c>
      <c r="V8" s="23" t="s">
        <v>294</v>
      </c>
      <c r="W8" s="23" t="s">
        <v>6</v>
      </c>
      <c r="X8" s="26" t="s">
        <v>3</v>
      </c>
      <c r="Y8" s="36" t="s">
        <v>56</v>
      </c>
    </row>
    <row r="9" spans="1:26" x14ac:dyDescent="0.2">
      <c r="A9" s="29"/>
      <c r="B9" s="29"/>
      <c r="C9" s="29"/>
      <c r="D9" s="29"/>
      <c r="E9" s="29"/>
      <c r="F9" s="29"/>
      <c r="G9" s="29"/>
      <c r="H9" s="29" t="s">
        <v>46</v>
      </c>
      <c r="I9" s="29" t="s">
        <v>58</v>
      </c>
      <c r="J9" s="29" t="s">
        <v>28</v>
      </c>
      <c r="K9" s="30" t="s">
        <v>42</v>
      </c>
      <c r="L9" s="24" t="s">
        <v>32</v>
      </c>
      <c r="M9" s="24" t="s">
        <v>12</v>
      </c>
      <c r="N9" s="24" t="s">
        <v>34</v>
      </c>
      <c r="O9" s="24" t="s">
        <v>34</v>
      </c>
      <c r="P9" s="24" t="s">
        <v>37</v>
      </c>
      <c r="Q9" s="24" t="s">
        <v>14</v>
      </c>
      <c r="R9" s="24" t="s">
        <v>38</v>
      </c>
      <c r="S9" s="28" t="s">
        <v>18</v>
      </c>
      <c r="T9" s="31" t="s">
        <v>41</v>
      </c>
      <c r="U9" s="29" t="s">
        <v>51</v>
      </c>
      <c r="V9" s="29"/>
      <c r="W9" s="29" t="s">
        <v>43</v>
      </c>
      <c r="X9" s="29" t="s">
        <v>4</v>
      </c>
      <c r="Y9" s="35"/>
    </row>
    <row r="10" spans="1:26" ht="30" x14ac:dyDescent="0.25">
      <c r="A10" s="39"/>
      <c r="B10" s="39"/>
      <c r="C10" s="90" t="s">
        <v>73</v>
      </c>
      <c r="D10" s="274" t="s">
        <v>315</v>
      </c>
      <c r="E10" s="38" t="s">
        <v>60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9"/>
      <c r="V10" s="39"/>
      <c r="W10" s="39"/>
      <c r="X10" s="39"/>
      <c r="Y10" s="91"/>
    </row>
    <row r="11" spans="1:26" ht="139.5" customHeight="1" x14ac:dyDescent="0.3">
      <c r="A11" s="151" t="s">
        <v>209</v>
      </c>
      <c r="B11" s="152" t="s">
        <v>113</v>
      </c>
      <c r="C11" s="216" t="s">
        <v>210</v>
      </c>
      <c r="D11" s="219">
        <v>43374</v>
      </c>
      <c r="E11" s="154" t="s">
        <v>260</v>
      </c>
      <c r="F11" s="155">
        <v>15</v>
      </c>
      <c r="G11" s="156">
        <f>H11/F11</f>
        <v>990.6</v>
      </c>
      <c r="H11" s="157">
        <v>14859</v>
      </c>
      <c r="I11" s="158">
        <v>0</v>
      </c>
      <c r="J11" s="159">
        <f>SUM(H11:I11)</f>
        <v>14859</v>
      </c>
      <c r="K11" s="160">
        <f>I11/2</f>
        <v>0</v>
      </c>
      <c r="L11" s="160">
        <f>H11+K11</f>
        <v>14859</v>
      </c>
      <c r="M11" s="160">
        <f>VLOOKUP(L11,Tarifa1,1)</f>
        <v>7641.91</v>
      </c>
      <c r="N11" s="160">
        <f>L11-M11</f>
        <v>7217.09</v>
      </c>
      <c r="O11" s="161">
        <f t="shared" ref="O11" si="0">VLOOKUP(L11,Tarifa1,3)</f>
        <v>0.21360000000000001</v>
      </c>
      <c r="P11" s="160">
        <f>N11*O11</f>
        <v>1541.5704240000002</v>
      </c>
      <c r="Q11" s="162">
        <f>VLOOKUP(L11,Tarifa1,2)</f>
        <v>809.25</v>
      </c>
      <c r="R11" s="160">
        <f>P11+Q11</f>
        <v>2350.8204240000005</v>
      </c>
      <c r="S11" s="160">
        <f t="shared" ref="S11" si="1">VLOOKUP(L11,Credito1,2)</f>
        <v>0</v>
      </c>
      <c r="T11" s="160">
        <f>ROUND(R11-S11,2)</f>
        <v>2350.8200000000002</v>
      </c>
      <c r="U11" s="159">
        <f t="shared" ref="U11" si="2">-IF(T11&gt;0,0,T11)</f>
        <v>0</v>
      </c>
      <c r="V11" s="159">
        <f>IF(H11/15&lt;=SMG,0,IF(T11&lt;0,0,T11))</f>
        <v>2350.8200000000002</v>
      </c>
      <c r="W11" s="159">
        <f>SUM(V11:V11)</f>
        <v>2350.8200000000002</v>
      </c>
      <c r="X11" s="159">
        <f>J11+U11-W11</f>
        <v>12508.18</v>
      </c>
      <c r="Y11" s="92"/>
    </row>
    <row r="12" spans="1:26" ht="18" x14ac:dyDescent="0.25">
      <c r="A12" s="176"/>
      <c r="B12" s="176"/>
      <c r="C12" s="176"/>
      <c r="D12" s="176"/>
      <c r="E12" s="176"/>
      <c r="F12" s="177"/>
      <c r="G12" s="176"/>
      <c r="H12" s="178"/>
      <c r="I12" s="178"/>
      <c r="J12" s="178"/>
      <c r="K12" s="179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</row>
    <row r="13" spans="1:26" ht="41.25" customHeight="1" thickBot="1" x14ac:dyDescent="0.3">
      <c r="A13" s="285"/>
      <c r="B13" s="285"/>
      <c r="C13" s="285"/>
      <c r="D13" s="285"/>
      <c r="E13" s="285"/>
      <c r="F13" s="285"/>
      <c r="G13" s="286"/>
      <c r="H13" s="163">
        <f t="shared" ref="H13:X13" si="3">SUM(H11:H12)</f>
        <v>14859</v>
      </c>
      <c r="I13" s="163">
        <f t="shared" si="3"/>
        <v>0</v>
      </c>
      <c r="J13" s="163">
        <f t="shared" si="3"/>
        <v>14859</v>
      </c>
      <c r="K13" s="164">
        <f t="shared" si="3"/>
        <v>0</v>
      </c>
      <c r="L13" s="164">
        <f t="shared" si="3"/>
        <v>14859</v>
      </c>
      <c r="M13" s="164">
        <f t="shared" si="3"/>
        <v>7641.91</v>
      </c>
      <c r="N13" s="164">
        <f t="shared" si="3"/>
        <v>7217.09</v>
      </c>
      <c r="O13" s="164">
        <f t="shared" si="3"/>
        <v>0.21360000000000001</v>
      </c>
      <c r="P13" s="164">
        <f t="shared" si="3"/>
        <v>1541.5704240000002</v>
      </c>
      <c r="Q13" s="164">
        <f t="shared" si="3"/>
        <v>809.25</v>
      </c>
      <c r="R13" s="164">
        <f t="shared" si="3"/>
        <v>2350.8204240000005</v>
      </c>
      <c r="S13" s="164">
        <f t="shared" si="3"/>
        <v>0</v>
      </c>
      <c r="T13" s="164">
        <f t="shared" si="3"/>
        <v>2350.8200000000002</v>
      </c>
      <c r="U13" s="163">
        <f t="shared" si="3"/>
        <v>0</v>
      </c>
      <c r="V13" s="163">
        <f t="shared" si="3"/>
        <v>2350.8200000000002</v>
      </c>
      <c r="W13" s="163">
        <f t="shared" si="3"/>
        <v>2350.8200000000002</v>
      </c>
      <c r="X13" s="163">
        <f t="shared" si="3"/>
        <v>12508.18</v>
      </c>
    </row>
    <row r="14" spans="1:26" ht="13.5" thickTop="1" x14ac:dyDescent="0.2"/>
  </sheetData>
  <mergeCells count="7">
    <mergeCell ref="A13:G13"/>
    <mergeCell ref="A1:Z1"/>
    <mergeCell ref="A2:Z2"/>
    <mergeCell ref="A3:Z3"/>
    <mergeCell ref="H7:J7"/>
    <mergeCell ref="M7:R7"/>
    <mergeCell ref="V7:W7"/>
  </mergeCells>
  <pageMargins left="0.27559055118110237" right="0.27559055118110237" top="0.74803149606299213" bottom="0.74803149606299213" header="0.31496062992125984" footer="0.31496062992125984"/>
  <pageSetup scale="4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tarifa</vt:lpstr>
      <vt:lpstr>PRESIDENCIA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  <vt:lpstr>UMA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2023-05-26T21:31:37Z</cp:lastPrinted>
  <dcterms:created xsi:type="dcterms:W3CDTF">2000-05-05T04:08:27Z</dcterms:created>
  <dcterms:modified xsi:type="dcterms:W3CDTF">2023-09-15T15:44:54Z</dcterms:modified>
</cp:coreProperties>
</file>