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33AC9542-CF9E-4841-8F00-C1AC4ABDFDCE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20" l="1"/>
  <c r="L20" i="120" s="1"/>
  <c r="J20" i="120"/>
  <c r="Q20" i="120" l="1"/>
  <c r="S20" i="120"/>
  <c r="O20" i="120"/>
  <c r="M20" i="120"/>
  <c r="N20" i="120" s="1"/>
  <c r="P20" i="120" s="1"/>
  <c r="I20" i="135"/>
  <c r="J20" i="135" s="1"/>
  <c r="H20" i="135"/>
  <c r="R20" i="120" l="1"/>
  <c r="T20" i="120" s="1"/>
  <c r="O20" i="135"/>
  <c r="K20" i="135"/>
  <c r="L20" i="135" s="1"/>
  <c r="N20" i="135" s="1"/>
  <c r="P20" i="135" s="1"/>
  <c r="R20" i="135" s="1"/>
  <c r="Q20" i="135"/>
  <c r="M20" i="135"/>
  <c r="K17" i="133"/>
  <c r="L17" i="133" s="1"/>
  <c r="J17" i="133"/>
  <c r="U20" i="120" l="1"/>
  <c r="X20" i="120" s="1"/>
  <c r="V20" i="120"/>
  <c r="W20" i="120" s="1"/>
  <c r="T20" i="135"/>
  <c r="U20" i="135" s="1"/>
  <c r="S20" i="135"/>
  <c r="S17" i="133"/>
  <c r="O17" i="133"/>
  <c r="Q17" i="133"/>
  <c r="M17" i="133"/>
  <c r="N17" i="133" s="1"/>
  <c r="K15" i="121"/>
  <c r="L15" i="121" s="1"/>
  <c r="J15" i="121"/>
  <c r="P17" i="133" l="1"/>
  <c r="R17" i="133" s="1"/>
  <c r="T17" i="133" s="1"/>
  <c r="V17" i="133" s="1"/>
  <c r="W17" i="133" s="1"/>
  <c r="V20" i="135"/>
  <c r="S15" i="121"/>
  <c r="O15" i="121"/>
  <c r="Q15" i="121"/>
  <c r="M15" i="121"/>
  <c r="N15" i="121"/>
  <c r="K18" i="123"/>
  <c r="L18" i="123" s="1"/>
  <c r="J18" i="123"/>
  <c r="K19" i="123"/>
  <c r="L19" i="123" s="1"/>
  <c r="J19" i="123"/>
  <c r="U17" i="133" l="1"/>
  <c r="X17" i="133"/>
  <c r="P15" i="12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8" i="123" s="1"/>
  <c r="U15" i="121"/>
  <c r="V15" i="121"/>
  <c r="W15" i="121" s="1"/>
  <c r="P19" i="123"/>
  <c r="R19" i="123" s="1"/>
  <c r="T19" i="123" s="1"/>
  <c r="V19" i="123" s="1"/>
  <c r="W19" i="123" s="1"/>
  <c r="V18" i="123"/>
  <c r="W18" i="123" s="1"/>
  <c r="I33" i="119"/>
  <c r="H33" i="119"/>
  <c r="K27" i="123"/>
  <c r="L27" i="123" s="1"/>
  <c r="J27" i="123"/>
  <c r="K34" i="119"/>
  <c r="L34" i="119" s="1"/>
  <c r="J34" i="119"/>
  <c r="J33" i="119" s="1"/>
  <c r="K16" i="133"/>
  <c r="L16" i="133" s="1"/>
  <c r="J16" i="133"/>
  <c r="G16" i="133"/>
  <c r="X18" i="123" l="1"/>
  <c r="X15" i="121"/>
  <c r="U19" i="123"/>
  <c r="X19" i="123" s="1"/>
  <c r="O27" i="123"/>
  <c r="Q27" i="123"/>
  <c r="M27" i="123"/>
  <c r="N27" i="123" s="1"/>
  <c r="S27" i="123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P27" i="123"/>
  <c r="R27" i="123" s="1"/>
  <c r="T27" i="123" s="1"/>
  <c r="U27" i="123" s="1"/>
  <c r="P16" i="133"/>
  <c r="R16" i="133" s="1"/>
  <c r="T16" i="133" s="1"/>
  <c r="V16" i="133" s="1"/>
  <c r="W16" i="133" s="1"/>
  <c r="V34" i="119"/>
  <c r="U34" i="119"/>
  <c r="U33" i="119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V27" i="123" l="1"/>
  <c r="W27" i="123" s="1"/>
  <c r="U16" i="133"/>
  <c r="X16" i="133" s="1"/>
  <c r="W34" i="119"/>
  <c r="W33" i="119" s="1"/>
  <c r="V33" i="119"/>
  <c r="X27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V18" i="120" s="1"/>
  <c r="W18" i="120" s="1"/>
  <c r="X34" i="119"/>
  <c r="X33" i="119" s="1"/>
  <c r="U14" i="133"/>
  <c r="X14" i="133"/>
  <c r="U18" i="120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O19" i="135"/>
  <c r="Q18" i="135"/>
  <c r="O18" i="135"/>
  <c r="K18" i="135"/>
  <c r="L18" i="135" s="1"/>
  <c r="M18" i="135"/>
  <c r="J33" i="120"/>
  <c r="K33" i="120"/>
  <c r="L33" i="120" s="1"/>
  <c r="N19" i="135" l="1"/>
  <c r="P19" i="135" s="1"/>
  <c r="R19" i="135" s="1"/>
  <c r="S19" i="135" s="1"/>
  <c r="N18" i="135"/>
  <c r="P18" i="135" s="1"/>
  <c r="R18" i="135" s="1"/>
  <c r="T18" i="135" s="1"/>
  <c r="U18" i="135" s="1"/>
  <c r="O33" i="120"/>
  <c r="S33" i="120"/>
  <c r="M33" i="120"/>
  <c r="N33" i="120" s="1"/>
  <c r="Q33" i="120"/>
  <c r="I17" i="135"/>
  <c r="J17" i="135" s="1"/>
  <c r="H17" i="135"/>
  <c r="S18" i="135" l="1"/>
  <c r="T19" i="135"/>
  <c r="U19" i="135" s="1"/>
  <c r="V19" i="135" s="1"/>
  <c r="P33" i="120"/>
  <c r="R33" i="120" s="1"/>
  <c r="T33" i="120" s="1"/>
  <c r="V33" i="120" s="1"/>
  <c r="W33" i="120" s="1"/>
  <c r="V18" i="135"/>
  <c r="O17" i="135"/>
  <c r="K17" i="135"/>
  <c r="L17" i="135" s="1"/>
  <c r="Q17" i="135"/>
  <c r="M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S21" i="123" l="1"/>
  <c r="Q21" i="123"/>
  <c r="N17" i="135"/>
  <c r="P17" i="135" s="1"/>
  <c r="R17" i="135" s="1"/>
  <c r="T17" i="135" s="1"/>
  <c r="U17" i="135" s="1"/>
  <c r="U33" i="120"/>
  <c r="X33" i="120" s="1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1" i="135"/>
  <c r="K21" i="135"/>
  <c r="L21" i="135" s="1"/>
  <c r="N21" i="135" s="1"/>
  <c r="Q16" i="135"/>
  <c r="M16" i="135"/>
  <c r="Q15" i="135"/>
  <c r="M15" i="135"/>
  <c r="O14" i="135"/>
  <c r="K14" i="135"/>
  <c r="L14" i="135" s="1"/>
  <c r="N14" i="135" s="1"/>
  <c r="P14" i="135" s="1"/>
  <c r="L16" i="135"/>
  <c r="L15" i="135"/>
  <c r="Q21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P13" i="132" s="1"/>
  <c r="R13" i="132" s="1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P11" i="118" s="1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P10" i="127" s="1"/>
  <c r="R10" i="127" s="1"/>
  <c r="S10" i="127"/>
  <c r="O10" i="127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21" i="120" l="1"/>
  <c r="P36" i="120"/>
  <c r="P15" i="123"/>
  <c r="R15" i="123" s="1"/>
  <c r="P13" i="123"/>
  <c r="P10" i="124"/>
  <c r="R10" i="124" s="1"/>
  <c r="T10" i="124" s="1"/>
  <c r="T10" i="118"/>
  <c r="P31" i="123"/>
  <c r="R31" i="123" s="1"/>
  <c r="P13" i="120"/>
  <c r="R13" i="120" s="1"/>
  <c r="T13" i="120" s="1"/>
  <c r="P15" i="120"/>
  <c r="P10" i="134"/>
  <c r="R10" i="134" s="1"/>
  <c r="T10" i="134" s="1"/>
  <c r="T10" i="127"/>
  <c r="P32" i="119"/>
  <c r="R32" i="119" s="1"/>
  <c r="T32" i="119" s="1"/>
  <c r="P22" i="123"/>
  <c r="P11" i="123"/>
  <c r="R11" i="123" s="1"/>
  <c r="T11" i="123" s="1"/>
  <c r="P12" i="132"/>
  <c r="R12" i="132" s="1"/>
  <c r="T12" i="132" s="1"/>
  <c r="S17" i="135"/>
  <c r="V17" i="135" s="1"/>
  <c r="P36" i="121"/>
  <c r="R36" i="121" s="1"/>
  <c r="T36" i="121" s="1"/>
  <c r="M32" i="121"/>
  <c r="R11" i="132"/>
  <c r="T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6" i="120"/>
  <c r="R36" i="120"/>
  <c r="T36" i="120" s="1"/>
  <c r="T31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T15" i="123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R14" i="135"/>
  <c r="N15" i="135"/>
  <c r="P15" i="135" s="1"/>
  <c r="R15" i="135" s="1"/>
  <c r="N11" i="135"/>
  <c r="P11" i="135" s="1"/>
  <c r="R11" i="135" s="1"/>
  <c r="T13" i="132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P12" i="119"/>
  <c r="R12" i="119" s="1"/>
  <c r="T12" i="119" s="1"/>
  <c r="P33" i="121" l="1"/>
  <c r="R33" i="121" s="1"/>
  <c r="T33" i="121" s="1"/>
  <c r="N32" i="121"/>
  <c r="H21" i="135"/>
  <c r="J34" i="121" l="1"/>
  <c r="F22" i="135" l="1"/>
  <c r="G22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6" i="131" l="1"/>
  <c r="Q16" i="131" s="1"/>
  <c r="O10" i="131"/>
  <c r="Q10" i="131" s="1"/>
  <c r="S10" i="131" s="1"/>
  <c r="O14" i="131"/>
  <c r="Q14" i="131" s="1"/>
  <c r="S14" i="131" s="1"/>
  <c r="O17" i="131"/>
  <c r="Q17" i="131" s="1"/>
  <c r="S17" i="131" s="1"/>
  <c r="S15" i="131"/>
  <c r="O11" i="131"/>
  <c r="Q11" i="131" s="1"/>
  <c r="S11" i="131" s="1"/>
  <c r="O18" i="131"/>
  <c r="Q18" i="131" s="1"/>
  <c r="S18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T21" i="135"/>
  <c r="U21" i="135" s="1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S21" i="135"/>
  <c r="V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2" i="135"/>
  <c r="V13" i="135"/>
  <c r="W14" i="131"/>
  <c r="X11" i="132"/>
  <c r="X10" i="132"/>
  <c r="X31" i="119"/>
  <c r="X12" i="132"/>
  <c r="X32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T9" i="135"/>
  <c r="S9" i="135"/>
  <c r="R22" i="135"/>
  <c r="T32" i="121"/>
  <c r="V33" i="121"/>
  <c r="U33" i="121"/>
  <c r="X11" i="120"/>
  <c r="T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<sst xmlns="http://schemas.openxmlformats.org/spreadsheetml/2006/main" count="1323" uniqueCount="386">
  <si>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</si>
  <si>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</si>
  <si>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</si>
  <si>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</si>
  <si>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</si>
  <si>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</si>
  <si>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</si>
  <si>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</si>
  <si>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</si>
  <si>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</si>
  <si>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</si>
  <si>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</si>
  <si>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</si>
  <si>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</si>
  <si>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</si>
  <si>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</si>
  <si>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</si>
  <si>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</si>
  <si>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</si>
  <si>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</si>
  <si>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</si>
  <si>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</si>
  <si>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</si>
  <si>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</si>
  <si>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</si>
  <si>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</si>
  <si>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</si>
  <si>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</si>
  <si>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</si>
  <si>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</si>
  <si>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</si>
  <si>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</si>
  <si>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</si>
  <si>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</si>
  <si>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</si>
  <si>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</si>
  <si>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</si>
  <si>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</si>
  <si>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</si>
  <si>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</si>
  <si>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</si>
  <si>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</si>
  <si>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</si>
  <si>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</si>
  <si>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</si>
  <si>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</si>
  <si>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</si>
  <si>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</si>
  <si>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</si>
  <si>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</si>
  <si>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</si>
  <si>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</si>
  <si>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</si>
  <si>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</si>
  <si>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</si>
  <si>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</si>
  <si>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</si>
  <si>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</si>
  <si>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</si>
  <si>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</si>
  <si>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</si>
  <si>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</si>
  <si>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</si>
  <si>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</si>
  <si>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</si>
  <si>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</si>
  <si>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</si>
  <si>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</si>
  <si>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</si>
  <si>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</si>
  <si>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</si>
  <si>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</si>
  <si>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</si>
  <si>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</si>
  <si>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</si>
  <si>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</si>
  <si>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</si>
  <si>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</si>
  <si>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</si>
  <si>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</si>
  <si>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</si>
  <si>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</si>
  <si>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</si>
  <si>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</si>
  <si>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</si>
  <si>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</si>
  <si>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</si>
  <si>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</si>
  <si>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</si>
  <si>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</si>
  <si>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</si>
  <si>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</si>
  <si>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</si>
  <si>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</si>
  <si>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</si>
  <si>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</si>
  <si>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</si>
  <si>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</si>
  <si>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</si>
  <si>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</si>
  <si>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</si>
  <si>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</si>
  <si>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</si>
  <si>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</si>
  <si>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</si>
  <si>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</si>
  <si>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</si>
  <si>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</si>
  <si>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</si>
  <si>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</si>
  <si>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</si>
  <si>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</si>
  <si>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</si>
  <si>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</si>
  <si>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</si>
  <si>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</si>
  <si>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</si>
  <si>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</si>
  <si>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</si>
  <si>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</si>
  <si>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</si>
  <si>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</si>
  <si>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</si>
  <si>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</si>
  <si>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</si>
  <si>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</si>
  <si>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</si>
  <si>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</si>
  <si>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</si>
  <si>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</si>
  <si>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</si>
  <si>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</si>
  <si>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</si>
  <si>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</si>
  <si>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</si>
  <si>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</si>
  <si>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</si>
  <si>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</si>
  <si>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</si>
  <si>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</si>
  <si>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</si>
  <si>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</si>
  <si>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</si>
  <si>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</si>
  <si>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</si>
  <si>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</si>
  <si>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</si>
  <si>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</si>
  <si>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</si>
  <si>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</si>
  <si>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</si>
  <si>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</si>
  <si>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</si>
  <si>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</si>
  <si>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</si>
  <si>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</si>
  <si>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</si>
  <si>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</si>
  <si>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</si>
  <si>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</si>
  <si>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</si>
  <si>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</si>
  <si>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</si>
  <si>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</si>
  <si>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</si>
  <si>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</si>
  <si>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</si>
  <si>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</si>
  <si>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</si>
  <si>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</si>
  <si>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</si>
  <si>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</si>
  <si>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</si>
  <si>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</si>
  <si>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</si>
  <si>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</si>
  <si>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</si>
  <si>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</si>
  <si>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</si>
  <si>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</si>
  <si>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</si>
  <si>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</si>
  <si>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</si>
  <si>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</si>
  <si>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</si>
  <si>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</si>
  <si>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</si>
  <si>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</si>
  <si>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</si>
  <si>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</si>
  <si>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</si>
  <si>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</si>
  <si>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</si>
  <si>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</si>
  <si>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</si>
  <si>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</si>
  <si>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</si>
  <si>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</si>
  <si>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</si>
  <si>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</si>
  <si>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</si>
  <si>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</si>
  <si>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</si>
  <si>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</si>
  <si>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</si>
  <si>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</si>
  <si>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</si>
  <si>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</si>
  <si>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</si>
  <si>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</si>
  <si>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</si>
  <si>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</si>
  <si>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</si>
  <si>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</si>
  <si>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</si>
  <si>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</si>
  <si>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</si>
  <si>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</si>
  <si>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</si>
  <si>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</si>
  <si>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</si>
  <si>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</si>
  <si>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</si>
  <si>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</si>
  <si>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</si>
  <si>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</si>
  <si>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</si>
  <si>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</si>
  <si>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</si>
  <si>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</si>
  <si>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</si>
  <si>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</si>
  <si>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</si>
  <si>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</si>
  <si>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</si>
  <si>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</si>
  <si>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</si>
  <si>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</si>
  <si>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</si>
  <si>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</si>
  <si>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</si>
  <si>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</si>
  <si>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</si>
  <si>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</si>
  <si>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</si>
  <si>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</si>
  <si>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</si>
  <si>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</si>
  <si>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</si>
  <si>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</si>
  <si>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</si>
  <si>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</si>
  <si>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</si>
  <si>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</si>
  <si>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</si>
  <si>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</si>
  <si>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</si>
  <si>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</si>
  <si>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</si>
  <si>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</si>
  <si>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</si>
  <si>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</si>
  <si>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</si>
  <si>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</si>
  <si>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</si>
  <si>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</si>
  <si>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</si>
  <si>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</si>
  <si>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</si>
  <si>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</si>
  <si>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</si>
  <si>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</si>
  <si>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</si>
  <si>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</si>
  <si>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</si>
  <si>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</si>
  <si>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</si>
  <si>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</si>
  <si>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</si>
  <si>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</si>
  <si>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</si>
  <si>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</si>
  <si>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</si>
  <si>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</si>
  <si>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</si>
  <si>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</si>
  <si>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</si>
  <si>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</si>
  <si>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</si>
  <si>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</si>
  <si>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</si>
  <si>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</si>
  <si>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</si>
  <si>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</si>
  <si>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</si>
  <si>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</si>
  <si>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</si>
  <si>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</si>
  <si>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</si>
  <si>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</si>
  <si>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</si>
  <si>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</si>
  <si>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</si>
  <si>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</si>
  <si>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</si>
  <si>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</si>
  <si>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</si>
  <si>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</si>
  <si>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</si>
  <si>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</si>
  <si>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</si>
  <si>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</si>
  <si>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</si>
  <si>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</si>
  <si>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</si>
  <si>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</si>
  <si>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</si>
  <si>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</si>
  <si>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</si>
  <si>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</si>
  <si>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</si>
  <si>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</si>
  <si>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</si>
  <si>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</si>
  <si>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</si>
  <si>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</si>
  <si>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</si>
  <si>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</si>
  <si>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</si>
  <si>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</si>
  <si>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</si>
  <si>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</si>
  <si>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</si>
  <si>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</si>
  <si>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</si>
  <si>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</si>
  <si>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</si>
  <si>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</si>
  <si>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</si>
  <si>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</si>
  <si>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</si>
  <si>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</si>
  <si>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</si>
  <si>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</si>
  <si>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</si>
  <si>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</si>
  <si>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</si>
  <si>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</si>
  <si>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</si>
  <si>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</si>
  <si>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</si>
  <si>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</si>
  <si>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</si>
  <si>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</si>
  <si>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</si>
  <si>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</si>
  <si>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</si>
  <si>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</si>
  <si>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</si>
  <si>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</si>
  <si>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</si>
  <si>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</si>
  <si>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</si>
  <si>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</si>
  <si>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</si>
  <si>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</si>
  <si>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</si>
  <si>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</si>
  <si>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</si>
  <si>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</si>
  <si>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</si>
  <si>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</si>
  <si>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</si>
  <si>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</si>
  <si>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</si>
  <si>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</si>
  <si>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</si>
  <si>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</si>
  <si>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</si>
  <si>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</si>
  <si>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</si>
  <si>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</si>
  <si>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</si>
  <si>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</si>
  <si>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</si>
  <si>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SUELDO  DEL 16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</si>
</sst>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365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9" t="s">
        <v>11</v>
      </c>
      <c r="C7" s="299"/>
      <c r="D7" s="299"/>
      <c r="E7" s="7"/>
      <c r="F7" s="292" t="s">
        <v>50</v>
      </c>
      <c r="G7" s="293"/>
    </row>
    <row r="8" spans="1:7" ht="14.25" customHeight="1" x14ac:dyDescent="0.2">
      <c r="B8" s="296" t="s">
        <v>10</v>
      </c>
      <c r="C8" s="296"/>
      <c r="D8" s="296"/>
      <c r="E8" s="7"/>
      <c r="F8" s="297" t="s">
        <v>51</v>
      </c>
      <c r="G8" s="298"/>
    </row>
    <row r="9" spans="1:7" ht="8.25" customHeight="1" x14ac:dyDescent="0.2">
      <c r="B9" s="300"/>
      <c r="C9" s="300"/>
      <c r="D9" s="300"/>
      <c r="E9" s="7"/>
      <c r="F9" s="294"/>
      <c r="G9" s="29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366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2" t="s">
        <v>55</v>
      </c>
      <c r="G44" s="293"/>
    </row>
    <row r="45" spans="2:7" x14ac:dyDescent="0.2">
      <c r="E45" s="7"/>
      <c r="F45" s="297" t="s">
        <v>56</v>
      </c>
      <c r="G45" s="298"/>
    </row>
    <row r="46" spans="2:7" ht="5.25" customHeight="1" x14ac:dyDescent="0.2">
      <c r="E46" s="7"/>
      <c r="F46" s="294"/>
      <c r="G46" s="295"/>
    </row>
    <row r="47" spans="2:7" x14ac:dyDescent="0.2">
      <c r="B47" s="299" t="s">
        <v>11</v>
      </c>
      <c r="C47" s="299"/>
      <c r="D47" s="299"/>
      <c r="E47" s="7"/>
      <c r="F47" s="9" t="s">
        <v>17</v>
      </c>
      <c r="G47" s="9" t="s">
        <v>18</v>
      </c>
    </row>
    <row r="48" spans="2:7" x14ac:dyDescent="0.2">
      <c r="B48" s="296" t="s">
        <v>10</v>
      </c>
      <c r="C48" s="296"/>
      <c r="D48" s="296"/>
      <c r="E48" s="7"/>
      <c r="F48" s="9"/>
      <c r="G48" s="9" t="s">
        <v>19</v>
      </c>
    </row>
    <row r="49" spans="2:7" x14ac:dyDescent="0.2">
      <c r="B49" s="300"/>
      <c r="C49" s="300"/>
      <c r="D49" s="30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277</v>
      </c>
      <c r="C10" s="62" t="s">
        <v>144</v>
      </c>
      <c r="D10" s="166" t="s">
        <v>226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289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290</v>
      </c>
      <c r="W23" s="188"/>
      <c r="X23" s="188"/>
      <c r="Y23" s="188"/>
    </row>
    <row r="24" spans="4:37" ht="15" x14ac:dyDescent="0.25">
      <c r="D24" s="193" t="s">
        <v>232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249</v>
      </c>
      <c r="W24" s="188"/>
      <c r="X24" s="188"/>
      <c r="Y24" s="188"/>
    </row>
    <row r="25" spans="4:37" ht="15" x14ac:dyDescent="0.25">
      <c r="D25" s="193" t="s">
        <v>291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3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148</v>
      </c>
      <c r="C10" s="62" t="s">
        <v>144</v>
      </c>
      <c r="D10" s="176" t="s">
        <v>149</v>
      </c>
      <c r="E10" s="166" t="s">
        <v>147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150</v>
      </c>
      <c r="C11" s="62" t="s">
        <v>144</v>
      </c>
      <c r="D11" s="176" t="s">
        <v>151</v>
      </c>
      <c r="E11" s="166" t="s">
        <v>147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3" si="0">IF(H11/15&lt;=123.22,I11,I11/2)</f>
        <v>0</v>
      </c>
      <c r="L11" s="172">
        <f t="shared" ref="L11:L13" si="1">H11+K11</f>
        <v>3618.48</v>
      </c>
      <c r="M11" s="172">
        <f>VLOOKUP(L11,Tarifa1,1)</f>
        <v>2422.81</v>
      </c>
      <c r="N11" s="172">
        <f t="shared" ref="N11:N13" si="2">L11-M11</f>
        <v>1195.67</v>
      </c>
      <c r="O11" s="173">
        <f>VLOOKUP(L11,Tarifa1,3)</f>
        <v>0.10879999999999999</v>
      </c>
      <c r="P11" s="172">
        <f t="shared" ref="P11:P13" si="3">N11*O11</f>
        <v>130.08889600000001</v>
      </c>
      <c r="Q11" s="174">
        <f>VLOOKUP(L11,Tarifa1,2)</f>
        <v>142.19999999999999</v>
      </c>
      <c r="R11" s="172">
        <f t="shared" ref="R11:R13" si="4">P11+Q11</f>
        <v>272.28889600000002</v>
      </c>
      <c r="S11" s="172">
        <f>VLOOKUP(L11,Credito1,2)</f>
        <v>107.4</v>
      </c>
      <c r="T11" s="172">
        <f t="shared" ref="T11:T13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281</v>
      </c>
      <c r="C12" s="62" t="s">
        <v>144</v>
      </c>
      <c r="D12" s="211" t="s">
        <v>228</v>
      </c>
      <c r="E12" s="166" t="s">
        <v>147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144</v>
      </c>
      <c r="D13" s="213" t="s">
        <v>288</v>
      </c>
      <c r="E13" s="166" t="s">
        <v>147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1" t="s">
        <v>45</v>
      </c>
      <c r="B15" s="302"/>
      <c r="C15" s="302"/>
      <c r="D15" s="302"/>
      <c r="E15" s="302"/>
      <c r="F15" s="302"/>
      <c r="G15" s="303"/>
      <c r="H15" s="39">
        <f>SUM(H10:H14)</f>
        <v>14473.92</v>
      </c>
      <c r="I15" s="39">
        <f>SUM(I10:I14)</f>
        <v>0</v>
      </c>
      <c r="J15" s="39">
        <f>SUM(J10:J14)</f>
        <v>14473.92</v>
      </c>
      <c r="K15" s="40">
        <f t="shared" ref="K15:T15" si="6">SUM(K10:K14)</f>
        <v>0</v>
      </c>
      <c r="L15" s="40">
        <f t="shared" si="6"/>
        <v>14473.92</v>
      </c>
      <c r="M15" s="40">
        <f t="shared" si="6"/>
        <v>9691.24</v>
      </c>
      <c r="N15" s="40">
        <f t="shared" si="6"/>
        <v>4782.68</v>
      </c>
      <c r="O15" s="40">
        <f t="shared" si="6"/>
        <v>0.43519999999999998</v>
      </c>
      <c r="P15" s="40">
        <f t="shared" si="6"/>
        <v>520.35558400000002</v>
      </c>
      <c r="Q15" s="40">
        <f t="shared" si="6"/>
        <v>568.79999999999995</v>
      </c>
      <c r="R15" s="40">
        <f t="shared" si="6"/>
        <v>1089.1555840000001</v>
      </c>
      <c r="S15" s="40">
        <f t="shared" si="6"/>
        <v>429.6</v>
      </c>
      <c r="T15" s="40">
        <f t="shared" si="6"/>
        <v>659.55558400000007</v>
      </c>
      <c r="U15" s="39">
        <f>SUM(U10:U14)</f>
        <v>0</v>
      </c>
      <c r="V15" s="39">
        <f>SUM(V10:V14)</f>
        <v>659.55558400000007</v>
      </c>
      <c r="W15" s="39">
        <f>SUM(W10:W14)</f>
        <v>659.55558400000007</v>
      </c>
      <c r="X15" s="39">
        <f>SUM(X10:X14)</f>
        <v>13814.364416</v>
      </c>
    </row>
    <row r="16" spans="1:25" ht="13.5" thickTop="1" x14ac:dyDescent="0.2"/>
    <row r="24" spans="4:25" x14ac:dyDescent="0.2">
      <c r="D24" s="4" t="s">
        <v>251</v>
      </c>
      <c r="V24" s="4" t="s">
        <v>240</v>
      </c>
    </row>
    <row r="25" spans="4:25" x14ac:dyDescent="0.2">
      <c r="D25" s="78" t="s">
        <v>232</v>
      </c>
      <c r="H25" s="4"/>
      <c r="V25" s="78" t="s">
        <v>253</v>
      </c>
    </row>
    <row r="26" spans="4:25" x14ac:dyDescent="0.2">
      <c r="D26" s="51" t="s">
        <v>252</v>
      </c>
      <c r="E26" s="51"/>
      <c r="F26" s="51"/>
      <c r="G26" s="51"/>
      <c r="H26" s="51"/>
      <c r="I26" s="51"/>
      <c r="V26" s="51" t="s">
        <v>250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8" zoomScale="80" zoomScaleNormal="80" workbookViewId="0">
      <selection activeCell="U18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4"/>
    </row>
    <row r="3" spans="1:25" ht="15" x14ac:dyDescent="0.2">
      <c r="A3" s="50" t="s">
        <v>348</v>
      </c>
      <c r="B3" s="305" t="s">
        <v>385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5" t="s">
        <v>1</v>
      </c>
      <c r="G5" s="316"/>
      <c r="H5" s="317"/>
      <c r="I5" s="24" t="s">
        <v>26</v>
      </c>
      <c r="J5" s="25"/>
      <c r="K5" s="318" t="s">
        <v>9</v>
      </c>
      <c r="L5" s="319"/>
      <c r="M5" s="319"/>
      <c r="N5" s="319"/>
      <c r="O5" s="319"/>
      <c r="P5" s="320"/>
      <c r="Q5" s="24" t="s">
        <v>30</v>
      </c>
      <c r="R5" s="24" t="s">
        <v>10</v>
      </c>
      <c r="S5" s="23" t="s">
        <v>54</v>
      </c>
      <c r="T5" s="321" t="s">
        <v>2</v>
      </c>
      <c r="U5" s="322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122</v>
      </c>
      <c r="C6" s="61" t="s">
        <v>145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168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100</v>
      </c>
      <c r="B9" s="237" t="s">
        <v>187</v>
      </c>
      <c r="C9" s="237" t="s">
        <v>144</v>
      </c>
      <c r="D9" s="238" t="s">
        <v>73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21" si="1">VLOOKUP(J9,Tarifa1,1)</f>
        <v>5925.91</v>
      </c>
      <c r="L9" s="243">
        <f>J9-K9</f>
        <v>3420.9699999999993</v>
      </c>
      <c r="M9" s="244">
        <f t="shared" ref="M9:M21" si="2">VLOOKUP(J9,Tarifa1,3)</f>
        <v>0.21360000000000001</v>
      </c>
      <c r="N9" s="243">
        <f>L9*M9</f>
        <v>730.71919199999991</v>
      </c>
      <c r="O9" s="245">
        <f t="shared" ref="O9:O21" si="3">VLOOKUP(J9,Tarifa1,2)</f>
        <v>627.6</v>
      </c>
      <c r="P9" s="243">
        <f>N9+O9</f>
        <v>1358.3191919999999</v>
      </c>
      <c r="Q9" s="243">
        <f t="shared" ref="Q9:Q21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324</v>
      </c>
      <c r="C10" s="237" t="s">
        <v>144</v>
      </c>
      <c r="D10" s="238" t="s">
        <v>94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347</v>
      </c>
      <c r="C11" s="237" t="s">
        <v>144</v>
      </c>
      <c r="D11" s="238" t="s">
        <v>94</v>
      </c>
      <c r="E11" s="239">
        <v>15</v>
      </c>
      <c r="F11" s="240">
        <v>7636.04</v>
      </c>
      <c r="G11" s="241">
        <v>0</v>
      </c>
      <c r="H11" s="242">
        <f t="shared" si="0"/>
        <v>7636.04</v>
      </c>
      <c r="I11" s="243">
        <f t="shared" si="7"/>
        <v>0</v>
      </c>
      <c r="J11" s="243">
        <f t="shared" si="8"/>
        <v>7636.04</v>
      </c>
      <c r="K11" s="243">
        <f t="shared" si="1"/>
        <v>5925.91</v>
      </c>
      <c r="L11" s="243">
        <f t="shared" si="9"/>
        <v>1710.13</v>
      </c>
      <c r="M11" s="244">
        <f t="shared" si="2"/>
        <v>0.21360000000000001</v>
      </c>
      <c r="N11" s="243">
        <f t="shared" si="10"/>
        <v>365.28376800000007</v>
      </c>
      <c r="O11" s="245">
        <f t="shared" si="3"/>
        <v>627.6</v>
      </c>
      <c r="P11" s="243">
        <f t="shared" si="11"/>
        <v>992.88376800000015</v>
      </c>
      <c r="Q11" s="243">
        <f t="shared" si="4"/>
        <v>0</v>
      </c>
      <c r="R11" s="243">
        <f t="shared" si="12"/>
        <v>992.88376800000015</v>
      </c>
      <c r="S11" s="242">
        <f t="shared" si="5"/>
        <v>0</v>
      </c>
      <c r="T11" s="242">
        <f t="shared" si="6"/>
        <v>992.88376800000015</v>
      </c>
      <c r="U11" s="242">
        <f>SUM(T11:T11)</f>
        <v>992.88376800000015</v>
      </c>
      <c r="V11" s="242">
        <f>H11+S11-U11</f>
        <v>6643.1562319999994</v>
      </c>
      <c r="W11" s="121"/>
      <c r="X11" s="4"/>
    </row>
    <row r="12" spans="1:25" s="188" customFormat="1" ht="65.099999999999994" customHeight="1" x14ac:dyDescent="0.2">
      <c r="A12" s="266"/>
      <c r="B12" s="237" t="s">
        <v>128</v>
      </c>
      <c r="C12" s="237" t="s">
        <v>144</v>
      </c>
      <c r="D12" s="238" t="s">
        <v>95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312</v>
      </c>
      <c r="C13" s="237" t="s">
        <v>144</v>
      </c>
      <c r="D13" s="238" t="s">
        <v>95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323</v>
      </c>
      <c r="C14" s="237" t="s">
        <v>144</v>
      </c>
      <c r="D14" s="238" t="s">
        <v>95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337</v>
      </c>
      <c r="C15" s="237" t="s">
        <v>144</v>
      </c>
      <c r="D15" s="238" t="s">
        <v>95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21" si="15">IF(F15/15&lt;=123.22,G15,G15/2)</f>
        <v>0</v>
      </c>
      <c r="J15" s="243">
        <f t="shared" ref="J15:J21" si="16">F15+I15</f>
        <v>6922.63</v>
      </c>
      <c r="K15" s="243">
        <f t="shared" si="1"/>
        <v>5925.91</v>
      </c>
      <c r="L15" s="243">
        <f t="shared" ref="L15:L21" si="17">J15-K15</f>
        <v>996.72000000000025</v>
      </c>
      <c r="M15" s="244">
        <f t="shared" si="2"/>
        <v>0.21360000000000001</v>
      </c>
      <c r="N15" s="243">
        <f t="shared" ref="N15:N21" si="18">L15*M15</f>
        <v>212.89939200000006</v>
      </c>
      <c r="O15" s="245">
        <f t="shared" si="3"/>
        <v>627.6</v>
      </c>
      <c r="P15" s="243">
        <f t="shared" ref="P15:P21" si="19">N15+O15</f>
        <v>840.49939200000006</v>
      </c>
      <c r="Q15" s="243">
        <f t="shared" si="4"/>
        <v>0</v>
      </c>
      <c r="R15" s="243">
        <f t="shared" ref="R15:R21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358</v>
      </c>
      <c r="C16" s="237" t="s">
        <v>144</v>
      </c>
      <c r="D16" s="238" t="s">
        <v>95</v>
      </c>
      <c r="E16" s="267">
        <v>15</v>
      </c>
      <c r="F16" s="240">
        <v>6922.63</v>
      </c>
      <c r="G16" s="241">
        <v>0</v>
      </c>
      <c r="H16" s="242">
        <f t="shared" ref="H16:H21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:S21" si="22">-IF(R16&gt;0,0,R16)</f>
        <v>0</v>
      </c>
      <c r="T16" s="242">
        <f t="shared" ref="T16:T21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362</v>
      </c>
      <c r="C17" s="237" t="s">
        <v>144</v>
      </c>
      <c r="D17" s="238" t="s">
        <v>95</v>
      </c>
      <c r="E17" s="239">
        <v>15</v>
      </c>
      <c r="F17" s="240">
        <v>6922.63</v>
      </c>
      <c r="G17" s="241">
        <v>0</v>
      </c>
      <c r="H17" s="242">
        <f t="shared" ref="H17" si="24">SUM(F17:G17)</f>
        <v>6922.63</v>
      </c>
      <c r="I17" s="243">
        <f t="shared" ref="I17:I20" si="25">IF(F17/15&lt;=123.22,G17,G17/2)</f>
        <v>0</v>
      </c>
      <c r="J17" s="243">
        <f t="shared" ref="J17:J20" si="26">F17+I17</f>
        <v>6922.63</v>
      </c>
      <c r="K17" s="243">
        <f t="shared" ref="K17:K20" si="27">VLOOKUP(J17,Tarifa1,1)</f>
        <v>5925.91</v>
      </c>
      <c r="L17" s="243">
        <f t="shared" ref="L17:L20" si="28">J17-K17</f>
        <v>996.72000000000025</v>
      </c>
      <c r="M17" s="244">
        <f t="shared" ref="M17:M20" si="29">VLOOKUP(J17,Tarifa1,3)</f>
        <v>0.21360000000000001</v>
      </c>
      <c r="N17" s="243">
        <f t="shared" ref="N17:N20" si="30">L17*M17</f>
        <v>212.89939200000006</v>
      </c>
      <c r="O17" s="245">
        <f t="shared" ref="O17:O20" si="31">VLOOKUP(J17,Tarifa1,2)</f>
        <v>627.6</v>
      </c>
      <c r="P17" s="243">
        <f t="shared" ref="P17:P20" si="32">N17+O17</f>
        <v>840.49939200000006</v>
      </c>
      <c r="Q17" s="243">
        <f t="shared" ref="Q17:Q20" si="33">VLOOKUP(J17,Credito1,2)</f>
        <v>0</v>
      </c>
      <c r="R17" s="243">
        <f t="shared" ref="R17:R20" si="34">P17-Q17</f>
        <v>840.49939200000006</v>
      </c>
      <c r="S17" s="242">
        <f t="shared" ref="S17:S20" si="35">-IF(R17&gt;0,0,R17)</f>
        <v>0</v>
      </c>
      <c r="T17" s="242">
        <f t="shared" ref="T17:T20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363</v>
      </c>
      <c r="C18" s="237" t="s">
        <v>144</v>
      </c>
      <c r="D18" s="238" t="s">
        <v>95</v>
      </c>
      <c r="E18" s="239">
        <v>15</v>
      </c>
      <c r="F18" s="240">
        <v>6922.63</v>
      </c>
      <c r="G18" s="241">
        <v>0</v>
      </c>
      <c r="H18" s="242">
        <f t="shared" ref="H18:H19" si="37">SUM(F18:G18)</f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369</v>
      </c>
      <c r="C19" s="237" t="s">
        <v>144</v>
      </c>
      <c r="D19" s="238" t="s">
        <v>95</v>
      </c>
      <c r="E19" s="239">
        <v>15</v>
      </c>
      <c r="F19" s="240">
        <v>6922.63</v>
      </c>
      <c r="G19" s="241">
        <v>0</v>
      </c>
      <c r="H19" s="242">
        <f t="shared" si="37"/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370</v>
      </c>
      <c r="C20" s="237" t="s">
        <v>144</v>
      </c>
      <c r="D20" s="238" t="s">
        <v>95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384</v>
      </c>
      <c r="C21" s="237" t="s">
        <v>144</v>
      </c>
      <c r="D21" s="238" t="s">
        <v>95</v>
      </c>
      <c r="E21" s="239">
        <v>15</v>
      </c>
      <c r="F21" s="240">
        <v>6922.63</v>
      </c>
      <c r="G21" s="241">
        <v>425.44</v>
      </c>
      <c r="H21" s="242">
        <f t="shared" si="21"/>
        <v>7348.07</v>
      </c>
      <c r="I21" s="243">
        <f t="shared" si="15"/>
        <v>212.72</v>
      </c>
      <c r="J21" s="243">
        <f t="shared" si="16"/>
        <v>7135.35</v>
      </c>
      <c r="K21" s="243">
        <f t="shared" si="1"/>
        <v>5925.91</v>
      </c>
      <c r="L21" s="243">
        <f t="shared" si="17"/>
        <v>1209.4400000000005</v>
      </c>
      <c r="M21" s="244">
        <f t="shared" si="2"/>
        <v>0.21360000000000001</v>
      </c>
      <c r="N21" s="243">
        <f t="shared" si="18"/>
        <v>258.33638400000012</v>
      </c>
      <c r="O21" s="245">
        <f t="shared" si="3"/>
        <v>627.6</v>
      </c>
      <c r="P21" s="243">
        <f t="shared" si="19"/>
        <v>885.93638400000009</v>
      </c>
      <c r="Q21" s="243">
        <f t="shared" si="4"/>
        <v>0</v>
      </c>
      <c r="R21" s="243">
        <f t="shared" si="20"/>
        <v>885.93638400000009</v>
      </c>
      <c r="S21" s="242">
        <f t="shared" si="22"/>
        <v>0</v>
      </c>
      <c r="T21" s="242">
        <f t="shared" si="23"/>
        <v>885.93638400000009</v>
      </c>
      <c r="U21" s="242">
        <f>SUM(T21:T21)</f>
        <v>885.93638400000009</v>
      </c>
      <c r="V21" s="242">
        <f>H21+S21-U21</f>
        <v>6462.1336159999992</v>
      </c>
      <c r="W21" s="122"/>
      <c r="X21" s="4"/>
    </row>
    <row r="22" spans="1:36" ht="38.1" customHeight="1" thickBot="1" x14ac:dyDescent="0.3">
      <c r="A22" s="330" t="s">
        <v>45</v>
      </c>
      <c r="B22" s="331"/>
      <c r="C22" s="331"/>
      <c r="D22" s="331"/>
      <c r="E22" s="331"/>
      <c r="F22" s="246">
        <f>SUM(F9:F21)</f>
        <v>93845.260000000009</v>
      </c>
      <c r="G22" s="246">
        <f>SUM(G9:G21)</f>
        <v>425.44</v>
      </c>
      <c r="H22" s="246">
        <f>SUM(H9:H21)</f>
        <v>94270.700000000012</v>
      </c>
      <c r="I22" s="247">
        <f t="shared" ref="I22:R22" si="39">SUM(I9:I15)</f>
        <v>0</v>
      </c>
      <c r="J22" s="247">
        <f t="shared" si="39"/>
        <v>52309.479999999996</v>
      </c>
      <c r="K22" s="247">
        <f t="shared" si="39"/>
        <v>41481.369999999995</v>
      </c>
      <c r="L22" s="247">
        <f t="shared" si="39"/>
        <v>10828.11</v>
      </c>
      <c r="M22" s="247">
        <f t="shared" si="39"/>
        <v>1.4952000000000001</v>
      </c>
      <c r="N22" s="247">
        <f t="shared" si="39"/>
        <v>2312.8842960000006</v>
      </c>
      <c r="O22" s="247">
        <f t="shared" si="39"/>
        <v>4393.2</v>
      </c>
      <c r="P22" s="247">
        <f t="shared" si="39"/>
        <v>6706.0842959999991</v>
      </c>
      <c r="Q22" s="247">
        <f t="shared" si="39"/>
        <v>0</v>
      </c>
      <c r="R22" s="247">
        <f t="shared" si="39"/>
        <v>6706.0842959999991</v>
      </c>
      <c r="S22" s="246">
        <f>SUM(S9:S21)</f>
        <v>0</v>
      </c>
      <c r="T22" s="246">
        <f>SUM(T9:T21)</f>
        <v>11794.517639999998</v>
      </c>
      <c r="U22" s="246">
        <f>SUM(U9:U21)</f>
        <v>11794.517639999998</v>
      </c>
      <c r="V22" s="246">
        <f>SUM(V9:V21)</f>
        <v>82476.182360000006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5" t="s">
        <v>92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1:25" ht="18" x14ac:dyDescent="0.25">
      <c r="A2" s="335" t="s">
        <v>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6" t="s">
        <v>1</v>
      </c>
      <c r="I6" s="337"/>
      <c r="J6" s="338"/>
      <c r="K6" s="94" t="s">
        <v>26</v>
      </c>
      <c r="L6" s="95"/>
      <c r="M6" s="339" t="s">
        <v>9</v>
      </c>
      <c r="N6" s="340"/>
      <c r="O6" s="340"/>
      <c r="P6" s="340"/>
      <c r="Q6" s="340"/>
      <c r="R6" s="341"/>
      <c r="S6" s="94" t="s">
        <v>30</v>
      </c>
      <c r="T6" s="94" t="s">
        <v>10</v>
      </c>
      <c r="U6" s="93" t="s">
        <v>54</v>
      </c>
      <c r="V6" s="342" t="s">
        <v>2</v>
      </c>
      <c r="W6" s="343"/>
      <c r="X6" s="93" t="s">
        <v>0</v>
      </c>
      <c r="Y6" s="96"/>
    </row>
    <row r="7" spans="1:25" ht="22.5" x14ac:dyDescent="0.2">
      <c r="A7" s="97" t="s">
        <v>21</v>
      </c>
      <c r="B7" s="98" t="s">
        <v>122</v>
      </c>
      <c r="C7" s="98" t="s">
        <v>145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168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185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188</v>
      </c>
      <c r="C10" s="62" t="s">
        <v>144</v>
      </c>
      <c r="D10" s="177" t="s">
        <v>178</v>
      </c>
      <c r="E10" s="177" t="s">
        <v>181</v>
      </c>
      <c r="F10" s="167">
        <v>15</v>
      </c>
      <c r="G10" s="168">
        <f>H10/F10</f>
        <v>598.92466666666667</v>
      </c>
      <c r="H10" s="119">
        <v>8983.8700000000008</v>
      </c>
      <c r="I10" s="126">
        <v>1115.0899999999999</v>
      </c>
      <c r="J10" s="127">
        <f>H10</f>
        <v>8983.8700000000008</v>
      </c>
      <c r="K10" s="172">
        <f>IF(H10/15&lt;=123.22,I10,I10/2)</f>
        <v>557.54499999999996</v>
      </c>
      <c r="L10" s="172">
        <f>H10+K10</f>
        <v>9541.4150000000009</v>
      </c>
      <c r="M10" s="172">
        <f t="shared" ref="M10:M15" si="0">VLOOKUP(L10,Tarifa1,1)</f>
        <v>5925.91</v>
      </c>
      <c r="N10" s="172">
        <f>L10-M10</f>
        <v>3615.505000000001</v>
      </c>
      <c r="O10" s="173">
        <f t="shared" ref="O10:O15" si="1">VLOOKUP(L10,Tarifa1,3)</f>
        <v>0.21360000000000001</v>
      </c>
      <c r="P10" s="172">
        <f>N10*O10</f>
        <v>772.27186800000027</v>
      </c>
      <c r="Q10" s="174">
        <f t="shared" ref="Q10:Q15" si="2">VLOOKUP(L10,Tarifa1,2)</f>
        <v>627.6</v>
      </c>
      <c r="R10" s="172">
        <f>P10+Q10</f>
        <v>1399.8718680000002</v>
      </c>
      <c r="S10" s="172">
        <f t="shared" ref="S10:S15" si="3">VLOOKUP(L10,Credito1,2)</f>
        <v>0</v>
      </c>
      <c r="T10" s="172">
        <f>R10-S10</f>
        <v>1399.8718680000002</v>
      </c>
      <c r="U10" s="127">
        <f>-IF(T10&gt;0,0,T10)</f>
        <v>0</v>
      </c>
      <c r="V10" s="127">
        <f t="shared" ref="V10:V15" si="4">IF(T10&lt;0,0,T10)</f>
        <v>1399.8718680000002</v>
      </c>
      <c r="W10" s="127">
        <f>SUM(V10:V10)</f>
        <v>1399.8718680000002</v>
      </c>
      <c r="X10" s="127">
        <f>J10+U10-W10+I10</f>
        <v>8699.0881320000008</v>
      </c>
      <c r="Y10" s="166"/>
    </row>
    <row r="11" spans="1:25" s="188" customFormat="1" ht="75" customHeight="1" x14ac:dyDescent="0.2">
      <c r="A11" s="60"/>
      <c r="B11" s="138" t="s">
        <v>282</v>
      </c>
      <c r="C11" s="62" t="s">
        <v>144</v>
      </c>
      <c r="D11" s="177" t="s">
        <v>255</v>
      </c>
      <c r="E11" s="177" t="s">
        <v>181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103</v>
      </c>
      <c r="B12" s="62" t="s">
        <v>189</v>
      </c>
      <c r="C12" s="62" t="s">
        <v>144</v>
      </c>
      <c r="D12" s="187" t="s">
        <v>278</v>
      </c>
      <c r="E12" s="166" t="s">
        <v>182</v>
      </c>
      <c r="F12" s="167">
        <v>15</v>
      </c>
      <c r="G12" s="168">
        <f>H12/F12</f>
        <v>375.8846666666667</v>
      </c>
      <c r="H12" s="169">
        <v>5638.27</v>
      </c>
      <c r="I12" s="170">
        <v>1091.79</v>
      </c>
      <c r="J12" s="171">
        <f t="shared" ref="J12:J13" si="11">SUM(H12:I12)</f>
        <v>6730.06</v>
      </c>
      <c r="K12" s="172">
        <f t="shared" si="5"/>
        <v>545.89499999999998</v>
      </c>
      <c r="L12" s="172">
        <f t="shared" si="6"/>
        <v>6184.1650000000009</v>
      </c>
      <c r="M12" s="172">
        <f t="shared" si="0"/>
        <v>5925.91</v>
      </c>
      <c r="N12" s="172">
        <f t="shared" si="7"/>
        <v>258.25500000000102</v>
      </c>
      <c r="O12" s="173">
        <f t="shared" si="1"/>
        <v>0.21360000000000001</v>
      </c>
      <c r="P12" s="172">
        <f t="shared" si="8"/>
        <v>55.163268000000222</v>
      </c>
      <c r="Q12" s="174">
        <f t="shared" si="2"/>
        <v>627.6</v>
      </c>
      <c r="R12" s="172">
        <f t="shared" si="9"/>
        <v>682.76326800000027</v>
      </c>
      <c r="S12" s="172">
        <f t="shared" si="3"/>
        <v>0</v>
      </c>
      <c r="T12" s="172">
        <f t="shared" si="10"/>
        <v>682.76326800000027</v>
      </c>
      <c r="U12" s="171">
        <f t="shared" ref="U12" si="12">-IF(T12&gt;0,0,T12)</f>
        <v>0</v>
      </c>
      <c r="V12" s="171">
        <f t="shared" si="4"/>
        <v>682.76326800000027</v>
      </c>
      <c r="W12" s="171">
        <f>SUM(V12:V12)</f>
        <v>682.76326800000027</v>
      </c>
      <c r="X12" s="171">
        <f>J12+U12-W12</f>
        <v>6047.2967319999998</v>
      </c>
      <c r="Y12" s="187"/>
    </row>
    <row r="13" spans="1:25" s="188" customFormat="1" ht="75" customHeight="1" x14ac:dyDescent="0.2">
      <c r="A13" s="60"/>
      <c r="B13" s="62" t="s">
        <v>340</v>
      </c>
      <c r="C13" s="62" t="s">
        <v>144</v>
      </c>
      <c r="D13" s="187" t="s">
        <v>341</v>
      </c>
      <c r="E13" s="166" t="s">
        <v>182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378</v>
      </c>
      <c r="C14" s="62" t="s">
        <v>144</v>
      </c>
      <c r="D14" s="187" t="s">
        <v>380</v>
      </c>
      <c r="E14" s="166" t="s">
        <v>182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108</v>
      </c>
      <c r="B15" s="62" t="s">
        <v>190</v>
      </c>
      <c r="C15" s="62" t="s">
        <v>230</v>
      </c>
      <c r="D15" s="187" t="s">
        <v>180</v>
      </c>
      <c r="E15" s="177" t="s">
        <v>183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4"/>
      <c r="B16" s="62" t="s">
        <v>191</v>
      </c>
      <c r="C16" s="62" t="s">
        <v>144</v>
      </c>
      <c r="D16" s="187" t="s">
        <v>179</v>
      </c>
      <c r="E16" s="177" t="s">
        <v>183</v>
      </c>
      <c r="F16" s="167">
        <v>15</v>
      </c>
      <c r="G16" s="168">
        <f>H16/F16</f>
        <v>279.94400000000002</v>
      </c>
      <c r="H16" s="169">
        <v>4199.16</v>
      </c>
      <c r="I16" s="170">
        <v>811.94</v>
      </c>
      <c r="J16" s="171">
        <f>SUM(H16:I16)</f>
        <v>5011.1000000000004</v>
      </c>
      <c r="K16" s="172">
        <f t="shared" ref="K16:K17" si="15">IF(H16/15&lt;=123.22,I16,I16/2)</f>
        <v>405.97</v>
      </c>
      <c r="L16" s="172">
        <f t="shared" ref="L16:L17" si="16">H16+K16</f>
        <v>4605.13</v>
      </c>
      <c r="M16" s="172">
        <f t="shared" ref="M16:M17" si="17">VLOOKUP(L16,Tarifa1,1)</f>
        <v>4257.91</v>
      </c>
      <c r="N16" s="172">
        <f t="shared" ref="N16:N17" si="18">L16-M16</f>
        <v>347.22000000000025</v>
      </c>
      <c r="O16" s="173">
        <f t="shared" ref="O16:O17" si="19">VLOOKUP(L16,Tarifa1,3)</f>
        <v>0.16</v>
      </c>
      <c r="P16" s="172">
        <f t="shared" ref="P16:P17" si="20">N16*O16</f>
        <v>55.555200000000042</v>
      </c>
      <c r="Q16" s="174">
        <f t="shared" ref="Q16:Q17" si="21">VLOOKUP(L16,Tarifa1,2)</f>
        <v>341.85</v>
      </c>
      <c r="R16" s="172">
        <f t="shared" ref="R16:R17" si="22">P16+Q16</f>
        <v>397.40520000000004</v>
      </c>
      <c r="S16" s="172">
        <f t="shared" ref="S16:S17" si="23">VLOOKUP(L16,Credito1,2)</f>
        <v>0</v>
      </c>
      <c r="T16" s="172">
        <f t="shared" ref="T16:T17" si="24">R16-S16</f>
        <v>397.40520000000004</v>
      </c>
      <c r="U16" s="171">
        <f>-IF(T16&gt;0,0,T16)</f>
        <v>0</v>
      </c>
      <c r="V16" s="171">
        <f t="shared" ref="V16:V17" si="25">IF(T16&lt;0,0,T16)</f>
        <v>397.40520000000004</v>
      </c>
      <c r="W16" s="171">
        <f>SUM(V16:V16)</f>
        <v>397.40520000000004</v>
      </c>
      <c r="X16" s="171">
        <f>J16+U16-W16</f>
        <v>4613.6948000000002</v>
      </c>
      <c r="Y16" s="187"/>
    </row>
    <row r="17" spans="1:37" s="188" customFormat="1" ht="75" customHeight="1" x14ac:dyDescent="0.2">
      <c r="A17" s="214"/>
      <c r="B17" s="62" t="s">
        <v>382</v>
      </c>
      <c r="C17" s="62" t="s">
        <v>144</v>
      </c>
      <c r="D17" s="187" t="s">
        <v>383</v>
      </c>
      <c r="E17" s="177" t="s">
        <v>381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2" t="s">
        <v>45</v>
      </c>
      <c r="B18" s="333"/>
      <c r="C18" s="333"/>
      <c r="D18" s="333"/>
      <c r="E18" s="333"/>
      <c r="F18" s="333"/>
      <c r="G18" s="334"/>
      <c r="H18" s="112">
        <f t="shared" ref="H18:V18" si="28">SUM(H10:H17)</f>
        <v>43583.650000000009</v>
      </c>
      <c r="I18" s="112">
        <f t="shared" si="28"/>
        <v>3018.82</v>
      </c>
      <c r="J18" s="112">
        <f t="shared" si="28"/>
        <v>45487.38</v>
      </c>
      <c r="K18" s="113">
        <f t="shared" si="28"/>
        <v>1509.41</v>
      </c>
      <c r="L18" s="113">
        <f t="shared" si="28"/>
        <v>45093.060000000005</v>
      </c>
      <c r="M18" s="113">
        <f t="shared" si="28"/>
        <v>34253.630000000005</v>
      </c>
      <c r="N18" s="113">
        <f t="shared" si="28"/>
        <v>10839.430000000002</v>
      </c>
      <c r="O18" s="113">
        <f t="shared" si="28"/>
        <v>1.3064</v>
      </c>
      <c r="P18" s="113">
        <f t="shared" si="28"/>
        <v>1954.8827200000005</v>
      </c>
      <c r="Q18" s="113">
        <f t="shared" si="28"/>
        <v>3103.7999999999997</v>
      </c>
      <c r="R18" s="113">
        <f t="shared" si="28"/>
        <v>5058.6827200000007</v>
      </c>
      <c r="S18" s="113">
        <f t="shared" si="28"/>
        <v>270.45</v>
      </c>
      <c r="T18" s="113">
        <f t="shared" si="28"/>
        <v>4788.23272</v>
      </c>
      <c r="U18" s="112">
        <f t="shared" si="28"/>
        <v>0</v>
      </c>
      <c r="V18" s="112">
        <f t="shared" si="28"/>
        <v>4788.23272</v>
      </c>
      <c r="W18" s="112">
        <f>SUM(W10:W17)</f>
        <v>4788.23272</v>
      </c>
      <c r="X18" s="112">
        <f>SUM(X10:X17)</f>
        <v>41814.237280000001</v>
      </c>
    </row>
    <row r="19" spans="1:37" ht="13.5" thickTop="1" x14ac:dyDescent="0.2"/>
    <row r="28" spans="1:37" x14ac:dyDescent="0.2">
      <c r="D28" s="4" t="s">
        <v>248</v>
      </c>
      <c r="V28" s="4" t="s">
        <v>241</v>
      </c>
    </row>
    <row r="29" spans="1:37" x14ac:dyDescent="0.2">
      <c r="D29" s="78" t="s">
        <v>232</v>
      </c>
      <c r="H29" s="114"/>
      <c r="V29" s="78" t="s">
        <v>254</v>
      </c>
    </row>
    <row r="30" spans="1:37" x14ac:dyDescent="0.2">
      <c r="D30" s="51" t="s">
        <v>242</v>
      </c>
      <c r="E30" s="115"/>
      <c r="F30" s="115"/>
      <c r="G30" s="115"/>
      <c r="H30" s="115"/>
      <c r="I30" s="115"/>
      <c r="V30" s="51" t="s">
        <v>250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162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122</v>
      </c>
      <c r="C9" s="83" t="s">
        <v>161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257</v>
      </c>
      <c r="C10" s="116" t="s">
        <v>144</v>
      </c>
      <c r="D10" s="121" t="s">
        <v>192</v>
      </c>
      <c r="E10" s="121" t="s">
        <v>193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258</v>
      </c>
      <c r="C11" s="116" t="s">
        <v>144</v>
      </c>
      <c r="D11" s="121" t="s">
        <v>194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144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122</v>
      </c>
      <c r="C13" s="140" t="s">
        <v>161</v>
      </c>
      <c r="D13" s="141" t="s">
        <v>152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259</v>
      </c>
      <c r="C14" s="116" t="s">
        <v>144</v>
      </c>
      <c r="D14" s="136" t="s">
        <v>195</v>
      </c>
      <c r="E14" s="123" t="s">
        <v>116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122</v>
      </c>
      <c r="C15" s="140" t="s">
        <v>161</v>
      </c>
      <c r="D15" s="141" t="s">
        <v>153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131</v>
      </c>
      <c r="C16" s="116" t="s">
        <v>144</v>
      </c>
      <c r="D16" s="121" t="s">
        <v>119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122</v>
      </c>
      <c r="C17" s="140" t="s">
        <v>161</v>
      </c>
      <c r="D17" s="141" t="s">
        <v>154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260</v>
      </c>
      <c r="C18" s="116" t="s">
        <v>144</v>
      </c>
      <c r="D18" s="121" t="s">
        <v>196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292</v>
      </c>
      <c r="C19" s="147" t="s">
        <v>144</v>
      </c>
      <c r="D19" s="148" t="s">
        <v>279</v>
      </c>
      <c r="E19" s="149" t="s">
        <v>280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122</v>
      </c>
      <c r="C20" s="140" t="s">
        <v>161</v>
      </c>
      <c r="D20" s="141" t="s">
        <v>155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132</v>
      </c>
      <c r="C21" s="116" t="s">
        <v>144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4" t="s">
        <v>92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0" customFormat="1" ht="21.75" customHeight="1" x14ac:dyDescent="0.25">
      <c r="A25" s="154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0" customFormat="1" ht="23.25" customHeight="1" x14ac:dyDescent="0.2">
      <c r="A26" s="154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122</v>
      </c>
      <c r="C29" s="140" t="s">
        <v>161</v>
      </c>
      <c r="D29" s="141" t="s">
        <v>156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135</v>
      </c>
      <c r="C30" s="116" t="s">
        <v>144</v>
      </c>
      <c r="D30" s="124" t="s">
        <v>109</v>
      </c>
      <c r="E30" s="124" t="s">
        <v>214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133</v>
      </c>
      <c r="C31" s="116" t="s">
        <v>144</v>
      </c>
      <c r="D31" s="121" t="s">
        <v>71</v>
      </c>
      <c r="E31" s="124" t="s">
        <v>214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325</v>
      </c>
      <c r="C32" s="116" t="s">
        <v>144</v>
      </c>
      <c r="D32" s="121" t="s">
        <v>346</v>
      </c>
      <c r="E32" s="124" t="s">
        <v>214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122</v>
      </c>
      <c r="C33" s="140" t="s">
        <v>161</v>
      </c>
      <c r="D33" s="141" t="s">
        <v>157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1"/>
    </row>
    <row r="34" spans="1:37" s="69" customFormat="1" ht="54.95" customHeight="1" x14ac:dyDescent="0.2">
      <c r="A34" s="116"/>
      <c r="B34" s="116" t="s">
        <v>134</v>
      </c>
      <c r="C34" s="116" t="s">
        <v>144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0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1" t="s">
        <v>45</v>
      </c>
      <c r="B36" s="302"/>
      <c r="C36" s="302"/>
      <c r="D36" s="302"/>
      <c r="E36" s="302"/>
      <c r="F36" s="302"/>
      <c r="G36" s="303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233</v>
      </c>
      <c r="V46" s="69" t="s">
        <v>110</v>
      </c>
    </row>
    <row r="47" spans="1:37" s="69" customFormat="1" ht="12" x14ac:dyDescent="0.2">
      <c r="D47" s="78" t="s">
        <v>232</v>
      </c>
      <c r="V47" s="78" t="s">
        <v>234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144</v>
      </c>
      <c r="D10" s="166" t="s">
        <v>229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235</v>
      </c>
      <c r="V22" t="s">
        <v>110</v>
      </c>
    </row>
    <row r="23" spans="4:37" x14ac:dyDescent="0.2">
      <c r="D23" s="78" t="s">
        <v>232</v>
      </c>
      <c r="H23" s="4"/>
      <c r="V23" s="78" t="s">
        <v>237</v>
      </c>
    </row>
    <row r="24" spans="4:37" x14ac:dyDescent="0.2">
      <c r="D24" s="51" t="s">
        <v>236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4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322</v>
      </c>
      <c r="E9" s="46" t="s">
        <v>62</v>
      </c>
      <c r="F9" s="47"/>
      <c r="G9" s="47"/>
      <c r="H9" s="227">
        <f>H10</f>
        <v>11606.91</v>
      </c>
      <c r="I9" s="227">
        <f>I10</f>
        <v>0</v>
      </c>
      <c r="J9" s="227">
        <f>J10</f>
        <v>11606.91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27">
        <f>U10</f>
        <v>0</v>
      </c>
      <c r="V9" s="227">
        <f>V10</f>
        <v>1841.0616</v>
      </c>
      <c r="W9" s="227">
        <f>W10</f>
        <v>1841.0616</v>
      </c>
      <c r="X9" s="227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144</v>
      </c>
      <c r="D10" s="166" t="s">
        <v>208</v>
      </c>
      <c r="E10" s="177" t="s">
        <v>283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122</v>
      </c>
      <c r="C11" s="203" t="s">
        <v>161</v>
      </c>
      <c r="D11" s="45" t="s">
        <v>164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266</v>
      </c>
      <c r="C12" s="62" t="s">
        <v>144</v>
      </c>
      <c r="D12" s="166" t="s">
        <v>231</v>
      </c>
      <c r="E12" s="166" t="s">
        <v>118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6"/>
      <c r="C13" s="217"/>
      <c r="D13" s="218"/>
      <c r="E13" s="218"/>
      <c r="F13" s="219"/>
      <c r="G13" s="220"/>
      <c r="H13" s="221"/>
      <c r="I13" s="222"/>
      <c r="J13" s="223"/>
      <c r="K13" s="224"/>
      <c r="L13" s="224"/>
      <c r="M13" s="224"/>
      <c r="N13" s="224"/>
      <c r="O13" s="225"/>
      <c r="P13" s="224"/>
      <c r="Q13" s="226"/>
      <c r="R13" s="224"/>
      <c r="S13" s="224"/>
      <c r="T13" s="224"/>
      <c r="U13" s="223"/>
      <c r="V13" s="223"/>
      <c r="W13" s="223"/>
      <c r="X13" s="223"/>
    </row>
    <row r="14" spans="1:25" ht="40.5" customHeight="1" thickBot="1" x14ac:dyDescent="0.3">
      <c r="A14" s="301" t="s">
        <v>45</v>
      </c>
      <c r="B14" s="302"/>
      <c r="C14" s="302"/>
      <c r="D14" s="302"/>
      <c r="E14" s="302"/>
      <c r="F14" s="302"/>
      <c r="G14" s="30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235</v>
      </c>
      <c r="V24" t="s">
        <v>110</v>
      </c>
    </row>
    <row r="25" spans="4:37" x14ac:dyDescent="0.2">
      <c r="D25" s="78" t="s">
        <v>232</v>
      </c>
      <c r="H25" s="4"/>
      <c r="V25" s="78" t="s">
        <v>237</v>
      </c>
    </row>
    <row r="26" spans="4:37" x14ac:dyDescent="0.2">
      <c r="D26" s="51" t="s">
        <v>236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35" zoomScale="66" zoomScaleNormal="66" workbookViewId="0">
      <selection activeCell="W3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6" t="s">
        <v>145</v>
      </c>
      <c r="D5" s="65"/>
      <c r="E5" s="65"/>
      <c r="F5" s="66" t="s">
        <v>23</v>
      </c>
      <c r="G5" s="66" t="s">
        <v>6</v>
      </c>
      <c r="H5" s="307" t="s">
        <v>1</v>
      </c>
      <c r="I5" s="308"/>
      <c r="J5" s="309"/>
      <c r="K5" s="67" t="s">
        <v>26</v>
      </c>
      <c r="L5" s="68"/>
      <c r="M5" s="310" t="s">
        <v>9</v>
      </c>
      <c r="N5" s="311"/>
      <c r="O5" s="311"/>
      <c r="P5" s="311"/>
      <c r="Q5" s="311"/>
      <c r="R5" s="312"/>
      <c r="S5" s="67" t="s">
        <v>30</v>
      </c>
      <c r="T5" s="67" t="s">
        <v>10</v>
      </c>
      <c r="U5" s="66" t="s">
        <v>54</v>
      </c>
      <c r="V5" s="313" t="s">
        <v>2</v>
      </c>
      <c r="W5" s="31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122</v>
      </c>
      <c r="C6" s="32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162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102</v>
      </c>
      <c r="B9" s="249" t="s">
        <v>314</v>
      </c>
      <c r="C9" s="250" t="s">
        <v>230</v>
      </c>
      <c r="D9" s="251" t="s">
        <v>311</v>
      </c>
      <c r="E9" s="252" t="s">
        <v>375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261</v>
      </c>
      <c r="C10" s="250" t="s">
        <v>144</v>
      </c>
      <c r="D10" s="251" t="s">
        <v>197</v>
      </c>
      <c r="E10" s="252" t="s">
        <v>198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103</v>
      </c>
      <c r="B11" s="249" t="s">
        <v>262</v>
      </c>
      <c r="C11" s="250" t="s">
        <v>144</v>
      </c>
      <c r="D11" s="251" t="s">
        <v>199</v>
      </c>
      <c r="E11" s="252" t="s">
        <v>202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104</v>
      </c>
      <c r="B12" s="250" t="s">
        <v>139</v>
      </c>
      <c r="C12" s="250" t="s">
        <v>144</v>
      </c>
      <c r="D12" s="251" t="s">
        <v>74</v>
      </c>
      <c r="E12" s="252" t="s">
        <v>201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331</v>
      </c>
      <c r="C13" s="250" t="s">
        <v>144</v>
      </c>
      <c r="D13" s="262" t="s">
        <v>328</v>
      </c>
      <c r="E13" s="252" t="s">
        <v>75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356</v>
      </c>
      <c r="C14" s="250" t="s">
        <v>230</v>
      </c>
      <c r="D14" s="262" t="s">
        <v>355</v>
      </c>
      <c r="E14" s="252" t="s">
        <v>75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367</v>
      </c>
      <c r="C15" s="250" t="s">
        <v>144</v>
      </c>
      <c r="D15" s="252" t="s">
        <v>354</v>
      </c>
      <c r="E15" s="252" t="s">
        <v>75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140</v>
      </c>
      <c r="C16" s="250" t="s">
        <v>144</v>
      </c>
      <c r="D16" s="251" t="s">
        <v>76</v>
      </c>
      <c r="E16" s="252" t="s">
        <v>200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338</v>
      </c>
      <c r="C17" s="250" t="s">
        <v>144</v>
      </c>
      <c r="D17" s="251" t="s">
        <v>339</v>
      </c>
      <c r="E17" s="252" t="s">
        <v>200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378</v>
      </c>
      <c r="C18" s="250" t="s">
        <v>144</v>
      </c>
      <c r="D18" s="251" t="s">
        <v>379</v>
      </c>
      <c r="E18" s="252" t="s">
        <v>200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186</v>
      </c>
      <c r="C19" s="250" t="s">
        <v>144</v>
      </c>
      <c r="D19" s="262" t="s">
        <v>184</v>
      </c>
      <c r="E19" s="252" t="s">
        <v>295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313</v>
      </c>
      <c r="C20" s="250" t="s">
        <v>144</v>
      </c>
      <c r="D20" s="262" t="s">
        <v>302</v>
      </c>
      <c r="E20" s="252" t="s">
        <v>295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363</v>
      </c>
      <c r="C21" s="250" t="s">
        <v>144</v>
      </c>
      <c r="D21" s="262" t="s">
        <v>364</v>
      </c>
      <c r="E21" s="252" t="s">
        <v>295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04" t="s">
        <v>93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1"/>
    </row>
    <row r="25" spans="1:31" s="188" customFormat="1" ht="23.25" customHeight="1" x14ac:dyDescent="0.25">
      <c r="A25" s="268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E25" s="191"/>
    </row>
    <row r="26" spans="1:31" s="188" customFormat="1" ht="23.25" customHeight="1" x14ac:dyDescent="0.25">
      <c r="A26" s="268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07" t="s">
        <v>1</v>
      </c>
      <c r="I29" s="308"/>
      <c r="J29" s="309"/>
      <c r="K29" s="67" t="s">
        <v>26</v>
      </c>
      <c r="L29" s="68"/>
      <c r="M29" s="310" t="s">
        <v>9</v>
      </c>
      <c r="N29" s="311"/>
      <c r="O29" s="311"/>
      <c r="P29" s="311"/>
      <c r="Q29" s="311"/>
      <c r="R29" s="312"/>
      <c r="S29" s="67" t="s">
        <v>30</v>
      </c>
      <c r="T29" s="67" t="s">
        <v>10</v>
      </c>
      <c r="U29" s="66" t="s">
        <v>54</v>
      </c>
      <c r="V29" s="313" t="s">
        <v>2</v>
      </c>
      <c r="W29" s="314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122</v>
      </c>
      <c r="C30" s="64" t="s">
        <v>145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162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326</v>
      </c>
      <c r="C33" s="250" t="s">
        <v>144</v>
      </c>
      <c r="D33" s="262" t="s">
        <v>327</v>
      </c>
      <c r="E33" s="252" t="s">
        <v>295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332</v>
      </c>
      <c r="C34" s="250" t="s">
        <v>144</v>
      </c>
      <c r="D34" s="262" t="s">
        <v>329</v>
      </c>
      <c r="E34" s="252" t="s">
        <v>330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315</v>
      </c>
      <c r="C35" s="250" t="s">
        <v>144</v>
      </c>
      <c r="D35" s="262" t="s">
        <v>296</v>
      </c>
      <c r="E35" s="252" t="s">
        <v>297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316</v>
      </c>
      <c r="C36" s="250" t="s">
        <v>144</v>
      </c>
      <c r="D36" s="262" t="s">
        <v>298</v>
      </c>
      <c r="E36" s="252" t="s">
        <v>299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3" t="s">
        <v>45</v>
      </c>
      <c r="B37" s="324"/>
      <c r="C37" s="324"/>
      <c r="D37" s="324"/>
      <c r="E37" s="324"/>
      <c r="F37" s="324"/>
      <c r="G37" s="325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238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110</v>
      </c>
      <c r="W43" s="188"/>
      <c r="X43" s="188"/>
    </row>
    <row r="44" spans="1:31" s="69" customFormat="1" ht="15" x14ac:dyDescent="0.25">
      <c r="B44" s="188"/>
      <c r="C44" s="188"/>
      <c r="D44" s="193" t="s">
        <v>232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234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2" zoomScale="82" zoomScaleNormal="82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423.01</v>
      </c>
      <c r="J9" s="195">
        <f>SUM(J10:J28)</f>
        <v>42388.409999999996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1431.0606559999999</v>
      </c>
      <c r="W9" s="195">
        <f>SUM(W10:W28)</f>
        <v>1431.0606559999999</v>
      </c>
      <c r="X9" s="195">
        <f>SUM(X10:X28)</f>
        <v>41068.168288000001</v>
      </c>
      <c r="Y9" s="197"/>
    </row>
    <row r="10" spans="1:25" s="4" customFormat="1" ht="67.5" customHeight="1" x14ac:dyDescent="0.2">
      <c r="A10" s="59"/>
      <c r="B10" s="116" t="s">
        <v>317</v>
      </c>
      <c r="C10" s="116" t="s">
        <v>144</v>
      </c>
      <c r="D10" s="121" t="s">
        <v>310</v>
      </c>
      <c r="E10" s="121" t="s">
        <v>309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144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373</v>
      </c>
      <c r="C12" s="116" t="s">
        <v>144</v>
      </c>
      <c r="D12" s="121" t="s">
        <v>374</v>
      </c>
      <c r="E12" s="121" t="s">
        <v>309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376</v>
      </c>
      <c r="C13" s="116" t="s">
        <v>144</v>
      </c>
      <c r="D13" s="121" t="s">
        <v>377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170</v>
      </c>
      <c r="C14" s="116" t="s">
        <v>144</v>
      </c>
      <c r="D14" s="124" t="s">
        <v>169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318</v>
      </c>
      <c r="C15" s="116" t="s">
        <v>144</v>
      </c>
      <c r="D15" s="124" t="s">
        <v>307</v>
      </c>
      <c r="E15" s="121" t="s">
        <v>308</v>
      </c>
      <c r="F15" s="133"/>
      <c r="G15" s="134"/>
      <c r="H15" s="119">
        <v>3089.65</v>
      </c>
      <c r="I15" s="126">
        <v>423.01</v>
      </c>
      <c r="J15" s="127">
        <f t="shared" ref="J15" si="26">SUM(H15:I15)</f>
        <v>3512.66</v>
      </c>
      <c r="K15" s="172">
        <f t="shared" ref="K15" si="27">IF(H15/15&lt;=123.22,I15,I15/2)</f>
        <v>211.505</v>
      </c>
      <c r="L15" s="172">
        <f t="shared" ref="L15" si="28">H15+K15</f>
        <v>3301.1550000000002</v>
      </c>
      <c r="M15" s="172">
        <f t="shared" ref="M15" si="29">VLOOKUP(L15,Tarifa1,1)</f>
        <v>2422.81</v>
      </c>
      <c r="N15" s="172">
        <f t="shared" ref="N15" si="30">L15-M15</f>
        <v>878.34500000000025</v>
      </c>
      <c r="O15" s="173">
        <f t="shared" ref="O15" si="31">VLOOKUP(L15,Tarifa1,3)</f>
        <v>0.10879999999999999</v>
      </c>
      <c r="P15" s="172">
        <f t="shared" ref="P15" si="32">N15*O15</f>
        <v>95.563936000000027</v>
      </c>
      <c r="Q15" s="174">
        <f t="shared" ref="Q15" si="33">VLOOKUP(L15,Tarifa1,2)</f>
        <v>142.19999999999999</v>
      </c>
      <c r="R15" s="172">
        <f t="shared" ref="R15" si="34">P15+Q15</f>
        <v>237.763936</v>
      </c>
      <c r="S15" s="172">
        <f t="shared" ref="S15" si="35">VLOOKUP(L15,Credito1,2)</f>
        <v>125.1</v>
      </c>
      <c r="T15" s="172">
        <f t="shared" ref="T15" si="36">R15-S15</f>
        <v>112.66393600000001</v>
      </c>
      <c r="U15" s="127">
        <f t="shared" ref="U15" si="37">-IF(T15&gt;0,0,T15)</f>
        <v>0</v>
      </c>
      <c r="V15" s="127">
        <f t="shared" ref="V15" si="38">IF(T15&lt;0,0,T15)</f>
        <v>112.66393600000001</v>
      </c>
      <c r="W15" s="127">
        <f>SUM(V15:V15)</f>
        <v>112.66393600000001</v>
      </c>
      <c r="X15" s="127">
        <f>J15+U15-W15</f>
        <v>3399.9960639999999</v>
      </c>
      <c r="Y15" s="122"/>
    </row>
    <row r="16" spans="1:25" s="4" customFormat="1" ht="67.5" customHeight="1" x14ac:dyDescent="0.2">
      <c r="A16" s="59"/>
      <c r="B16" s="116" t="s">
        <v>343</v>
      </c>
      <c r="C16" s="116" t="s">
        <v>144</v>
      </c>
      <c r="D16" s="124" t="s">
        <v>344</v>
      </c>
      <c r="E16" s="123" t="s">
        <v>345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176</v>
      </c>
      <c r="C17" s="116" t="s">
        <v>144</v>
      </c>
      <c r="D17" s="121" t="s">
        <v>174</v>
      </c>
      <c r="E17" s="121" t="s">
        <v>175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263</v>
      </c>
      <c r="C18" s="116" t="s">
        <v>144</v>
      </c>
      <c r="D18" s="121" t="s">
        <v>203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319</v>
      </c>
      <c r="C19" s="116" t="s">
        <v>144</v>
      </c>
      <c r="D19" s="121" t="s">
        <v>305</v>
      </c>
      <c r="E19" s="121" t="s">
        <v>306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04" t="s">
        <v>93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31" s="4" customFormat="1" ht="23.25" customHeight="1" x14ac:dyDescent="0.25">
      <c r="A23" s="230"/>
      <c r="B23" s="304" t="s">
        <v>66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31" s="4" customFormat="1" ht="23.25" customHeight="1" x14ac:dyDescent="0.2">
      <c r="A24" s="230"/>
      <c r="B24" s="305" t="s">
        <v>385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368</v>
      </c>
      <c r="C26" s="116" t="s">
        <v>144</v>
      </c>
      <c r="D26" s="123" t="s">
        <v>96</v>
      </c>
      <c r="E26" s="123" t="s">
        <v>334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0"/>
      <c r="B27" s="139" t="s">
        <v>371</v>
      </c>
      <c r="C27" s="116" t="s">
        <v>144</v>
      </c>
      <c r="D27" s="123" t="s">
        <v>372</v>
      </c>
      <c r="E27" s="121" t="s">
        <v>204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0"/>
      <c r="B28" s="139" t="s">
        <v>332</v>
      </c>
      <c r="C28" s="116" t="s">
        <v>144</v>
      </c>
      <c r="D28" s="121" t="s">
        <v>333</v>
      </c>
      <c r="E28" s="121" t="s">
        <v>204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122</v>
      </c>
      <c r="C29" s="198" t="s">
        <v>161</v>
      </c>
      <c r="D29" s="194" t="s">
        <v>158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101</v>
      </c>
      <c r="B30" s="139" t="s">
        <v>264</v>
      </c>
      <c r="C30" s="116" t="s">
        <v>144</v>
      </c>
      <c r="D30" s="121" t="s">
        <v>207</v>
      </c>
      <c r="E30" s="123" t="s">
        <v>205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320</v>
      </c>
      <c r="C31" s="116" t="s">
        <v>144</v>
      </c>
      <c r="D31" s="121" t="s">
        <v>303</v>
      </c>
      <c r="E31" s="123" t="s">
        <v>304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122</v>
      </c>
      <c r="C32" s="198" t="s">
        <v>161</v>
      </c>
      <c r="D32" s="194" t="s">
        <v>160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127</v>
      </c>
      <c r="C33" s="116" t="s">
        <v>144</v>
      </c>
      <c r="D33" s="121" t="s">
        <v>82</v>
      </c>
      <c r="E33" s="123" t="s">
        <v>163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360</v>
      </c>
      <c r="C34" s="116" t="s">
        <v>144</v>
      </c>
      <c r="D34" s="121" t="s">
        <v>359</v>
      </c>
      <c r="E34" s="123" t="s">
        <v>361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102</v>
      </c>
      <c r="B35" s="198" t="s">
        <v>122</v>
      </c>
      <c r="C35" s="198" t="s">
        <v>161</v>
      </c>
      <c r="D35" s="194" t="s">
        <v>159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103</v>
      </c>
      <c r="B36" s="116" t="s">
        <v>126</v>
      </c>
      <c r="C36" s="116" t="s">
        <v>144</v>
      </c>
      <c r="D36" s="121" t="s">
        <v>81</v>
      </c>
      <c r="E36" s="123" t="s">
        <v>206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1" t="s">
        <v>45</v>
      </c>
      <c r="B38" s="302"/>
      <c r="C38" s="302"/>
      <c r="D38" s="302"/>
      <c r="E38" s="302"/>
      <c r="F38" s="302"/>
      <c r="G38" s="303"/>
      <c r="H38" s="164">
        <f>SUM(H9+H29+H32+H35)</f>
        <v>58917.579999999994</v>
      </c>
      <c r="I38" s="164">
        <f>SUM(I9+I29+I32+I35)</f>
        <v>423.01</v>
      </c>
      <c r="J38" s="164">
        <f>SUM(J9+J29+J32+J35)</f>
        <v>59340.59</v>
      </c>
      <c r="K38" s="165">
        <f t="shared" ref="K38:T38" si="85">SUM(K10:K37)</f>
        <v>211.505</v>
      </c>
      <c r="L38" s="165">
        <f t="shared" si="85"/>
        <v>64314.385000000009</v>
      </c>
      <c r="M38" s="165">
        <f t="shared" si="85"/>
        <v>47851.7</v>
      </c>
      <c r="N38" s="165">
        <f t="shared" si="85"/>
        <v>16462.685000000001</v>
      </c>
      <c r="O38" s="165">
        <f t="shared" si="85"/>
        <v>2.1888000000000001</v>
      </c>
      <c r="P38" s="165">
        <f t="shared" si="85"/>
        <v>1638.8372799999997</v>
      </c>
      <c r="Q38" s="165">
        <f t="shared" si="85"/>
        <v>2833.35</v>
      </c>
      <c r="R38" s="165">
        <f t="shared" si="85"/>
        <v>4472.1872800000001</v>
      </c>
      <c r="S38" s="165">
        <f t="shared" si="85"/>
        <v>2347.4999999999995</v>
      </c>
      <c r="T38" s="165">
        <f t="shared" si="85"/>
        <v>2124.6872799999996</v>
      </c>
      <c r="U38" s="164">
        <f>SUM(U9+U29+U32+U35)</f>
        <v>150.35366400000001</v>
      </c>
      <c r="V38" s="164">
        <f>SUM(V9+V29+V32+V35)</f>
        <v>2268.6557759999996</v>
      </c>
      <c r="W38" s="164">
        <f>SUM(W9+W29+W32+W35)</f>
        <v>2268.6557759999996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239</v>
      </c>
      <c r="V41" s="4" t="s">
        <v>240</v>
      </c>
    </row>
    <row r="42" spans="1:37" s="4" customFormat="1" x14ac:dyDescent="0.2">
      <c r="D42" s="51" t="s">
        <v>232</v>
      </c>
      <c r="V42" s="51" t="s">
        <v>234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1" zoomScale="86" zoomScaleNormal="86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6" t="s">
        <v>161</v>
      </c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122</v>
      </c>
      <c r="C7" s="32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122</v>
      </c>
      <c r="C9" s="203" t="s">
        <v>161</v>
      </c>
      <c r="D9" s="45" t="s">
        <v>213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265</v>
      </c>
      <c r="C10" s="62" t="s">
        <v>144</v>
      </c>
      <c r="D10" s="177" t="s">
        <v>256</v>
      </c>
      <c r="E10" s="177" t="s">
        <v>294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141</v>
      </c>
      <c r="C11" s="62" t="s">
        <v>144</v>
      </c>
      <c r="D11" s="166" t="s">
        <v>111</v>
      </c>
      <c r="E11" s="177" t="s">
        <v>209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122</v>
      </c>
      <c r="C12" s="203" t="s">
        <v>161</v>
      </c>
      <c r="D12" s="45" t="s">
        <v>286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284</v>
      </c>
      <c r="C13" s="62" t="s">
        <v>144</v>
      </c>
      <c r="D13" s="176" t="s">
        <v>285</v>
      </c>
      <c r="E13" s="177" t="s">
        <v>287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122</v>
      </c>
      <c r="C14" s="203" t="s">
        <v>161</v>
      </c>
      <c r="D14" s="45" t="s">
        <v>351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352</v>
      </c>
      <c r="C15" s="62" t="s">
        <v>144</v>
      </c>
      <c r="D15" s="176" t="s">
        <v>349</v>
      </c>
      <c r="E15" s="177" t="s">
        <v>350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122</v>
      </c>
      <c r="C16" s="203" t="s">
        <v>161</v>
      </c>
      <c r="D16" s="45" t="s">
        <v>165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104</v>
      </c>
      <c r="B17" s="212">
        <v>185</v>
      </c>
      <c r="C17" s="62" t="s">
        <v>144</v>
      </c>
      <c r="D17" s="213" t="s">
        <v>227</v>
      </c>
      <c r="E17" s="177" t="s">
        <v>113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321</v>
      </c>
      <c r="C18" s="62" t="s">
        <v>144</v>
      </c>
      <c r="D18" s="176" t="s">
        <v>300</v>
      </c>
      <c r="E18" s="177" t="s">
        <v>301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357</v>
      </c>
      <c r="C19" s="62" t="s">
        <v>230</v>
      </c>
      <c r="D19" s="176" t="s">
        <v>353</v>
      </c>
      <c r="E19" s="177" t="s">
        <v>301</v>
      </c>
      <c r="F19" s="167"/>
      <c r="G19" s="168"/>
      <c r="H19" s="119">
        <v>3182.33</v>
      </c>
      <c r="I19" s="126">
        <v>0</v>
      </c>
      <c r="J19" s="127">
        <f t="shared" ref="J19" si="10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11">-IF(T19&gt;0,0,T19)</f>
        <v>0</v>
      </c>
      <c r="V19" s="127">
        <f t="shared" ref="V19" si="12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122</v>
      </c>
      <c r="C20" s="203" t="s">
        <v>161</v>
      </c>
      <c r="D20" s="45" t="s">
        <v>166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142</v>
      </c>
      <c r="C21" s="62" t="s">
        <v>144</v>
      </c>
      <c r="D21" s="176" t="s">
        <v>112</v>
      </c>
      <c r="E21" s="177" t="s">
        <v>114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267</v>
      </c>
      <c r="C22" s="62" t="s">
        <v>144</v>
      </c>
      <c r="D22" s="178" t="s">
        <v>211</v>
      </c>
      <c r="E22" s="177" t="s">
        <v>210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04" t="s">
        <v>93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88"/>
    </row>
    <row r="24" spans="1:31" s="69" customFormat="1" ht="25.5" customHeight="1" x14ac:dyDescent="0.25">
      <c r="A24" s="231"/>
      <c r="B24" s="304" t="s">
        <v>66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88"/>
    </row>
    <row r="25" spans="1:31" s="69" customFormat="1" ht="23.25" customHeight="1" x14ac:dyDescent="0.2">
      <c r="A25" s="231"/>
      <c r="B25" s="305" t="s">
        <v>385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342</v>
      </c>
      <c r="C27" s="62" t="s">
        <v>144</v>
      </c>
      <c r="D27" s="178" t="s">
        <v>335</v>
      </c>
      <c r="E27" s="177" t="s">
        <v>336</v>
      </c>
      <c r="F27" s="167"/>
      <c r="G27" s="168"/>
      <c r="H27" s="169">
        <v>3234.1</v>
      </c>
      <c r="I27" s="170">
        <v>0</v>
      </c>
      <c r="J27" s="171">
        <f t="shared" ref="J27" si="16">SUM(H27:I27)</f>
        <v>3234.1</v>
      </c>
      <c r="K27" s="172">
        <f t="shared" ref="K27" si="17">IF(H27/15&lt;=123.22,I27,I27/2)</f>
        <v>0</v>
      </c>
      <c r="L27" s="172">
        <f t="shared" ref="L27" si="18">H27+K27</f>
        <v>3234.1</v>
      </c>
      <c r="M27" s="172">
        <f t="shared" ref="M27" si="19">VLOOKUP(L27,Tarifa1,1)</f>
        <v>2422.81</v>
      </c>
      <c r="N27" s="172">
        <f t="shared" ref="N27" si="20">L27-M27</f>
        <v>811.29</v>
      </c>
      <c r="O27" s="173">
        <f t="shared" ref="O27" si="21">VLOOKUP(L27,Tarifa1,3)</f>
        <v>0.10879999999999999</v>
      </c>
      <c r="P27" s="172">
        <f t="shared" ref="P27" si="22">N27*O27</f>
        <v>88.268351999999993</v>
      </c>
      <c r="Q27" s="174">
        <f t="shared" ref="Q27" si="23">VLOOKUP(L27,Tarifa1,2)</f>
        <v>142.19999999999999</v>
      </c>
      <c r="R27" s="172">
        <f t="shared" ref="R27" si="24">P27+Q27</f>
        <v>230.46835199999998</v>
      </c>
      <c r="S27" s="172">
        <f t="shared" ref="S27" si="25">VLOOKUP(L27,Credito1,2)</f>
        <v>125.1</v>
      </c>
      <c r="T27" s="172">
        <f t="shared" ref="T27" si="26">R27-S27</f>
        <v>105.36835199999999</v>
      </c>
      <c r="U27" s="171">
        <f t="shared" ref="U27" si="27">-IF(T27&gt;0,0,T27)</f>
        <v>0</v>
      </c>
      <c r="V27" s="171">
        <f t="shared" ref="V27" si="28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122</v>
      </c>
      <c r="C28" s="203" t="s">
        <v>161</v>
      </c>
      <c r="D28" s="45" t="s">
        <v>167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143</v>
      </c>
      <c r="C29" s="62" t="s">
        <v>144</v>
      </c>
      <c r="D29" s="178" t="s">
        <v>117</v>
      </c>
      <c r="E29" s="177" t="s">
        <v>121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122</v>
      </c>
      <c r="C30" s="203" t="s">
        <v>161</v>
      </c>
      <c r="D30" s="45" t="s">
        <v>171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177</v>
      </c>
      <c r="C31" s="62" t="s">
        <v>144</v>
      </c>
      <c r="D31" s="166" t="s">
        <v>172</v>
      </c>
      <c r="E31" s="177" t="s">
        <v>173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122</v>
      </c>
      <c r="C32" s="203" t="s">
        <v>161</v>
      </c>
      <c r="D32" s="45" t="s">
        <v>212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268</v>
      </c>
      <c r="C33" s="62" t="s">
        <v>144</v>
      </c>
      <c r="D33" s="166" t="s">
        <v>215</v>
      </c>
      <c r="E33" s="177" t="s">
        <v>216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29" t="s">
        <v>45</v>
      </c>
      <c r="B35" s="329"/>
      <c r="C35" s="329"/>
      <c r="D35" s="329"/>
      <c r="E35" s="329"/>
      <c r="F35" s="329"/>
      <c r="G35" s="329"/>
      <c r="H35" s="207">
        <f>H9+H12+H16+H20+H28+H30+H32+H14</f>
        <v>66680.12</v>
      </c>
      <c r="I35" s="207">
        <f>I9+I12+I16+I20+I28+I30+I32+I14</f>
        <v>0</v>
      </c>
      <c r="J35" s="207">
        <f>J9+J12+J16+J20+J28+J30+J32+J14</f>
        <v>66680.12</v>
      </c>
      <c r="K35" s="208">
        <f t="shared" ref="K35:T35" si="30">SUM(K10:K34)</f>
        <v>0</v>
      </c>
      <c r="L35" s="208">
        <f t="shared" si="30"/>
        <v>66680.12000000001</v>
      </c>
      <c r="M35" s="208">
        <f t="shared" si="30"/>
        <v>58879.180000000008</v>
      </c>
      <c r="N35" s="208">
        <f t="shared" si="30"/>
        <v>7800.94</v>
      </c>
      <c r="O35" s="208">
        <f t="shared" si="30"/>
        <v>2.2136</v>
      </c>
      <c r="P35" s="208">
        <f t="shared" si="30"/>
        <v>1272.0934960000002</v>
      </c>
      <c r="Q35" s="208">
        <f t="shared" si="30"/>
        <v>5384.55</v>
      </c>
      <c r="R35" s="208">
        <f t="shared" si="30"/>
        <v>6656.6434960000006</v>
      </c>
      <c r="S35" s="208">
        <f t="shared" si="30"/>
        <v>357.6</v>
      </c>
      <c r="T35" s="208">
        <f t="shared" si="30"/>
        <v>6299.0434960000011</v>
      </c>
      <c r="U35" s="207">
        <f>U9+U12+U16+U20+U28+U30+U32+U14</f>
        <v>0</v>
      </c>
      <c r="V35" s="207">
        <f>V9+V12+V16+V20+V28+V30+V32+V14</f>
        <v>6299.0434960000002</v>
      </c>
      <c r="W35" s="207">
        <f>W9+W12+W16+W20+W28+W30+W32+W14</f>
        <v>6299.0434960000002</v>
      </c>
      <c r="X35" s="207">
        <f>X9+X12+X16+X20+X28+X30+X32+X14</f>
        <v>60381.076503999997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241</v>
      </c>
      <c r="W45" s="4"/>
      <c r="X45" s="4"/>
    </row>
    <row r="46" spans="1:37" s="69" customFormat="1" x14ac:dyDescent="0.2">
      <c r="D46" s="51" t="s">
        <v>232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234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33.7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138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136</v>
      </c>
      <c r="C10" s="116" t="s">
        <v>144</v>
      </c>
      <c r="D10" s="121" t="s">
        <v>120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125</v>
      </c>
      <c r="C11" s="116" t="s">
        <v>144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137</v>
      </c>
      <c r="C12" s="116" t="s">
        <v>144</v>
      </c>
      <c r="D12" s="121" t="s">
        <v>115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1" t="s">
        <v>45</v>
      </c>
      <c r="B14" s="302"/>
      <c r="C14" s="302"/>
      <c r="D14" s="302"/>
      <c r="E14" s="302"/>
      <c r="F14" s="302"/>
      <c r="G14" s="30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243</v>
      </c>
      <c r="V21" t="s">
        <v>110</v>
      </c>
    </row>
    <row r="22" spans="4:37" x14ac:dyDescent="0.2">
      <c r="D22" s="78" t="s">
        <v>232</v>
      </c>
      <c r="H22" s="4"/>
      <c r="V22" s="78" t="s">
        <v>244</v>
      </c>
    </row>
    <row r="23" spans="4:37" x14ac:dyDescent="0.2">
      <c r="D23" s="51" t="s">
        <v>242</v>
      </c>
      <c r="E23" s="51"/>
      <c r="F23" s="51"/>
      <c r="G23" s="51"/>
      <c r="H23" s="51"/>
      <c r="I23" s="51"/>
      <c r="V23" s="51" t="s">
        <v>245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7"/>
      <c r="J6" s="24" t="s">
        <v>26</v>
      </c>
      <c r="K6" s="25"/>
      <c r="L6" s="318" t="s">
        <v>9</v>
      </c>
      <c r="M6" s="319"/>
      <c r="N6" s="319"/>
      <c r="O6" s="319"/>
      <c r="P6" s="319"/>
      <c r="Q6" s="320"/>
      <c r="R6" s="24" t="s">
        <v>30</v>
      </c>
      <c r="S6" s="24" t="s">
        <v>10</v>
      </c>
      <c r="T6" s="23" t="s">
        <v>54</v>
      </c>
      <c r="U6" s="321" t="s">
        <v>2</v>
      </c>
      <c r="V6" s="32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269</v>
      </c>
      <c r="C10" s="116" t="s">
        <v>144</v>
      </c>
      <c r="D10" s="121" t="s">
        <v>222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270</v>
      </c>
      <c r="C11" s="116" t="s">
        <v>144</v>
      </c>
      <c r="D11" s="121" t="s">
        <v>217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271</v>
      </c>
      <c r="C12" s="116" t="s">
        <v>144</v>
      </c>
      <c r="D12" s="121" t="s">
        <v>221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272</v>
      </c>
      <c r="C13" s="116" t="s">
        <v>144</v>
      </c>
      <c r="D13" s="121" t="s">
        <v>218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293</v>
      </c>
      <c r="C14" s="116" t="s">
        <v>144</v>
      </c>
      <c r="D14" s="121" t="s">
        <v>224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273</v>
      </c>
      <c r="C15" s="116" t="s">
        <v>144</v>
      </c>
      <c r="D15" s="121" t="s">
        <v>219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274</v>
      </c>
      <c r="C16" s="116" t="s">
        <v>144</v>
      </c>
      <c r="D16" s="121" t="s">
        <v>220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275</v>
      </c>
      <c r="C17" s="116" t="s">
        <v>144</v>
      </c>
      <c r="D17" s="121" t="s">
        <v>223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276</v>
      </c>
      <c r="C18" s="116" t="s">
        <v>144</v>
      </c>
      <c r="D18" s="121" t="s">
        <v>225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1" t="s">
        <v>45</v>
      </c>
      <c r="B20" s="302"/>
      <c r="C20" s="302"/>
      <c r="D20" s="302"/>
      <c r="E20" s="302"/>
      <c r="F20" s="302"/>
      <c r="G20" s="303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247</v>
      </c>
    </row>
    <row r="26" spans="1:37" x14ac:dyDescent="0.2">
      <c r="D26" s="78" t="s">
        <v>232</v>
      </c>
      <c r="H26" s="4"/>
    </row>
    <row r="27" spans="1:37" x14ac:dyDescent="0.2">
      <c r="D27" s="51" t="s">
        <v>246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2020-10-02T15:58:31Z</cp:lastPrinted>
  <dcterms:created xsi:type="dcterms:W3CDTF">2000-05-05T04:08:27Z</dcterms:created>
  <dcterms:modified xsi:type="dcterms:W3CDTF">2023-09-14T19:31:47Z</dcterms:modified>
</cp:coreProperties>
</file>