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ABBDEA05-691F-4676-B557-7265B1F188E2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</sheets>
  <externalReferences>
    <externalReference r:id="rId14"/>
    <externalReference r:id="rId15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135" l="1"/>
  <c r="J19" i="135"/>
  <c r="L19" i="135" s="1"/>
  <c r="N19" i="135" s="1"/>
  <c r="P19" i="135" s="1"/>
  <c r="R19" i="135" s="1"/>
  <c r="S19" i="135" s="1"/>
  <c r="H19" i="135"/>
  <c r="J18" i="135"/>
  <c r="H18" i="135"/>
  <c r="J17" i="135"/>
  <c r="H17" i="135"/>
  <c r="J16" i="135"/>
  <c r="H16" i="135"/>
  <c r="L16" i="120"/>
  <c r="N16" i="120" s="1"/>
  <c r="P16" i="120" s="1"/>
  <c r="R16" i="120" s="1"/>
  <c r="J16" i="120"/>
  <c r="V19" i="135" l="1"/>
  <c r="L18" i="135"/>
  <c r="L17" i="135"/>
  <c r="L16" i="135"/>
  <c r="L11" i="133"/>
  <c r="J11" i="133"/>
  <c r="L10" i="133"/>
  <c r="J10" i="133"/>
  <c r="L14" i="133"/>
  <c r="N14" i="133" s="1"/>
  <c r="P14" i="133" s="1"/>
  <c r="R14" i="133" s="1"/>
  <c r="J14" i="133"/>
  <c r="L15" i="133"/>
  <c r="J15" i="133"/>
  <c r="N15" i="133" l="1"/>
  <c r="P15" i="133" s="1"/>
  <c r="R15" i="133" s="1"/>
  <c r="N11" i="133"/>
  <c r="N10" i="133"/>
  <c r="F20" i="135" l="1"/>
  <c r="J12" i="133" l="1"/>
  <c r="J13" i="133"/>
  <c r="L17" i="121" l="1"/>
  <c r="N17" i="121" s="1"/>
  <c r="J17" i="121"/>
  <c r="L15" i="119"/>
  <c r="N15" i="119" s="1"/>
  <c r="P15" i="119" s="1"/>
  <c r="R15" i="119" s="1"/>
  <c r="L15" i="120"/>
  <c r="N15" i="120" s="1"/>
  <c r="P15" i="120" s="1"/>
  <c r="R15" i="120" s="1"/>
  <c r="J15" i="120"/>
  <c r="L19" i="123" l="1"/>
  <c r="N19" i="123" s="1"/>
  <c r="J19" i="123"/>
  <c r="L15" i="123" l="1"/>
  <c r="J15" i="123"/>
  <c r="N15" i="123" l="1"/>
  <c r="I16" i="123"/>
  <c r="O20" i="135" l="1"/>
  <c r="K20" i="135"/>
  <c r="I20" i="135"/>
  <c r="G20" i="135"/>
  <c r="J15" i="135"/>
  <c r="H14" i="135"/>
  <c r="J13" i="135"/>
  <c r="H12" i="135"/>
  <c r="J11" i="135"/>
  <c r="H10" i="135"/>
  <c r="H9" i="135"/>
  <c r="J10" i="135" l="1"/>
  <c r="H13" i="135"/>
  <c r="J9" i="135"/>
  <c r="L9" i="135" s="1"/>
  <c r="J12" i="135"/>
  <c r="H15" i="135"/>
  <c r="L11" i="135"/>
  <c r="H11" i="135"/>
  <c r="L13" i="135"/>
  <c r="J14" i="135"/>
  <c r="L15" i="135"/>
  <c r="J14" i="123"/>
  <c r="G15" i="123"/>
  <c r="I14" i="123"/>
  <c r="H14" i="123"/>
  <c r="L12" i="135" l="1"/>
  <c r="L10" i="135"/>
  <c r="L14" i="135"/>
  <c r="J20" i="135"/>
  <c r="H20" i="135"/>
  <c r="L10" i="123"/>
  <c r="L21" i="123"/>
  <c r="J21" i="123"/>
  <c r="L20" i="135" l="1"/>
  <c r="N10" i="123"/>
  <c r="J10" i="123"/>
  <c r="N21" i="123"/>
  <c r="L13" i="133"/>
  <c r="L14" i="132"/>
  <c r="N13" i="133" l="1"/>
  <c r="P13" i="133" s="1"/>
  <c r="R13" i="133" s="1"/>
  <c r="N14" i="132"/>
  <c r="J14" i="132"/>
  <c r="K18" i="131"/>
  <c r="I18" i="131"/>
  <c r="K17" i="131"/>
  <c r="I17" i="131"/>
  <c r="K16" i="131"/>
  <c r="I16" i="131"/>
  <c r="K15" i="131"/>
  <c r="I15" i="131"/>
  <c r="K14" i="131"/>
  <c r="I14" i="131"/>
  <c r="K13" i="131"/>
  <c r="I13" i="131"/>
  <c r="K12" i="131"/>
  <c r="I12" i="131"/>
  <c r="K11" i="131"/>
  <c r="I11" i="131"/>
  <c r="K10" i="131"/>
  <c r="I10" i="131"/>
  <c r="M18" i="131" l="1"/>
  <c r="M17" i="131"/>
  <c r="M16" i="131"/>
  <c r="M15" i="131"/>
  <c r="M14" i="131"/>
  <c r="M13" i="131"/>
  <c r="M12" i="131"/>
  <c r="M11" i="131"/>
  <c r="M10" i="131"/>
  <c r="L14" i="121" l="1"/>
  <c r="J14" i="121"/>
  <c r="J13" i="123"/>
  <c r="L13" i="123"/>
  <c r="L22" i="120"/>
  <c r="L21" i="120"/>
  <c r="I25" i="120"/>
  <c r="G18" i="120"/>
  <c r="L10" i="132"/>
  <c r="J11" i="132"/>
  <c r="L11" i="132"/>
  <c r="L12" i="132"/>
  <c r="J18" i="120" l="1"/>
  <c r="L18" i="120"/>
  <c r="N14" i="121"/>
  <c r="N13" i="123"/>
  <c r="N22" i="120"/>
  <c r="J22" i="120"/>
  <c r="N21" i="120"/>
  <c r="J21" i="120"/>
  <c r="N10" i="132"/>
  <c r="J10" i="132"/>
  <c r="N11" i="132"/>
  <c r="N12" i="132"/>
  <c r="J12" i="132"/>
  <c r="L12" i="134"/>
  <c r="N12" i="134" s="1"/>
  <c r="P12" i="134" s="1"/>
  <c r="R12" i="134" s="1"/>
  <c r="T12" i="134" s="1"/>
  <c r="J12" i="134"/>
  <c r="N18" i="120" l="1"/>
  <c r="V12" i="134"/>
  <c r="W12" i="134" s="1"/>
  <c r="U12" i="134"/>
  <c r="X12" i="134" l="1"/>
  <c r="L27" i="123" l="1"/>
  <c r="N27" i="123" s="1"/>
  <c r="P27" i="123" s="1"/>
  <c r="R27" i="123" s="1"/>
  <c r="J27" i="123"/>
  <c r="I9" i="121"/>
  <c r="I21" i="119"/>
  <c r="H21" i="119"/>
  <c r="I20" i="123" l="1"/>
  <c r="J24" i="121"/>
  <c r="L14" i="120"/>
  <c r="N14" i="120" s="1"/>
  <c r="P14" i="120" s="1"/>
  <c r="R14" i="120" s="1"/>
  <c r="J14" i="120"/>
  <c r="I29" i="119"/>
  <c r="L24" i="121" l="1"/>
  <c r="N24" i="121" s="1"/>
  <c r="L10" i="134"/>
  <c r="N10" i="134" l="1"/>
  <c r="P10" i="134" s="1"/>
  <c r="R10" i="134" s="1"/>
  <c r="J10" i="134"/>
  <c r="L33" i="123" l="1"/>
  <c r="N33" i="123" s="1"/>
  <c r="P33" i="123" s="1"/>
  <c r="R33" i="123" s="1"/>
  <c r="T33" i="123" s="1"/>
  <c r="V33" i="123" l="1"/>
  <c r="W33" i="123" s="1"/>
  <c r="U33" i="123"/>
  <c r="J33" i="123"/>
  <c r="X33" i="123" l="1"/>
  <c r="L19" i="121"/>
  <c r="N19" i="121" l="1"/>
  <c r="J19" i="121"/>
  <c r="L24" i="120"/>
  <c r="N24" i="120" s="1"/>
  <c r="P24" i="120" s="1"/>
  <c r="R24" i="120" s="1"/>
  <c r="J24" i="120"/>
  <c r="L18" i="123"/>
  <c r="N18" i="123" s="1"/>
  <c r="J18" i="123"/>
  <c r="L10" i="121" l="1"/>
  <c r="N10" i="121" s="1"/>
  <c r="J10" i="121"/>
  <c r="J9" i="134" l="1"/>
  <c r="I9" i="134"/>
  <c r="H9" i="134"/>
  <c r="J11" i="134"/>
  <c r="I11" i="134"/>
  <c r="H11" i="134"/>
  <c r="L14" i="134"/>
  <c r="N14" i="134" s="1"/>
  <c r="P14" i="134" s="1"/>
  <c r="R14" i="134" s="1"/>
  <c r="T14" i="134" s="1"/>
  <c r="J14" i="134"/>
  <c r="J13" i="134" s="1"/>
  <c r="J16" i="134" s="1"/>
  <c r="G14" i="134"/>
  <c r="I13" i="134"/>
  <c r="H13" i="134"/>
  <c r="G12" i="134"/>
  <c r="G10" i="134"/>
  <c r="Q16" i="134"/>
  <c r="M16" i="134"/>
  <c r="K16" i="134"/>
  <c r="H16" i="134" l="1"/>
  <c r="I16" i="134"/>
  <c r="V14" i="134"/>
  <c r="U14" i="134"/>
  <c r="U13" i="134" s="1"/>
  <c r="L16" i="134"/>
  <c r="X11" i="134" l="1"/>
  <c r="U11" i="134"/>
  <c r="W11" i="134"/>
  <c r="V11" i="134"/>
  <c r="V13" i="134"/>
  <c r="W14" i="134"/>
  <c r="X14" i="134" s="1"/>
  <c r="O16" i="134"/>
  <c r="N16" i="134"/>
  <c r="W13" i="134" l="1"/>
  <c r="X13" i="134"/>
  <c r="I28" i="121"/>
  <c r="I25" i="121"/>
  <c r="P16" i="134" l="1"/>
  <c r="R16" i="134"/>
  <c r="L10" i="120" l="1"/>
  <c r="N10" i="120" s="1"/>
  <c r="P10" i="120" s="1"/>
  <c r="R10" i="120" s="1"/>
  <c r="T10" i="120" s="1"/>
  <c r="V10" i="120" s="1"/>
  <c r="W10" i="120" s="1"/>
  <c r="J10" i="120"/>
  <c r="G10" i="120"/>
  <c r="G11" i="121"/>
  <c r="L13" i="121"/>
  <c r="J13" i="121"/>
  <c r="L27" i="121"/>
  <c r="N27" i="121" s="1"/>
  <c r="P27" i="121" s="1"/>
  <c r="R27" i="121" s="1"/>
  <c r="J27" i="121"/>
  <c r="L20" i="120"/>
  <c r="L23" i="120"/>
  <c r="N23" i="120" s="1"/>
  <c r="P23" i="120" s="1"/>
  <c r="R23" i="120" s="1"/>
  <c r="J23" i="120"/>
  <c r="G23" i="120"/>
  <c r="L19" i="120"/>
  <c r="U10" i="120" l="1"/>
  <c r="X10" i="120" s="1"/>
  <c r="J11" i="121"/>
  <c r="L11" i="121"/>
  <c r="G19" i="120"/>
  <c r="J19" i="120"/>
  <c r="N13" i="121"/>
  <c r="N20" i="120"/>
  <c r="J20" i="120"/>
  <c r="N19" i="120"/>
  <c r="N11" i="121" l="1"/>
  <c r="L17" i="119" l="1"/>
  <c r="J17" i="119"/>
  <c r="N17" i="119" l="1"/>
  <c r="L13" i="119"/>
  <c r="N13" i="119" l="1"/>
  <c r="P13" i="119" s="1"/>
  <c r="R13" i="119" s="1"/>
  <c r="J13" i="119"/>
  <c r="L28" i="119"/>
  <c r="L27" i="119"/>
  <c r="N28" i="119" l="1"/>
  <c r="J28" i="119"/>
  <c r="N27" i="119"/>
  <c r="J27" i="119"/>
  <c r="H28" i="121"/>
  <c r="H25" i="121"/>
  <c r="H20" i="123"/>
  <c r="H16" i="123"/>
  <c r="H29" i="119"/>
  <c r="H9" i="121" l="1"/>
  <c r="L12" i="121"/>
  <c r="N12" i="121" s="1"/>
  <c r="J12" i="121"/>
  <c r="L26" i="121" l="1"/>
  <c r="N26" i="121" s="1"/>
  <c r="P26" i="121" s="1"/>
  <c r="R26" i="121" s="1"/>
  <c r="J26" i="121"/>
  <c r="J25" i="121" s="1"/>
  <c r="L17" i="120" l="1"/>
  <c r="G17" i="120"/>
  <c r="N17" i="120" l="1"/>
  <c r="J17" i="120"/>
  <c r="L10" i="124"/>
  <c r="N10" i="124" s="1"/>
  <c r="P10" i="124" s="1"/>
  <c r="R10" i="124" s="1"/>
  <c r="J10" i="124"/>
  <c r="J12" i="123"/>
  <c r="G13" i="123"/>
  <c r="I12" i="123"/>
  <c r="H12" i="123"/>
  <c r="I16" i="119" l="1"/>
  <c r="H16" i="119"/>
  <c r="L29" i="123"/>
  <c r="L18" i="119"/>
  <c r="J18" i="119"/>
  <c r="N29" i="123" l="1"/>
  <c r="P29" i="123" s="1"/>
  <c r="R29" i="123" s="1"/>
  <c r="J29" i="123"/>
  <c r="N18" i="119"/>
  <c r="P18" i="119" s="1"/>
  <c r="R18" i="119" s="1"/>
  <c r="T18" i="119" s="1"/>
  <c r="V18" i="119" l="1"/>
  <c r="W18" i="119" s="1"/>
  <c r="U18" i="119"/>
  <c r="X18" i="119" l="1"/>
  <c r="J17" i="123"/>
  <c r="J16" i="123" l="1"/>
  <c r="L13" i="132"/>
  <c r="N13" i="132" s="1"/>
  <c r="J13" i="132"/>
  <c r="G28" i="119"/>
  <c r="L22" i="123"/>
  <c r="N22" i="123" s="1"/>
  <c r="P22" i="123" s="1"/>
  <c r="R22" i="123" s="1"/>
  <c r="J22" i="123" l="1"/>
  <c r="J20" i="123" s="1"/>
  <c r="L17" i="123" l="1"/>
  <c r="N17" i="123" s="1"/>
  <c r="P17" i="123" s="1"/>
  <c r="R17" i="123" s="1"/>
  <c r="L18" i="121"/>
  <c r="J18" i="121"/>
  <c r="N18" i="121" l="1"/>
  <c r="J30" i="119" l="1"/>
  <c r="J29" i="119" s="1"/>
  <c r="G33" i="123" l="1"/>
  <c r="I32" i="123"/>
  <c r="H32" i="123"/>
  <c r="G14" i="133" l="1"/>
  <c r="G12" i="133"/>
  <c r="Q16" i="133"/>
  <c r="M16" i="133"/>
  <c r="K16" i="133"/>
  <c r="I16" i="133"/>
  <c r="L12" i="133"/>
  <c r="U32" i="123" l="1"/>
  <c r="J32" i="123"/>
  <c r="G15" i="133"/>
  <c r="G10" i="133"/>
  <c r="H16" i="133"/>
  <c r="N12" i="133"/>
  <c r="N16" i="133" l="1"/>
  <c r="V32" i="123"/>
  <c r="P12" i="133"/>
  <c r="R12" i="133" s="1"/>
  <c r="J16" i="133"/>
  <c r="L16" i="133" l="1"/>
  <c r="W32" i="123"/>
  <c r="X32" i="123"/>
  <c r="L31" i="123" l="1"/>
  <c r="L31" i="121"/>
  <c r="L29" i="121"/>
  <c r="J13" i="120"/>
  <c r="J29" i="121" l="1"/>
  <c r="J28" i="121" s="1"/>
  <c r="L13" i="120"/>
  <c r="J31" i="121"/>
  <c r="N31" i="121"/>
  <c r="N29" i="121"/>
  <c r="J15" i="121" l="1"/>
  <c r="L15" i="121"/>
  <c r="J31" i="123"/>
  <c r="N15" i="121" l="1"/>
  <c r="N31" i="123"/>
  <c r="P31" i="123" l="1"/>
  <c r="R31" i="123" s="1"/>
  <c r="G31" i="123" l="1"/>
  <c r="I30" i="123"/>
  <c r="H30" i="123"/>
  <c r="J30" i="123" l="1"/>
  <c r="J11" i="118" l="1"/>
  <c r="I14" i="118" l="1"/>
  <c r="I8" i="119" l="1"/>
  <c r="H8" i="119"/>
  <c r="J28" i="123" l="1"/>
  <c r="I28" i="123"/>
  <c r="H28" i="123"/>
  <c r="I9" i="123"/>
  <c r="H9" i="123"/>
  <c r="G22" i="123"/>
  <c r="I30" i="121"/>
  <c r="H30" i="121"/>
  <c r="H35" i="123" l="1"/>
  <c r="I35" i="123"/>
  <c r="H33" i="121"/>
  <c r="I33" i="121"/>
  <c r="G29" i="121" l="1"/>
  <c r="G18" i="121" l="1"/>
  <c r="L16" i="121"/>
  <c r="J16" i="121"/>
  <c r="J9" i="121" s="1"/>
  <c r="G16" i="121"/>
  <c r="G12" i="121"/>
  <c r="G10" i="121"/>
  <c r="N16" i="121" l="1"/>
  <c r="P16" i="121" s="1"/>
  <c r="R16" i="121" s="1"/>
  <c r="I19" i="119"/>
  <c r="H19" i="119"/>
  <c r="I14" i="119"/>
  <c r="H14" i="119"/>
  <c r="I12" i="119"/>
  <c r="H12" i="119"/>
  <c r="L11" i="119"/>
  <c r="J11" i="119"/>
  <c r="G11" i="119"/>
  <c r="H32" i="119" l="1"/>
  <c r="I32" i="119"/>
  <c r="N11" i="119"/>
  <c r="Q16" i="132" l="1"/>
  <c r="M16" i="132"/>
  <c r="K16" i="132"/>
  <c r="I16" i="132"/>
  <c r="G10" i="132"/>
  <c r="H16" i="132" l="1"/>
  <c r="J16" i="132" l="1"/>
  <c r="S16" i="132"/>
  <c r="N16" i="132"/>
  <c r="L16" i="132"/>
  <c r="J16" i="119" l="1"/>
  <c r="G13" i="119" l="1"/>
  <c r="J12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1" i="121"/>
  <c r="G26" i="121"/>
  <c r="G13" i="120"/>
  <c r="G12" i="120"/>
  <c r="G11" i="120"/>
  <c r="G10" i="127"/>
  <c r="G27" i="119"/>
  <c r="G22" i="119"/>
  <c r="G20" i="119"/>
  <c r="G17" i="119"/>
  <c r="G15" i="119"/>
  <c r="G10" i="119"/>
  <c r="G9" i="119"/>
  <c r="L11" i="123" l="1"/>
  <c r="J11" i="123"/>
  <c r="N11" i="123" l="1"/>
  <c r="L11" i="118"/>
  <c r="N11" i="118" l="1"/>
  <c r="J20" i="131"/>
  <c r="H20" i="131"/>
  <c r="K20" i="131" l="1"/>
  <c r="I20" i="131"/>
  <c r="L20" i="131" l="1"/>
  <c r="P20" i="131"/>
  <c r="M20" i="131" l="1"/>
  <c r="J12" i="118" l="1"/>
  <c r="L12" i="118" l="1"/>
  <c r="K12" i="127" l="1"/>
  <c r="I12" i="127"/>
  <c r="H12" i="127"/>
  <c r="L10" i="127"/>
  <c r="J10" i="127"/>
  <c r="J12" i="127" s="1"/>
  <c r="K12" i="124"/>
  <c r="I12" i="124"/>
  <c r="H12" i="124"/>
  <c r="J12" i="124"/>
  <c r="J10" i="118"/>
  <c r="J14" i="118" s="1"/>
  <c r="L10" i="118"/>
  <c r="K14" i="118"/>
  <c r="K35" i="123"/>
  <c r="J9" i="123"/>
  <c r="J35" i="123" s="1"/>
  <c r="J30" i="121"/>
  <c r="K33" i="121"/>
  <c r="K25" i="120"/>
  <c r="L12" i="120"/>
  <c r="J12" i="120"/>
  <c r="L11" i="120"/>
  <c r="J11" i="120"/>
  <c r="J33" i="121" l="1"/>
  <c r="L12" i="127"/>
  <c r="L12" i="124"/>
  <c r="H14" i="118"/>
  <c r="L35" i="123"/>
  <c r="L33" i="121"/>
  <c r="L14" i="118" l="1"/>
  <c r="K32" i="119" l="1"/>
  <c r="L30" i="119"/>
  <c r="L22" i="119"/>
  <c r="J22" i="119"/>
  <c r="J21" i="119" s="1"/>
  <c r="J15" i="119"/>
  <c r="L9" i="119"/>
  <c r="J9" i="119"/>
  <c r="J14" i="119" l="1"/>
  <c r="L10" i="119"/>
  <c r="J10" i="119"/>
  <c r="J8" i="119" s="1"/>
  <c r="L20" i="119"/>
  <c r="J20" i="119"/>
  <c r="J19" i="119" s="1"/>
  <c r="J32" i="119" l="1"/>
  <c r="L32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6" i="135" l="1"/>
  <c r="Q17" i="135"/>
  <c r="Q18" i="135"/>
  <c r="S16" i="120"/>
  <c r="T16" i="120" s="1"/>
  <c r="S14" i="133"/>
  <c r="T14" i="133" s="1"/>
  <c r="S15" i="133"/>
  <c r="T15" i="133" s="1"/>
  <c r="S11" i="133"/>
  <c r="S10" i="133"/>
  <c r="S15" i="119"/>
  <c r="T15" i="119" s="1"/>
  <c r="S15" i="120"/>
  <c r="T15" i="120" s="1"/>
  <c r="S15" i="123"/>
  <c r="Q11" i="135"/>
  <c r="Q15" i="135"/>
  <c r="Q13" i="135"/>
  <c r="Q10" i="135"/>
  <c r="Q14" i="135"/>
  <c r="Q9" i="135"/>
  <c r="Q12" i="135"/>
  <c r="S10" i="123"/>
  <c r="S21" i="123"/>
  <c r="S13" i="133"/>
  <c r="T13" i="133" s="1"/>
  <c r="R11" i="131"/>
  <c r="R17" i="131"/>
  <c r="R15" i="131"/>
  <c r="R13" i="131"/>
  <c r="R18" i="131"/>
  <c r="R10" i="131"/>
  <c r="R16" i="131"/>
  <c r="R14" i="131"/>
  <c r="R12" i="131"/>
  <c r="S22" i="120"/>
  <c r="S13" i="123"/>
  <c r="S21" i="120"/>
  <c r="S18" i="120"/>
  <c r="S27" i="123"/>
  <c r="T27" i="123" s="1"/>
  <c r="S14" i="120"/>
  <c r="T14" i="120" s="1"/>
  <c r="S10" i="134"/>
  <c r="S24" i="120"/>
  <c r="T24" i="120" s="1"/>
  <c r="S20" i="120"/>
  <c r="S19" i="120"/>
  <c r="S27" i="121"/>
  <c r="T27" i="121" s="1"/>
  <c r="S23" i="120"/>
  <c r="T23" i="120" s="1"/>
  <c r="S17" i="119"/>
  <c r="S13" i="119"/>
  <c r="T13" i="119" s="1"/>
  <c r="S26" i="121"/>
  <c r="T26" i="121" s="1"/>
  <c r="S17" i="120"/>
  <c r="S10" i="124"/>
  <c r="T10" i="124" s="1"/>
  <c r="S29" i="123"/>
  <c r="T29" i="123" s="1"/>
  <c r="S22" i="123"/>
  <c r="T22" i="123" s="1"/>
  <c r="S17" i="123"/>
  <c r="T17" i="123" s="1"/>
  <c r="M18" i="135"/>
  <c r="N18" i="135" s="1"/>
  <c r="P18" i="135" s="1"/>
  <c r="M17" i="135"/>
  <c r="N17" i="135" s="1"/>
  <c r="P17" i="135" s="1"/>
  <c r="M16" i="135"/>
  <c r="N16" i="135" s="1"/>
  <c r="P16" i="135" s="1"/>
  <c r="R16" i="135" s="1"/>
  <c r="O10" i="133"/>
  <c r="P10" i="133" s="1"/>
  <c r="R10" i="133" s="1"/>
  <c r="O11" i="133"/>
  <c r="P11" i="133" s="1"/>
  <c r="R11" i="133" s="1"/>
  <c r="T11" i="133" s="1"/>
  <c r="O17" i="121"/>
  <c r="P17" i="121" s="1"/>
  <c r="R17" i="121" s="1"/>
  <c r="T17" i="121" s="1"/>
  <c r="O19" i="123"/>
  <c r="P19" i="123" s="1"/>
  <c r="R19" i="123" s="1"/>
  <c r="T19" i="123" s="1"/>
  <c r="O15" i="123"/>
  <c r="P15" i="123" s="1"/>
  <c r="R15" i="123" s="1"/>
  <c r="M11" i="135"/>
  <c r="N11" i="135" s="1"/>
  <c r="P11" i="135" s="1"/>
  <c r="M15" i="135"/>
  <c r="N15" i="135" s="1"/>
  <c r="P15" i="135" s="1"/>
  <c r="M13" i="135"/>
  <c r="N13" i="135" s="1"/>
  <c r="P13" i="135" s="1"/>
  <c r="M12" i="135"/>
  <c r="N12" i="135" s="1"/>
  <c r="P12" i="135" s="1"/>
  <c r="R12" i="135" s="1"/>
  <c r="M10" i="135"/>
  <c r="N10" i="135" s="1"/>
  <c r="P10" i="135" s="1"/>
  <c r="R10" i="135" s="1"/>
  <c r="M9" i="135"/>
  <c r="M14" i="135"/>
  <c r="N14" i="135" s="1"/>
  <c r="P14" i="135" s="1"/>
  <c r="O10" i="123"/>
  <c r="P10" i="123" s="1"/>
  <c r="R10" i="123" s="1"/>
  <c r="O21" i="123"/>
  <c r="P21" i="123" s="1"/>
  <c r="R21" i="123" s="1"/>
  <c r="O14" i="132"/>
  <c r="P14" i="132" s="1"/>
  <c r="R14" i="132" s="1"/>
  <c r="T14" i="132" s="1"/>
  <c r="N15" i="131"/>
  <c r="O15" i="131" s="1"/>
  <c r="Q15" i="131" s="1"/>
  <c r="N14" i="131"/>
  <c r="O14" i="131" s="1"/>
  <c r="Q14" i="131" s="1"/>
  <c r="S14" i="131" s="1"/>
  <c r="N17" i="131"/>
  <c r="O17" i="131" s="1"/>
  <c r="Q17" i="131" s="1"/>
  <c r="S17" i="131" s="1"/>
  <c r="N16" i="131"/>
  <c r="O16" i="131" s="1"/>
  <c r="Q16" i="131" s="1"/>
  <c r="S16" i="131" s="1"/>
  <c r="N11" i="131"/>
  <c r="O11" i="131" s="1"/>
  <c r="Q11" i="131" s="1"/>
  <c r="N10" i="131"/>
  <c r="O10" i="131" s="1"/>
  <c r="Q10" i="131" s="1"/>
  <c r="N18" i="131"/>
  <c r="O18" i="131" s="1"/>
  <c r="Q18" i="131" s="1"/>
  <c r="N13" i="131"/>
  <c r="O13" i="131" s="1"/>
  <c r="Q13" i="131" s="1"/>
  <c r="N12" i="131"/>
  <c r="O12" i="131" s="1"/>
  <c r="Q12" i="131" s="1"/>
  <c r="O22" i="120"/>
  <c r="P22" i="120" s="1"/>
  <c r="R22" i="120" s="1"/>
  <c r="O21" i="120"/>
  <c r="P21" i="120" s="1"/>
  <c r="R21" i="120" s="1"/>
  <c r="T21" i="120" s="1"/>
  <c r="O11" i="132"/>
  <c r="P11" i="132" s="1"/>
  <c r="R11" i="132" s="1"/>
  <c r="T11" i="132" s="1"/>
  <c r="O14" i="121"/>
  <c r="P14" i="121" s="1"/>
  <c r="R14" i="121" s="1"/>
  <c r="T14" i="121" s="1"/>
  <c r="O13" i="123"/>
  <c r="P13" i="123" s="1"/>
  <c r="R13" i="123" s="1"/>
  <c r="O10" i="132"/>
  <c r="P10" i="132" s="1"/>
  <c r="R10" i="132" s="1"/>
  <c r="T10" i="132" s="1"/>
  <c r="O12" i="132"/>
  <c r="P12" i="132" s="1"/>
  <c r="R12" i="132" s="1"/>
  <c r="T12" i="132" s="1"/>
  <c r="O18" i="120"/>
  <c r="P18" i="120" s="1"/>
  <c r="R18" i="120" s="1"/>
  <c r="O24" i="121"/>
  <c r="P24" i="121" s="1"/>
  <c r="R24" i="121" s="1"/>
  <c r="T24" i="121" s="1"/>
  <c r="O19" i="121"/>
  <c r="P19" i="121" s="1"/>
  <c r="R19" i="121" s="1"/>
  <c r="T19" i="121" s="1"/>
  <c r="O18" i="123"/>
  <c r="P18" i="123" s="1"/>
  <c r="R18" i="123" s="1"/>
  <c r="T18" i="123" s="1"/>
  <c r="O10" i="121"/>
  <c r="P10" i="121" s="1"/>
  <c r="R10" i="121" s="1"/>
  <c r="T10" i="121" s="1"/>
  <c r="O19" i="120"/>
  <c r="P19" i="120" s="1"/>
  <c r="R19" i="120" s="1"/>
  <c r="O13" i="121"/>
  <c r="P13" i="121" s="1"/>
  <c r="R13" i="121" s="1"/>
  <c r="T13" i="121" s="1"/>
  <c r="O20" i="120"/>
  <c r="P20" i="120" s="1"/>
  <c r="R20" i="120" s="1"/>
  <c r="O11" i="121"/>
  <c r="P11" i="121" s="1"/>
  <c r="R11" i="121" s="1"/>
  <c r="T11" i="121" s="1"/>
  <c r="O17" i="119"/>
  <c r="P17" i="119" s="1"/>
  <c r="R17" i="119" s="1"/>
  <c r="O27" i="119"/>
  <c r="P27" i="119" s="1"/>
  <c r="R27" i="119" s="1"/>
  <c r="T27" i="119" s="1"/>
  <c r="O28" i="119"/>
  <c r="P28" i="119" s="1"/>
  <c r="R28" i="119" s="1"/>
  <c r="T28" i="119" s="1"/>
  <c r="O12" i="121"/>
  <c r="P12" i="121" s="1"/>
  <c r="R12" i="121" s="1"/>
  <c r="T12" i="121" s="1"/>
  <c r="O17" i="120"/>
  <c r="P17" i="120" s="1"/>
  <c r="R17" i="120" s="1"/>
  <c r="T17" i="120" s="1"/>
  <c r="O13" i="132"/>
  <c r="P13" i="132" s="1"/>
  <c r="R13" i="132" s="1"/>
  <c r="T13" i="132" s="1"/>
  <c r="O18" i="121"/>
  <c r="P18" i="121" s="1"/>
  <c r="R18" i="121" s="1"/>
  <c r="T18" i="121" s="1"/>
  <c r="S12" i="133"/>
  <c r="T12" i="133" s="1"/>
  <c r="V12" i="133" s="1"/>
  <c r="S31" i="123"/>
  <c r="T31" i="123" s="1"/>
  <c r="O31" i="121"/>
  <c r="P31" i="121" s="1"/>
  <c r="R31" i="121" s="1"/>
  <c r="O29" i="121"/>
  <c r="P29" i="121" s="1"/>
  <c r="R29" i="121" s="1"/>
  <c r="T29" i="121" s="1"/>
  <c r="O15" i="121"/>
  <c r="P15" i="121" s="1"/>
  <c r="R15" i="121" s="1"/>
  <c r="T15" i="121" s="1"/>
  <c r="S16" i="121"/>
  <c r="T16" i="121" s="1"/>
  <c r="S11" i="123"/>
  <c r="S11" i="118"/>
  <c r="P11" i="119"/>
  <c r="R11" i="119" s="1"/>
  <c r="T11" i="119" s="1"/>
  <c r="P11" i="123"/>
  <c r="R11" i="123" s="1"/>
  <c r="O11" i="118"/>
  <c r="P11" i="118" s="1"/>
  <c r="R11" i="118" s="1"/>
  <c r="N12" i="118"/>
  <c r="O12" i="124"/>
  <c r="O11" i="120"/>
  <c r="Q12" i="127"/>
  <c r="Q12" i="124"/>
  <c r="N12" i="120"/>
  <c r="N13" i="120"/>
  <c r="O12" i="127"/>
  <c r="N11" i="120"/>
  <c r="O12" i="120"/>
  <c r="O30" i="119"/>
  <c r="N22" i="119"/>
  <c r="N30" i="119"/>
  <c r="O22" i="119"/>
  <c r="N20" i="119"/>
  <c r="O20" i="119"/>
  <c r="N10" i="119"/>
  <c r="S13" i="120"/>
  <c r="S11" i="120"/>
  <c r="S10" i="127"/>
  <c r="S12" i="127" s="1"/>
  <c r="S10" i="118"/>
  <c r="S12" i="120"/>
  <c r="S9" i="119"/>
  <c r="S10" i="119"/>
  <c r="T19" i="120" l="1"/>
  <c r="T21" i="123"/>
  <c r="T13" i="123"/>
  <c r="V13" i="123" s="1"/>
  <c r="S15" i="131"/>
  <c r="T10" i="133"/>
  <c r="R11" i="135"/>
  <c r="R18" i="135"/>
  <c r="R14" i="135"/>
  <c r="S14" i="135" s="1"/>
  <c r="U13" i="132"/>
  <c r="V13" i="132"/>
  <c r="W13" i="132" s="1"/>
  <c r="U27" i="119"/>
  <c r="V27" i="119"/>
  <c r="W27" i="119" s="1"/>
  <c r="V13" i="121"/>
  <c r="W13" i="121" s="1"/>
  <c r="U13" i="121"/>
  <c r="V19" i="121"/>
  <c r="W19" i="121" s="1"/>
  <c r="U19" i="121"/>
  <c r="X19" i="121" s="1"/>
  <c r="U10" i="132"/>
  <c r="V10" i="132"/>
  <c r="W10" i="132" s="1"/>
  <c r="U21" i="120"/>
  <c r="V21" i="120"/>
  <c r="W21" i="120" s="1"/>
  <c r="U17" i="131"/>
  <c r="V17" i="131" s="1"/>
  <c r="T17" i="131"/>
  <c r="W17" i="131" s="1"/>
  <c r="V21" i="123"/>
  <c r="U21" i="123"/>
  <c r="S10" i="135"/>
  <c r="T10" i="135"/>
  <c r="U10" i="135" s="1"/>
  <c r="T11" i="135"/>
  <c r="U11" i="135" s="1"/>
  <c r="S11" i="135"/>
  <c r="V11" i="135" s="1"/>
  <c r="U11" i="133"/>
  <c r="V11" i="133"/>
  <c r="W11" i="133" s="1"/>
  <c r="S18" i="135"/>
  <c r="T18" i="135"/>
  <c r="U18" i="135" s="1"/>
  <c r="U10" i="124"/>
  <c r="V10" i="124"/>
  <c r="W10" i="124" s="1"/>
  <c r="U27" i="123"/>
  <c r="V27" i="123"/>
  <c r="W27" i="123" s="1"/>
  <c r="S12" i="124"/>
  <c r="V17" i="120"/>
  <c r="W17" i="120" s="1"/>
  <c r="U17" i="120"/>
  <c r="T17" i="119"/>
  <c r="V19" i="120"/>
  <c r="W19" i="120" s="1"/>
  <c r="U19" i="120"/>
  <c r="X19" i="120" s="1"/>
  <c r="V24" i="121"/>
  <c r="W24" i="121" s="1"/>
  <c r="U24" i="121"/>
  <c r="X24" i="121" s="1"/>
  <c r="T22" i="120"/>
  <c r="S10" i="131"/>
  <c r="U14" i="131"/>
  <c r="V14" i="131" s="1"/>
  <c r="T14" i="131"/>
  <c r="W14" i="131" s="1"/>
  <c r="T10" i="123"/>
  <c r="S12" i="135"/>
  <c r="T12" i="135"/>
  <c r="U12" i="135" s="1"/>
  <c r="V12" i="135" s="1"/>
  <c r="T15" i="123"/>
  <c r="V10" i="133"/>
  <c r="W10" i="133" s="1"/>
  <c r="U10" i="133"/>
  <c r="X10" i="133" s="1"/>
  <c r="U17" i="123"/>
  <c r="V17" i="123"/>
  <c r="U23" i="120"/>
  <c r="V23" i="120"/>
  <c r="W23" i="120" s="1"/>
  <c r="U24" i="120"/>
  <c r="V24" i="120"/>
  <c r="W24" i="120" s="1"/>
  <c r="S18" i="131"/>
  <c r="U15" i="120"/>
  <c r="V15" i="120"/>
  <c r="W15" i="120" s="1"/>
  <c r="V15" i="133"/>
  <c r="W15" i="133" s="1"/>
  <c r="U15" i="133"/>
  <c r="V12" i="121"/>
  <c r="W12" i="121" s="1"/>
  <c r="U12" i="121"/>
  <c r="V11" i="121"/>
  <c r="W11" i="121" s="1"/>
  <c r="U11" i="121"/>
  <c r="V10" i="121"/>
  <c r="W10" i="121" s="1"/>
  <c r="U10" i="121"/>
  <c r="T18" i="120"/>
  <c r="V14" i="121"/>
  <c r="W14" i="121" s="1"/>
  <c r="U14" i="121"/>
  <c r="X14" i="121" s="1"/>
  <c r="S12" i="131"/>
  <c r="S11" i="131"/>
  <c r="T15" i="131"/>
  <c r="U15" i="131"/>
  <c r="V15" i="131" s="1"/>
  <c r="R13" i="135"/>
  <c r="V19" i="123"/>
  <c r="W19" i="123" s="1"/>
  <c r="U19" i="123"/>
  <c r="X19" i="123" s="1"/>
  <c r="S16" i="135"/>
  <c r="T16" i="135"/>
  <c r="U16" i="135" s="1"/>
  <c r="U22" i="123"/>
  <c r="V22" i="123"/>
  <c r="W22" i="123" s="1"/>
  <c r="U26" i="121"/>
  <c r="V26" i="121"/>
  <c r="V27" i="121"/>
  <c r="W27" i="121" s="1"/>
  <c r="U27" i="121"/>
  <c r="X27" i="121" s="1"/>
  <c r="T10" i="134"/>
  <c r="S16" i="134"/>
  <c r="V13" i="133"/>
  <c r="W13" i="133" s="1"/>
  <c r="U13" i="133"/>
  <c r="Q20" i="135"/>
  <c r="U15" i="119"/>
  <c r="V15" i="119"/>
  <c r="W15" i="119" s="1"/>
  <c r="U14" i="133"/>
  <c r="V14" i="133"/>
  <c r="W14" i="133" s="1"/>
  <c r="V18" i="121"/>
  <c r="W18" i="121" s="1"/>
  <c r="U18" i="121"/>
  <c r="X18" i="121" s="1"/>
  <c r="V28" i="119"/>
  <c r="W28" i="119" s="1"/>
  <c r="U28" i="119"/>
  <c r="T20" i="120"/>
  <c r="V18" i="123"/>
  <c r="W18" i="123" s="1"/>
  <c r="U18" i="123"/>
  <c r="X18" i="123" s="1"/>
  <c r="U12" i="132"/>
  <c r="V12" i="132"/>
  <c r="W12" i="132" s="1"/>
  <c r="V11" i="132"/>
  <c r="W11" i="132" s="1"/>
  <c r="U11" i="132"/>
  <c r="S13" i="131"/>
  <c r="U16" i="131"/>
  <c r="V16" i="131" s="1"/>
  <c r="T16" i="131"/>
  <c r="W16" i="131" s="1"/>
  <c r="V14" i="132"/>
  <c r="W14" i="132" s="1"/>
  <c r="U14" i="132"/>
  <c r="X14" i="132" s="1"/>
  <c r="N9" i="135"/>
  <c r="M20" i="135"/>
  <c r="R15" i="135"/>
  <c r="V17" i="121"/>
  <c r="W17" i="121" s="1"/>
  <c r="U17" i="121"/>
  <c r="R17" i="135"/>
  <c r="V29" i="123"/>
  <c r="W29" i="123" s="1"/>
  <c r="U29" i="123"/>
  <c r="U13" i="119"/>
  <c r="V13" i="119"/>
  <c r="W13" i="119" s="1"/>
  <c r="V14" i="120"/>
  <c r="W14" i="120" s="1"/>
  <c r="U14" i="120"/>
  <c r="V16" i="120"/>
  <c r="W16" i="120" s="1"/>
  <c r="U16" i="120"/>
  <c r="X16" i="120" s="1"/>
  <c r="S16" i="133"/>
  <c r="V31" i="123"/>
  <c r="U31" i="123"/>
  <c r="T11" i="118"/>
  <c r="U11" i="118" s="1"/>
  <c r="O16" i="133"/>
  <c r="W12" i="133"/>
  <c r="U12" i="133"/>
  <c r="T11" i="123"/>
  <c r="U11" i="123" s="1"/>
  <c r="U15" i="121"/>
  <c r="V15" i="121"/>
  <c r="O16" i="132"/>
  <c r="W11" i="119"/>
  <c r="U11" i="119"/>
  <c r="R20" i="131"/>
  <c r="U16" i="121"/>
  <c r="V16" i="121"/>
  <c r="W16" i="121" s="1"/>
  <c r="N20" i="131"/>
  <c r="V29" i="121"/>
  <c r="V28" i="121" s="1"/>
  <c r="U29" i="121"/>
  <c r="U28" i="121" s="1"/>
  <c r="P30" i="119"/>
  <c r="R30" i="119" s="1"/>
  <c r="T30" i="119" s="1"/>
  <c r="P13" i="120"/>
  <c r="R13" i="120" s="1"/>
  <c r="P12" i="118"/>
  <c r="R12" i="118" s="1"/>
  <c r="T12" i="118" s="1"/>
  <c r="U12" i="118" s="1"/>
  <c r="T31" i="121"/>
  <c r="P11" i="120"/>
  <c r="R11" i="120" s="1"/>
  <c r="Q25" i="120"/>
  <c r="O35" i="123"/>
  <c r="S32" i="119"/>
  <c r="S35" i="123"/>
  <c r="Q33" i="121"/>
  <c r="O33" i="121"/>
  <c r="M25" i="120"/>
  <c r="M35" i="123"/>
  <c r="S14" i="118"/>
  <c r="P20" i="119"/>
  <c r="R20" i="119" s="1"/>
  <c r="T20" i="119" s="1"/>
  <c r="P22" i="119"/>
  <c r="R22" i="119" s="1"/>
  <c r="T22" i="119" s="1"/>
  <c r="O32" i="119"/>
  <c r="Q14" i="118"/>
  <c r="P12" i="120"/>
  <c r="R12" i="120" s="1"/>
  <c r="T12" i="120" s="1"/>
  <c r="V12" i="120" s="1"/>
  <c r="W12" i="120" s="1"/>
  <c r="M12" i="127"/>
  <c r="N10" i="127"/>
  <c r="M12" i="124"/>
  <c r="Q35" i="123"/>
  <c r="S33" i="121"/>
  <c r="P10" i="119"/>
  <c r="R10" i="119" s="1"/>
  <c r="T10" i="119" s="1"/>
  <c r="N9" i="119"/>
  <c r="M32" i="119"/>
  <c r="Q32" i="119"/>
  <c r="O14" i="118"/>
  <c r="N10" i="118"/>
  <c r="M14" i="118"/>
  <c r="M33" i="121"/>
  <c r="X13" i="133" l="1"/>
  <c r="X12" i="132"/>
  <c r="T14" i="135"/>
  <c r="U14" i="135" s="1"/>
  <c r="V14" i="135" s="1"/>
  <c r="V16" i="135"/>
  <c r="U13" i="123"/>
  <c r="X29" i="123"/>
  <c r="X28" i="119"/>
  <c r="X14" i="120"/>
  <c r="X13" i="121"/>
  <c r="X11" i="132"/>
  <c r="T13" i="131"/>
  <c r="U13" i="131"/>
  <c r="V13" i="131" s="1"/>
  <c r="V10" i="134"/>
  <c r="U10" i="134"/>
  <c r="T16" i="134"/>
  <c r="U25" i="121"/>
  <c r="U11" i="131"/>
  <c r="V11" i="131" s="1"/>
  <c r="T11" i="131"/>
  <c r="W11" i="131" s="1"/>
  <c r="U18" i="120"/>
  <c r="V18" i="120"/>
  <c r="W18" i="120" s="1"/>
  <c r="V16" i="123"/>
  <c r="W17" i="123"/>
  <c r="W16" i="123" s="1"/>
  <c r="V15" i="123"/>
  <c r="U15" i="123"/>
  <c r="U12" i="123"/>
  <c r="T15" i="135"/>
  <c r="U15" i="135" s="1"/>
  <c r="S15" i="135"/>
  <c r="V15" i="135" s="1"/>
  <c r="X14" i="133"/>
  <c r="T12" i="131"/>
  <c r="U12" i="131"/>
  <c r="V12" i="131" s="1"/>
  <c r="X24" i="120"/>
  <c r="U16" i="123"/>
  <c r="W13" i="123"/>
  <c r="W12" i="123" s="1"/>
  <c r="V12" i="123"/>
  <c r="X10" i="124"/>
  <c r="X11" i="133"/>
  <c r="V10" i="135"/>
  <c r="X10" i="132"/>
  <c r="X13" i="132"/>
  <c r="S17" i="135"/>
  <c r="T17" i="135"/>
  <c r="U17" i="135" s="1"/>
  <c r="U20" i="123"/>
  <c r="X22" i="123"/>
  <c r="X10" i="121"/>
  <c r="X12" i="121"/>
  <c r="X15" i="120"/>
  <c r="T10" i="131"/>
  <c r="U10" i="131"/>
  <c r="V10" i="131" s="1"/>
  <c r="V17" i="119"/>
  <c r="W17" i="119" s="1"/>
  <c r="U17" i="119"/>
  <c r="X12" i="133"/>
  <c r="X13" i="119"/>
  <c r="X17" i="121"/>
  <c r="P9" i="135"/>
  <c r="N20" i="135"/>
  <c r="U20" i="120"/>
  <c r="V20" i="120"/>
  <c r="W20" i="120" s="1"/>
  <c r="X15" i="119"/>
  <c r="W26" i="121"/>
  <c r="W25" i="121" s="1"/>
  <c r="V25" i="121"/>
  <c r="T13" i="135"/>
  <c r="U13" i="135" s="1"/>
  <c r="S13" i="135"/>
  <c r="W15" i="131"/>
  <c r="X11" i="121"/>
  <c r="X15" i="133"/>
  <c r="T18" i="131"/>
  <c r="U18" i="131"/>
  <c r="V18" i="131" s="1"/>
  <c r="W18" i="131" s="1"/>
  <c r="X23" i="120"/>
  <c r="V10" i="123"/>
  <c r="W10" i="123" s="1"/>
  <c r="U10" i="123"/>
  <c r="X10" i="123" s="1"/>
  <c r="V22" i="120"/>
  <c r="W22" i="120" s="1"/>
  <c r="U22" i="120"/>
  <c r="X22" i="120" s="1"/>
  <c r="X17" i="120"/>
  <c r="X27" i="123"/>
  <c r="V18" i="135"/>
  <c r="W21" i="123"/>
  <c r="W20" i="123" s="1"/>
  <c r="V20" i="123"/>
  <c r="X21" i="120"/>
  <c r="X27" i="119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T13" i="120"/>
  <c r="W31" i="123"/>
  <c r="W30" i="123" s="1"/>
  <c r="V30" i="123"/>
  <c r="P16" i="133"/>
  <c r="T11" i="120"/>
  <c r="V11" i="120" s="1"/>
  <c r="X11" i="119"/>
  <c r="W28" i="123"/>
  <c r="V28" i="123"/>
  <c r="O20" i="131"/>
  <c r="R16" i="132"/>
  <c r="W29" i="121"/>
  <c r="W28" i="121" s="1"/>
  <c r="U16" i="119"/>
  <c r="P16" i="132"/>
  <c r="U28" i="123"/>
  <c r="V12" i="118"/>
  <c r="W12" i="118" s="1"/>
  <c r="X12" i="118" s="1"/>
  <c r="U10" i="119"/>
  <c r="V10" i="119"/>
  <c r="V30" i="119"/>
  <c r="U30" i="119"/>
  <c r="U29" i="119" s="1"/>
  <c r="N35" i="123"/>
  <c r="U12" i="120"/>
  <c r="P9" i="119"/>
  <c r="N32" i="119"/>
  <c r="U20" i="119"/>
  <c r="U19" i="119" s="1"/>
  <c r="V20" i="119"/>
  <c r="U14" i="119"/>
  <c r="N33" i="121"/>
  <c r="P10" i="127"/>
  <c r="N12" i="127"/>
  <c r="U22" i="119"/>
  <c r="U21" i="119" s="1"/>
  <c r="V22" i="119"/>
  <c r="V21" i="119" s="1"/>
  <c r="P10" i="118"/>
  <c r="N14" i="118"/>
  <c r="N12" i="124"/>
  <c r="U31" i="121"/>
  <c r="U30" i="121" s="1"/>
  <c r="V31" i="121"/>
  <c r="V13" i="135" l="1"/>
  <c r="X17" i="123"/>
  <c r="X16" i="123" s="1"/>
  <c r="X20" i="120"/>
  <c r="X26" i="121"/>
  <c r="X25" i="121" s="1"/>
  <c r="U14" i="123"/>
  <c r="W10" i="134"/>
  <c r="W9" i="134" s="1"/>
  <c r="W16" i="134" s="1"/>
  <c r="V9" i="134"/>
  <c r="V16" i="134" s="1"/>
  <c r="V17" i="135"/>
  <c r="W12" i="131"/>
  <c r="W15" i="123"/>
  <c r="W14" i="123" s="1"/>
  <c r="V14" i="123"/>
  <c r="X18" i="120"/>
  <c r="V16" i="119"/>
  <c r="R9" i="135"/>
  <c r="P20" i="135"/>
  <c r="X21" i="123"/>
  <c r="X20" i="123" s="1"/>
  <c r="W10" i="131"/>
  <c r="W13" i="131"/>
  <c r="X17" i="119"/>
  <c r="X13" i="123"/>
  <c r="X12" i="123" s="1"/>
  <c r="U9" i="134"/>
  <c r="U16" i="134" s="1"/>
  <c r="W9" i="121"/>
  <c r="W11" i="120"/>
  <c r="X9" i="121"/>
  <c r="W30" i="119"/>
  <c r="W29" i="119" s="1"/>
  <c r="V29" i="119"/>
  <c r="U13" i="120"/>
  <c r="V13" i="120"/>
  <c r="W13" i="120" s="1"/>
  <c r="U11" i="120"/>
  <c r="R16" i="133"/>
  <c r="X31" i="123"/>
  <c r="X30" i="123" s="1"/>
  <c r="X28" i="123"/>
  <c r="U12" i="119"/>
  <c r="X29" i="121"/>
  <c r="X28" i="121" s="1"/>
  <c r="W16" i="119"/>
  <c r="T16" i="132"/>
  <c r="Q20" i="131"/>
  <c r="W12" i="119"/>
  <c r="V12" i="119"/>
  <c r="W31" i="121"/>
  <c r="W30" i="121" s="1"/>
  <c r="V30" i="121"/>
  <c r="W14" i="119"/>
  <c r="V14" i="119"/>
  <c r="W20" i="119"/>
  <c r="W19" i="119" s="1"/>
  <c r="V19" i="119"/>
  <c r="W22" i="119"/>
  <c r="W21" i="119" s="1"/>
  <c r="W10" i="119"/>
  <c r="X12" i="120"/>
  <c r="P12" i="124"/>
  <c r="R10" i="118"/>
  <c r="P14" i="118"/>
  <c r="P12" i="127"/>
  <c r="R10" i="127"/>
  <c r="P33" i="121"/>
  <c r="P35" i="123"/>
  <c r="R9" i="119"/>
  <c r="P32" i="119"/>
  <c r="X10" i="134" l="1"/>
  <c r="X9" i="134" s="1"/>
  <c r="X16" i="134" s="1"/>
  <c r="S9" i="135"/>
  <c r="R20" i="135"/>
  <c r="T9" i="135"/>
  <c r="X15" i="123"/>
  <c r="X14" i="123" s="1"/>
  <c r="X11" i="120"/>
  <c r="X30" i="119"/>
  <c r="X29" i="119" s="1"/>
  <c r="X13" i="120"/>
  <c r="T16" i="133"/>
  <c r="X16" i="119"/>
  <c r="X31" i="121"/>
  <c r="X30" i="121" s="1"/>
  <c r="V16" i="132"/>
  <c r="W16" i="132"/>
  <c r="U16" i="132"/>
  <c r="S20" i="131"/>
  <c r="X12" i="119"/>
  <c r="X14" i="119"/>
  <c r="X20" i="119"/>
  <c r="X19" i="119" s="1"/>
  <c r="X22" i="119"/>
  <c r="X21" i="119" s="1"/>
  <c r="X10" i="119"/>
  <c r="R33" i="121"/>
  <c r="R35" i="123"/>
  <c r="R12" i="127"/>
  <c r="T10" i="127"/>
  <c r="T10" i="118"/>
  <c r="R14" i="118"/>
  <c r="R32" i="119"/>
  <c r="T9" i="119"/>
  <c r="R12" i="124"/>
  <c r="S20" i="135" l="1"/>
  <c r="U9" i="135"/>
  <c r="U20" i="135" s="1"/>
  <c r="T20" i="135"/>
  <c r="W16" i="133"/>
  <c r="V16" i="133"/>
  <c r="U16" i="133"/>
  <c r="X16" i="132"/>
  <c r="V20" i="131"/>
  <c r="U20" i="131"/>
  <c r="T20" i="131"/>
  <c r="U10" i="127"/>
  <c r="V10" i="127"/>
  <c r="T12" i="127"/>
  <c r="V9" i="119"/>
  <c r="V8" i="119" s="1"/>
  <c r="V32" i="119" s="1"/>
  <c r="T32" i="119"/>
  <c r="U9" i="119"/>
  <c r="U8" i="119" s="1"/>
  <c r="U32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U33" i="121"/>
  <c r="V33" i="121"/>
  <c r="T33" i="121"/>
  <c r="V9" i="135" l="1"/>
  <c r="V20" i="135" s="1"/>
  <c r="X16" i="133"/>
  <c r="W20" i="131"/>
  <c r="W33" i="121"/>
  <c r="V12" i="124"/>
  <c r="W12" i="124"/>
  <c r="U12" i="127"/>
  <c r="V12" i="127"/>
  <c r="W10" i="127"/>
  <c r="W12" i="127" s="1"/>
  <c r="U12" i="124"/>
  <c r="W9" i="119"/>
  <c r="W8" i="119" s="1"/>
  <c r="W32" i="119" s="1"/>
  <c r="W9" i="123"/>
  <c r="W35" i="123" s="1"/>
  <c r="W10" i="118"/>
  <c r="W14" i="118" s="1"/>
  <c r="X12" i="124" l="1"/>
  <c r="X33" i="121"/>
  <c r="X10" i="127"/>
  <c r="X12" i="127" s="1"/>
  <c r="X9" i="119"/>
  <c r="X8" i="119" s="1"/>
  <c r="X32" i="119" s="1"/>
  <c r="X9" i="123"/>
  <c r="X35" i="123" s="1"/>
  <c r="X10" i="118"/>
  <c r="X14" i="118" s="1"/>
  <c r="H25" i="120"/>
  <c r="G9" i="120"/>
  <c r="J9" i="120"/>
  <c r="L9" i="120"/>
  <c r="N9" i="120" s="1"/>
  <c r="S9" i="120" l="1"/>
  <c r="S25" i="120" s="1"/>
  <c r="O9" i="120"/>
  <c r="O25" i="120" s="1"/>
  <c r="L25" i="120"/>
  <c r="N25" i="120"/>
  <c r="J25" i="120"/>
  <c r="P9" i="120" l="1"/>
  <c r="P25" i="120" s="1"/>
  <c r="R9" i="120" l="1"/>
  <c r="T9" i="120"/>
  <c r="R25" i="120"/>
  <c r="T25" i="120" l="1"/>
  <c r="V9" i="120"/>
  <c r="U9" i="120"/>
  <c r="U25" i="120" l="1"/>
  <c r="V25" i="120"/>
  <c r="W9" i="120"/>
  <c r="W25" i="120" s="1"/>
  <c r="X9" i="120" l="1"/>
  <c r="X25" i="120" s="1"/>
</calcChain>
</file>

<file path=xl/sharedStrings.xml><?xml version="1.0" encoding="utf-8"?>
<sst xmlns="http://schemas.openxmlformats.org/spreadsheetml/2006/main" count="1251" uniqueCount="377">
  <si>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</si>
  <si>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</si>
  <si>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</si>
  <si>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</si>
  <si>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</si>
  <si>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</si>
  <si>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</si>
  <si>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</si>
  <si>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</si>
  <si>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</si>
  <si>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</si>
  <si>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</si>
  <si>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</si>
  <si>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</si>
  <si>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</si>
  <si>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</si>
  <si>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</si>
  <si>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</si>
  <si>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</si>
  <si>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</si>
  <si>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</si>
  <si>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</si>
  <si>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</si>
  <si>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</si>
  <si>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</si>
  <si>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</si>
  <si>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</si>
  <si>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</si>
  <si>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</si>
  <si>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</si>
  <si>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</si>
  <si>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</si>
  <si>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</si>
  <si>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</si>
  <si>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</si>
  <si>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</si>
  <si>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</si>
  <si>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</si>
  <si>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</si>
  <si>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</si>
  <si>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</si>
  <si>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</si>
  <si>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</si>
  <si>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</si>
  <si>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</si>
  <si>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</si>
  <si>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</si>
  <si>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</si>
  <si>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</si>
  <si>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</si>
  <si>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</si>
  <si>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</si>
  <si>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</si>
  <si>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</si>
  <si>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</si>
  <si>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</si>
  <si>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</si>
  <si>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</si>
  <si>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</si>
  <si>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</si>
  <si>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</si>
  <si>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</si>
  <si>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</si>
  <si>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</si>
  <si>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</si>
  <si>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</si>
  <si>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</si>
  <si>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</si>
  <si>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</si>
  <si>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</si>
  <si>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</si>
  <si>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</si>
  <si>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</si>
  <si>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</si>
  <si>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</si>
  <si>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</si>
  <si>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</si>
  <si>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</si>
  <si>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</si>
  <si>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</si>
  <si>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</si>
  <si>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</si>
  <si>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</si>
  <si>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</si>
  <si>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</si>
  <si>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</si>
  <si>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</si>
  <si>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</si>
  <si>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</si>
  <si>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</si>
  <si>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</si>
  <si>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</si>
  <si>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</si>
  <si>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</si>
  <si>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</si>
  <si>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</si>
  <si>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</si>
  <si>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</si>
  <si>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</si>
  <si>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</si>
  <si>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</si>
  <si>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</si>
  <si>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</si>
  <si>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</si>
  <si>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</si>
  <si>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</si>
  <si>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</si>
  <si>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</si>
  <si>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</si>
  <si>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</si>
  <si>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</si>
  <si>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</si>
  <si>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</si>
  <si>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</si>
  <si>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</si>
  <si>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</si>
  <si>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</si>
  <si>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</si>
  <si>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</si>
  <si>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</si>
  <si>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</si>
  <si>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</si>
  <si>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</si>
  <si>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</si>
  <si>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</si>
  <si>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</si>
  <si>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</si>
  <si>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</si>
  <si>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</si>
  <si>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</si>
  <si>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</si>
  <si>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</si>
  <si>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</si>
  <si>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</si>
  <si>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</si>
  <si>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</si>
  <si>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</si>
  <si>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</si>
  <si>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</si>
  <si>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</si>
  <si>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</si>
  <si>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</si>
  <si>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</si>
  <si>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</si>
  <si>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</si>
  <si>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</si>
  <si>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</si>
  <si>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</si>
  <si>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</si>
  <si>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</si>
  <si>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</si>
  <si>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</si>
  <si>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</si>
  <si>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</si>
  <si>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</si>
  <si>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</si>
  <si>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</si>
  <si>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</si>
  <si>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</si>
  <si>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</si>
  <si>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</si>
  <si>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</si>
  <si>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</si>
  <si>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</si>
  <si>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</si>
  <si>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</si>
  <si>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</si>
  <si>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</si>
  <si>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</si>
  <si>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</si>
  <si>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</si>
  <si>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</si>
  <si>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</si>
  <si>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</si>
  <si>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</si>
  <si>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</si>
  <si>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</si>
  <si>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</si>
  <si>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</si>
  <si>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</si>
  <si>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</si>
  <si>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</si>
  <si>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</si>
  <si>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</si>
  <si>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</si>
  <si>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</si>
  <si>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</si>
  <si>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</si>
  <si>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</si>
  <si>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</si>
  <si>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</si>
  <si>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</si>
  <si>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</si>
  <si>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</si>
  <si>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</si>
  <si>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</si>
  <si>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</si>
  <si>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</si>
  <si>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</si>
  <si>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</si>
  <si>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</si>
  <si>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</si>
  <si>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</si>
  <si>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</si>
  <si>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</si>
  <si>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</si>
  <si>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</si>
  <si>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</si>
  <si>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</si>
  <si>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</si>
  <si>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</si>
  <si>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</si>
  <si>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</si>
  <si>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</si>
  <si>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</si>
  <si>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</si>
  <si>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</si>
  <si>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</si>
  <si>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</si>
  <si>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</si>
  <si>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</si>
  <si>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</si>
  <si>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</si>
  <si>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</si>
  <si>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</si>
  <si>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</si>
  <si>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</si>
  <si>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</si>
  <si>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</si>
  <si>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</si>
  <si>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</si>
  <si>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</si>
  <si>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</si>
  <si>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</si>
  <si>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</si>
  <si>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</si>
  <si>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</si>
  <si>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</si>
  <si>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</si>
  <si>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</si>
  <si>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</si>
  <si>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</si>
  <si>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</si>
  <si>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</si>
  <si>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</si>
  <si>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</si>
  <si>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</si>
  <si>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</si>
  <si>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</si>
  <si>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</si>
  <si>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</si>
  <si>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</si>
  <si>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</si>
  <si>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</si>
  <si>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</si>
  <si>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</si>
  <si>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</si>
  <si>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</si>
  <si>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</si>
  <si>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</si>
  <si>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</si>
  <si>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</si>
  <si>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</si>
  <si>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</si>
  <si>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</si>
  <si>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</si>
  <si>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</si>
  <si>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</si>
  <si>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</si>
  <si>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</si>
  <si>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</si>
  <si>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</si>
  <si>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</si>
  <si>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</si>
  <si>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</si>
  <si>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</si>
  <si>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</si>
  <si>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</si>
  <si>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</si>
  <si>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</si>
  <si>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</si>
  <si>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</si>
  <si>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</si>
  <si>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</si>
  <si>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</si>
  <si>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</si>
  <si>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</si>
  <si>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</si>
  <si>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</si>
  <si>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</si>
  <si>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</si>
  <si>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</si>
  <si>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</si>
  <si>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</si>
  <si>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</si>
  <si>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</si>
  <si>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</si>
  <si>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</si>
  <si>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</si>
  <si>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</si>
  <si>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</si>
  <si>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</si>
  <si>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</si>
  <si>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</si>
  <si>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</si>
  <si>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</si>
  <si>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</si>
  <si>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</si>
  <si>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</si>
  <si>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</si>
  <si>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</si>
  <si>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</si>
  <si>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</si>
  <si>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</si>
  <si>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</si>
  <si>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</si>
  <si>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</si>
  <si>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</si>
  <si>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</si>
  <si>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</si>
  <si>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</si>
  <si>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</si>
  <si>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</si>
  <si>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</si>
  <si>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</si>
  <si>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</si>
  <si>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</si>
  <si>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</si>
  <si>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</si>
  <si>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</si>
  <si>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</si>
  <si>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</si>
  <si>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</si>
  <si>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</si>
  <si>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</si>
  <si>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</si>
  <si>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ARCHIVO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</si>
  <si>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</si>
  <si>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</si>
  <si>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</si>
  <si>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</si>
  <si>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</si>
  <si>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</si>
  <si>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</si>
  <si>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</si>
  <si>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</si>
  <si>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</si>
  <si>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</si>
  <si>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</si>
  <si>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</si>
  <si>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</si>
  <si>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</si>
  <si>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</si>
  <si>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</si>
  <si>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</si>
  <si>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</si>
  <si>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</si>
  <si>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</si>
  <si>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</si>
  <si>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</si>
  <si>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</si>
  <si>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</si>
  <si>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</si>
  <si>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</si>
  <si>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</si>
  <si>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</si>
  <si>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</si>
  <si>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</si>
  <si>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</si>
  <si>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</si>
  <si>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</si>
  <si>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235</t>
  </si>
  <si>
    <t>232</t>
  </si>
  <si>
    <t>236</t>
  </si>
  <si>
    <t>237</t>
  </si>
  <si>
    <t>SUELDO  DEL 16 AL 31 DE ENERO DE 2020</t>
  </si>
  <si>
    <t>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</si>
</sst>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29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4" xfId="5" applyNumberFormat="1" applyFont="1" applyBorder="1" applyAlignment="1" applyProtection="1">
      <alignment wrapText="1"/>
      <protection locked="0"/>
    </xf>
    <xf numFmtId="0" fontId="23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58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52" t="s">
        <v>11</v>
      </c>
      <c r="C7" s="252"/>
      <c r="D7" s="252"/>
      <c r="E7" s="7"/>
      <c r="F7" s="245" t="s">
        <v>50</v>
      </c>
      <c r="G7" s="246"/>
    </row>
    <row r="8" spans="1:7" ht="14.25" customHeight="1" x14ac:dyDescent="0.2">
      <c r="B8" s="249" t="s">
        <v>10</v>
      </c>
      <c r="C8" s="249"/>
      <c r="D8" s="249"/>
      <c r="E8" s="7"/>
      <c r="F8" s="250" t="s">
        <v>51</v>
      </c>
      <c r="G8" s="251"/>
    </row>
    <row r="9" spans="1:7" ht="8.25" customHeight="1" x14ac:dyDescent="0.2">
      <c r="B9" s="253"/>
      <c r="C9" s="253"/>
      <c r="D9" s="253"/>
      <c r="E9" s="7"/>
      <c r="F9" s="247"/>
      <c r="G9" s="248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496.08</v>
      </c>
      <c r="C14" s="20">
        <v>9.52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4210.42</v>
      </c>
      <c r="C15" s="20">
        <v>247.23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7399.43</v>
      </c>
      <c r="C16" s="20">
        <v>594.24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8601.51</v>
      </c>
      <c r="C17" s="20">
        <v>786.55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10298.36</v>
      </c>
      <c r="C18" s="20">
        <v>1090.6199999999999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20770.3</v>
      </c>
      <c r="C19" s="20">
        <v>3327.42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32736.84</v>
      </c>
      <c r="C20" s="20">
        <v>6141.95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15"/>
      <c r="C21" s="15"/>
      <c r="D21" s="16"/>
      <c r="E21" s="7"/>
      <c r="F21" s="20">
        <v>6224.68</v>
      </c>
      <c r="G21" s="20">
        <v>253.54</v>
      </c>
    </row>
    <row r="22" spans="1:7" x14ac:dyDescent="0.2">
      <c r="A22" s="1"/>
      <c r="E22" s="7"/>
      <c r="F22" s="20">
        <v>7113.91</v>
      </c>
      <c r="G22" s="20">
        <v>217.61</v>
      </c>
    </row>
    <row r="23" spans="1:7" x14ac:dyDescent="0.2">
      <c r="B23" s="7"/>
      <c r="C23" s="7"/>
      <c r="D23" s="7"/>
      <c r="E23" s="7"/>
      <c r="F23" s="20">
        <v>7382.34</v>
      </c>
      <c r="G23" s="20">
        <v>0</v>
      </c>
    </row>
    <row r="24" spans="1:7" x14ac:dyDescent="0.2">
      <c r="B24" s="7"/>
      <c r="C24" s="7"/>
      <c r="D24" s="7"/>
      <c r="E24" s="7"/>
      <c r="F24" s="17"/>
      <c r="G24" s="17"/>
    </row>
    <row r="25" spans="1:7" x14ac:dyDescent="0.2">
      <c r="C25" s="7"/>
      <c r="D25" s="7"/>
      <c r="E25" s="7"/>
      <c r="F25" s="7"/>
      <c r="G25" s="7"/>
    </row>
    <row r="26" spans="1:7" x14ac:dyDescent="0.2">
      <c r="C26" s="7"/>
      <c r="D26" s="7"/>
      <c r="E26" s="7"/>
      <c r="F26" s="7"/>
      <c r="G26" s="7"/>
    </row>
    <row r="27" spans="1:7" x14ac:dyDescent="0.2"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B29" s="7"/>
      <c r="C29" s="7"/>
      <c r="D29" s="7"/>
      <c r="E29" s="7"/>
      <c r="F29" s="7"/>
      <c r="G29" s="7"/>
    </row>
    <row r="30" spans="1:7" x14ac:dyDescent="0.2">
      <c r="B30" s="8" t="s">
        <v>20</v>
      </c>
      <c r="C30" s="7"/>
      <c r="D30" s="7"/>
      <c r="E30" s="7"/>
      <c r="F30" s="7"/>
      <c r="G30" s="7"/>
    </row>
    <row r="31" spans="1:7" ht="15.75" x14ac:dyDescent="0.25">
      <c r="B31" s="18" t="s">
        <v>59</v>
      </c>
      <c r="C31" s="7"/>
      <c r="D31" s="7"/>
      <c r="E31" s="7"/>
      <c r="F31" s="7"/>
      <c r="G31" s="7"/>
    </row>
    <row r="32" spans="1:7" x14ac:dyDescent="0.2">
      <c r="B32" s="38" t="s">
        <v>48</v>
      </c>
      <c r="C32" s="7"/>
      <c r="D32" s="7"/>
      <c r="E32" s="7"/>
      <c r="F32" s="7"/>
      <c r="G32" s="7"/>
    </row>
    <row r="41" spans="2:7" x14ac:dyDescent="0.2">
      <c r="B41" s="5" t="s">
        <v>46</v>
      </c>
    </row>
    <row r="44" spans="2:7" ht="17.25" customHeight="1" x14ac:dyDescent="0.2">
      <c r="B44" s="252" t="s">
        <v>11</v>
      </c>
      <c r="C44" s="252"/>
      <c r="D44" s="252"/>
      <c r="E44" s="7"/>
      <c r="F44" s="245" t="s">
        <v>55</v>
      </c>
      <c r="G44" s="246"/>
    </row>
    <row r="45" spans="2:7" x14ac:dyDescent="0.2">
      <c r="B45" s="249" t="s">
        <v>10</v>
      </c>
      <c r="C45" s="249"/>
      <c r="D45" s="249"/>
      <c r="E45" s="7"/>
      <c r="F45" s="250" t="s">
        <v>56</v>
      </c>
      <c r="G45" s="251"/>
    </row>
    <row r="46" spans="2:7" ht="5.25" customHeight="1" x14ac:dyDescent="0.2">
      <c r="B46" s="253"/>
      <c r="C46" s="253"/>
      <c r="D46" s="253"/>
      <c r="E46" s="7"/>
      <c r="F46" s="247"/>
      <c r="G46" s="248"/>
    </row>
    <row r="47" spans="2:7" x14ac:dyDescent="0.2">
      <c r="B47" s="9" t="s">
        <v>12</v>
      </c>
      <c r="C47" s="9" t="s">
        <v>14</v>
      </c>
      <c r="D47" s="9" t="s">
        <v>8</v>
      </c>
      <c r="E47" s="7"/>
      <c r="F47" s="9" t="s">
        <v>17</v>
      </c>
      <c r="G47" s="9" t="s">
        <v>18</v>
      </c>
    </row>
    <row r="48" spans="2:7" x14ac:dyDescent="0.2">
      <c r="B48" s="9" t="s">
        <v>13</v>
      </c>
      <c r="C48" s="9" t="s">
        <v>15</v>
      </c>
      <c r="D48" s="9" t="s">
        <v>16</v>
      </c>
      <c r="E48" s="7"/>
      <c r="F48" s="9"/>
      <c r="G48" s="9" t="s">
        <v>19</v>
      </c>
    </row>
    <row r="49" spans="2:7" x14ac:dyDescent="0.2">
      <c r="B49" s="10"/>
      <c r="C49" s="10"/>
      <c r="D49" s="10"/>
      <c r="E49" s="11"/>
      <c r="F49" s="10"/>
      <c r="G49" s="10"/>
    </row>
    <row r="50" spans="2:7" ht="15.95" customHeight="1" x14ac:dyDescent="0.2">
      <c r="B50" s="12">
        <v>0.01</v>
      </c>
      <c r="C50" s="12">
        <v>0</v>
      </c>
      <c r="D50" s="13">
        <f t="shared" ref="D50:D57" si="0">D13</f>
        <v>1.9199999999999998E-2</v>
      </c>
      <c r="E50" s="14"/>
      <c r="F50" s="12">
        <v>0.01</v>
      </c>
      <c r="G50" s="12">
        <f t="shared" ref="G50:G60" si="1">G13/2</f>
        <v>203.51</v>
      </c>
    </row>
    <row r="51" spans="2:7" ht="15.95" customHeight="1" x14ac:dyDescent="0.2">
      <c r="B51" s="12">
        <f t="shared" ref="B51:C57" si="2">B14/2</f>
        <v>248.04</v>
      </c>
      <c r="C51" s="12">
        <f t="shared" si="2"/>
        <v>4.76</v>
      </c>
      <c r="D51" s="13">
        <f t="shared" si="0"/>
        <v>6.4000000000000001E-2</v>
      </c>
      <c r="E51" s="14"/>
      <c r="F51" s="12">
        <f t="shared" ref="F51:F60" si="3">F14/2</f>
        <v>884.48500000000001</v>
      </c>
      <c r="G51" s="12">
        <f t="shared" si="1"/>
        <v>203.41499999999999</v>
      </c>
    </row>
    <row r="52" spans="2:7" ht="15.95" customHeight="1" x14ac:dyDescent="0.2">
      <c r="B52" s="12">
        <f t="shared" si="2"/>
        <v>2105.21</v>
      </c>
      <c r="C52" s="12">
        <f t="shared" si="2"/>
        <v>123.61499999999999</v>
      </c>
      <c r="D52" s="13">
        <f t="shared" si="0"/>
        <v>0.10879999999999999</v>
      </c>
      <c r="E52" s="14"/>
      <c r="F52" s="12">
        <f t="shared" si="3"/>
        <v>1326.6949999999999</v>
      </c>
      <c r="G52" s="12">
        <f t="shared" si="1"/>
        <v>203.31</v>
      </c>
    </row>
    <row r="53" spans="2:7" ht="15.95" customHeight="1" x14ac:dyDescent="0.2">
      <c r="B53" s="12">
        <f t="shared" si="2"/>
        <v>3699.7150000000001</v>
      </c>
      <c r="C53" s="12">
        <f t="shared" si="2"/>
        <v>297.12</v>
      </c>
      <c r="D53" s="13">
        <f t="shared" si="0"/>
        <v>0.16</v>
      </c>
      <c r="E53" s="14"/>
      <c r="F53" s="12">
        <f t="shared" si="3"/>
        <v>1736.425</v>
      </c>
      <c r="G53" s="12">
        <f t="shared" si="1"/>
        <v>196.38499999999999</v>
      </c>
    </row>
    <row r="54" spans="2:7" ht="15.95" customHeight="1" x14ac:dyDescent="0.2">
      <c r="B54" s="12">
        <f t="shared" si="2"/>
        <v>4300.7550000000001</v>
      </c>
      <c r="C54" s="12">
        <f t="shared" si="2"/>
        <v>393.27499999999998</v>
      </c>
      <c r="D54" s="13">
        <f t="shared" si="0"/>
        <v>0.1792</v>
      </c>
      <c r="E54" s="14"/>
      <c r="F54" s="12">
        <f t="shared" si="3"/>
        <v>1768.94</v>
      </c>
      <c r="G54" s="12">
        <f t="shared" si="1"/>
        <v>191.23</v>
      </c>
    </row>
    <row r="55" spans="2:7" ht="15.95" customHeight="1" x14ac:dyDescent="0.2">
      <c r="B55" s="12">
        <f t="shared" si="2"/>
        <v>5149.18</v>
      </c>
      <c r="C55" s="12">
        <f t="shared" si="2"/>
        <v>545.30999999999995</v>
      </c>
      <c r="D55" s="13">
        <f t="shared" si="0"/>
        <v>0.21360000000000001</v>
      </c>
      <c r="E55" s="14"/>
      <c r="F55" s="12">
        <f t="shared" si="3"/>
        <v>2223.08</v>
      </c>
      <c r="G55" s="12">
        <f t="shared" si="1"/>
        <v>177.11500000000001</v>
      </c>
    </row>
    <row r="56" spans="2:7" ht="15.95" customHeight="1" x14ac:dyDescent="0.2">
      <c r="B56" s="12">
        <f t="shared" si="2"/>
        <v>10385.15</v>
      </c>
      <c r="C56" s="12">
        <f t="shared" si="2"/>
        <v>1663.71</v>
      </c>
      <c r="D56" s="13">
        <f t="shared" si="0"/>
        <v>0.23519999999999999</v>
      </c>
      <c r="E56" s="7"/>
      <c r="F56" s="12">
        <f t="shared" si="3"/>
        <v>2358.5949999999998</v>
      </c>
      <c r="G56" s="12">
        <f t="shared" si="1"/>
        <v>162.435</v>
      </c>
    </row>
    <row r="57" spans="2:7" ht="15.95" customHeight="1" x14ac:dyDescent="0.2">
      <c r="B57" s="12">
        <f t="shared" si="2"/>
        <v>16368.42</v>
      </c>
      <c r="C57" s="12">
        <f t="shared" si="2"/>
        <v>3070.9749999999999</v>
      </c>
      <c r="D57" s="13">
        <f t="shared" si="0"/>
        <v>0.3</v>
      </c>
      <c r="E57" s="7"/>
      <c r="F57" s="12">
        <f t="shared" si="3"/>
        <v>2667.7150000000001</v>
      </c>
      <c r="G57" s="12">
        <f t="shared" si="1"/>
        <v>147.315</v>
      </c>
    </row>
    <row r="58" spans="2:7" ht="15.95" customHeight="1" x14ac:dyDescent="0.2">
      <c r="B58" s="15"/>
      <c r="C58" s="15"/>
      <c r="D58" s="16"/>
      <c r="E58" s="7"/>
      <c r="F58" s="12">
        <f t="shared" si="3"/>
        <v>3112.34</v>
      </c>
      <c r="G58" s="12">
        <f t="shared" si="1"/>
        <v>126.77</v>
      </c>
    </row>
    <row r="59" spans="2:7" ht="15.95" customHeight="1" x14ac:dyDescent="0.2">
      <c r="E59" s="7"/>
      <c r="F59" s="12">
        <f t="shared" si="3"/>
        <v>3556.9549999999999</v>
      </c>
      <c r="G59" s="12">
        <f t="shared" si="1"/>
        <v>108.80500000000001</v>
      </c>
    </row>
    <row r="60" spans="2:7" ht="15.95" customHeight="1" x14ac:dyDescent="0.2">
      <c r="B60" s="7"/>
      <c r="C60" s="7"/>
      <c r="D60" s="7"/>
      <c r="E60" s="7"/>
      <c r="F60" s="12">
        <f t="shared" si="3"/>
        <v>3691.17</v>
      </c>
      <c r="G60" s="12">
        <f t="shared" si="1"/>
        <v>0</v>
      </c>
    </row>
    <row r="61" spans="2:7" x14ac:dyDescent="0.2">
      <c r="B61" s="7"/>
      <c r="C61" s="7"/>
      <c r="D61" s="7"/>
      <c r="E61" s="7"/>
      <c r="F61" s="17"/>
      <c r="G61" s="17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6" t="s">
        <v>89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7"/>
    </row>
    <row r="10" spans="1:25" s="197" customFormat="1" ht="88.5" customHeight="1" x14ac:dyDescent="0.2">
      <c r="A10" s="62" t="s">
        <v>103</v>
      </c>
      <c r="B10" s="143" t="s">
        <v>287</v>
      </c>
      <c r="C10" s="64" t="s">
        <v>149</v>
      </c>
      <c r="D10" s="173" t="s">
        <v>233</v>
      </c>
      <c r="E10" s="173" t="s">
        <v>65</v>
      </c>
      <c r="F10" s="174">
        <v>15</v>
      </c>
      <c r="G10" s="175">
        <f>H10/F10</f>
        <v>899.55266666666671</v>
      </c>
      <c r="H10" s="176">
        <v>13493.29</v>
      </c>
      <c r="I10" s="177">
        <v>0</v>
      </c>
      <c r="J10" s="178">
        <f>SUM(H10:I10)</f>
        <v>13493.29</v>
      </c>
      <c r="K10" s="179">
        <v>0</v>
      </c>
      <c r="L10" s="179">
        <f>H10+K10</f>
        <v>13493.29</v>
      </c>
      <c r="M10" s="179">
        <v>11951.86</v>
      </c>
      <c r="N10" s="179">
        <f>L10-M10</f>
        <v>1541.4300000000003</v>
      </c>
      <c r="O10" s="180">
        <v>0.23519999999999999</v>
      </c>
      <c r="P10" s="179">
        <f>N10*O10</f>
        <v>362.54433600000004</v>
      </c>
      <c r="Q10" s="181">
        <v>1914.75</v>
      </c>
      <c r="R10" s="179">
        <f>P10+Q10</f>
        <v>2277.2943359999999</v>
      </c>
      <c r="S10" s="179">
        <f>VLOOKUP(L10,Credito1,2)</f>
        <v>0</v>
      </c>
      <c r="T10" s="179">
        <f>R10-S10</f>
        <v>2277.2943359999999</v>
      </c>
      <c r="U10" s="178">
        <f>-IF(T10&gt;0,0,T10)</f>
        <v>0</v>
      </c>
      <c r="V10" s="178">
        <f>IF(T10&lt;0,0,T10)</f>
        <v>2277.2943359999999</v>
      </c>
      <c r="W10" s="178">
        <f>SUM(V10:V10)</f>
        <v>2277.2943359999999</v>
      </c>
      <c r="X10" s="178">
        <f>J10+U10-W10</f>
        <v>11215.995664000002</v>
      </c>
      <c r="Y10" s="196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54" t="s">
        <v>45</v>
      </c>
      <c r="B12" s="255"/>
      <c r="C12" s="255"/>
      <c r="D12" s="255"/>
      <c r="E12" s="255"/>
      <c r="F12" s="255"/>
      <c r="G12" s="256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97" t="s">
        <v>299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 t="s">
        <v>300</v>
      </c>
      <c r="W23" s="197"/>
      <c r="X23" s="197"/>
      <c r="Y23" s="197"/>
    </row>
    <row r="24" spans="4:37" ht="15" x14ac:dyDescent="0.25">
      <c r="D24" s="203" t="s">
        <v>239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203" t="s">
        <v>256</v>
      </c>
      <c r="W24" s="197"/>
      <c r="X24" s="197"/>
      <c r="Y24" s="197"/>
    </row>
    <row r="25" spans="4:37" ht="15" x14ac:dyDescent="0.25">
      <c r="D25" s="203" t="s">
        <v>301</v>
      </c>
      <c r="E25" s="203"/>
      <c r="F25" s="203"/>
      <c r="G25" s="203"/>
      <c r="H25" s="203"/>
      <c r="I25" s="203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203" t="s">
        <v>101</v>
      </c>
      <c r="W25" s="203"/>
      <c r="X25" s="203"/>
      <c r="Y25" s="20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28"/>
  <sheetViews>
    <sheetView topLeftCell="B8" zoomScale="80" zoomScaleNormal="80" workbookViewId="0">
      <selection activeCell="U8" sqref="U1:U1048576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19.5703125" style="93" customWidth="1"/>
    <col min="5" max="5" width="6.5703125" style="93" customWidth="1"/>
    <col min="6" max="6" width="14.140625" style="93" customWidth="1"/>
    <col min="7" max="7" width="10.7109375" style="93" customWidth="1"/>
    <col min="8" max="8" width="12.7109375" style="93" customWidth="1"/>
    <col min="9" max="9" width="12.7109375" style="93" hidden="1" customWidth="1"/>
    <col min="10" max="10" width="13.140625" style="93" hidden="1" customWidth="1"/>
    <col min="11" max="13" width="11" style="93" hidden="1" customWidth="1"/>
    <col min="14" max="15" width="13.140625" style="93" hidden="1" customWidth="1"/>
    <col min="16" max="16" width="10.5703125" style="93" hidden="1" customWidth="1"/>
    <col min="17" max="17" width="10.42578125" style="93" hidden="1" customWidth="1"/>
    <col min="18" max="18" width="13.140625" style="93" hidden="1" customWidth="1"/>
    <col min="19" max="19" width="11.5703125" style="93" customWidth="1"/>
    <col min="20" max="21" width="13.28515625" style="93" customWidth="1"/>
    <col min="22" max="22" width="13.140625" style="93" customWidth="1"/>
    <col min="23" max="23" width="70.5703125" style="93" customWidth="1"/>
    <col min="24" max="24" width="73.42578125" style="93" customWidth="1"/>
    <col min="25" max="16384" width="11.42578125" style="93"/>
  </cols>
  <sheetData>
    <row r="1" spans="1:25" ht="18" x14ac:dyDescent="0.25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4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4"/>
    </row>
    <row r="3" spans="1:25" ht="15" x14ac:dyDescent="0.2">
      <c r="A3" s="50" t="s">
        <v>362</v>
      </c>
      <c r="B3" s="258" t="s">
        <v>375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125"/>
      <c r="Y3" s="125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268" t="s">
        <v>1</v>
      </c>
      <c r="G5" s="269"/>
      <c r="H5" s="270"/>
      <c r="I5" s="24" t="s">
        <v>26</v>
      </c>
      <c r="J5" s="25"/>
      <c r="K5" s="271" t="s">
        <v>9</v>
      </c>
      <c r="L5" s="272"/>
      <c r="M5" s="272"/>
      <c r="N5" s="272"/>
      <c r="O5" s="272"/>
      <c r="P5" s="273"/>
      <c r="Q5" s="24" t="s">
        <v>30</v>
      </c>
      <c r="R5" s="24" t="s">
        <v>10</v>
      </c>
      <c r="S5" s="23" t="s">
        <v>54</v>
      </c>
      <c r="T5" s="274" t="s">
        <v>2</v>
      </c>
      <c r="U5" s="275"/>
      <c r="V5" s="23" t="s">
        <v>0</v>
      </c>
      <c r="W5" s="239"/>
      <c r="X5" s="4"/>
    </row>
    <row r="6" spans="1:25" ht="22.5" x14ac:dyDescent="0.2">
      <c r="A6" s="26" t="s">
        <v>21</v>
      </c>
      <c r="B6" s="63" t="s">
        <v>126</v>
      </c>
      <c r="C6" s="63" t="s">
        <v>150</v>
      </c>
      <c r="D6" s="26"/>
      <c r="E6" s="27" t="s">
        <v>24</v>
      </c>
      <c r="F6" s="23" t="s">
        <v>6</v>
      </c>
      <c r="G6" s="23" t="s">
        <v>61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60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62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173</v>
      </c>
      <c r="S7" s="26" t="s">
        <v>53</v>
      </c>
      <c r="T7" s="26"/>
      <c r="U7" s="26" t="s">
        <v>44</v>
      </c>
      <c r="V7" s="26" t="s">
        <v>5</v>
      </c>
      <c r="W7" s="240"/>
      <c r="X7" s="4"/>
    </row>
    <row r="8" spans="1:25" ht="28.5" customHeight="1" x14ac:dyDescent="0.25">
      <c r="A8" s="47"/>
      <c r="B8" s="226"/>
      <c r="C8" s="226"/>
      <c r="D8" s="45" t="s">
        <v>64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07"/>
      <c r="X8" s="4"/>
    </row>
    <row r="9" spans="1:25" ht="60" customHeight="1" x14ac:dyDescent="0.2">
      <c r="A9" s="61" t="s">
        <v>103</v>
      </c>
      <c r="B9" s="120" t="s">
        <v>192</v>
      </c>
      <c r="C9" s="120" t="s">
        <v>149</v>
      </c>
      <c r="D9" s="126" t="s">
        <v>75</v>
      </c>
      <c r="E9" s="138">
        <v>15</v>
      </c>
      <c r="F9" s="124">
        <v>9346.8799999999992</v>
      </c>
      <c r="G9" s="131">
        <v>0</v>
      </c>
      <c r="H9" s="132">
        <f t="shared" ref="H9:H15" si="0">SUM(F9:G9)</f>
        <v>9346.8799999999992</v>
      </c>
      <c r="I9" s="133">
        <v>0</v>
      </c>
      <c r="J9" s="133">
        <f t="shared" ref="J9:J16" si="1">F9+I9</f>
        <v>9346.8799999999992</v>
      </c>
      <c r="K9" s="133">
        <v>5925.91</v>
      </c>
      <c r="L9" s="133">
        <f t="shared" ref="L9:L16" si="2">J9-K9</f>
        <v>3420.9699999999993</v>
      </c>
      <c r="M9" s="134">
        <f t="shared" ref="M9" si="3">VLOOKUP(J9,Tarifa1,3)</f>
        <v>0.21360000000000001</v>
      </c>
      <c r="N9" s="133">
        <f t="shared" ref="N9:N16" si="4">L9*M9</f>
        <v>730.71919199999991</v>
      </c>
      <c r="O9" s="133">
        <v>627.6</v>
      </c>
      <c r="P9" s="133">
        <f t="shared" ref="P9:P16" si="5">N9+O9</f>
        <v>1358.3191919999999</v>
      </c>
      <c r="Q9" s="133">
        <f t="shared" ref="Q9" si="6">VLOOKUP(J9,Credito1,2)</f>
        <v>0</v>
      </c>
      <c r="R9" s="133">
        <f t="shared" ref="R9:R16" si="7">P9-Q9</f>
        <v>1358.3191919999999</v>
      </c>
      <c r="S9" s="132">
        <f t="shared" ref="S9:S11" si="8">-IF(R9&gt;0,0,R9)</f>
        <v>0</v>
      </c>
      <c r="T9" s="132">
        <f t="shared" ref="T9:T11" si="9">IF(R9&lt;0,0,R9)</f>
        <v>1358.3191919999999</v>
      </c>
      <c r="U9" s="132">
        <f>SUM(T9:T9)</f>
        <v>1358.3191919999999</v>
      </c>
      <c r="V9" s="132">
        <f>H9+S9-U9</f>
        <v>7988.5608079999993</v>
      </c>
      <c r="W9" s="126"/>
      <c r="X9" s="4"/>
    </row>
    <row r="10" spans="1:25" s="197" customFormat="1" ht="60" customHeight="1" x14ac:dyDescent="0.2">
      <c r="A10" s="61"/>
      <c r="B10" s="120" t="s">
        <v>338</v>
      </c>
      <c r="C10" s="120" t="s">
        <v>149</v>
      </c>
      <c r="D10" s="126" t="s">
        <v>97</v>
      </c>
      <c r="E10" s="138">
        <v>15</v>
      </c>
      <c r="F10" s="124">
        <v>7636.04</v>
      </c>
      <c r="G10" s="131">
        <v>0</v>
      </c>
      <c r="H10" s="132">
        <f t="shared" si="0"/>
        <v>7636.04</v>
      </c>
      <c r="I10" s="133">
        <v>0</v>
      </c>
      <c r="J10" s="133">
        <f t="shared" si="1"/>
        <v>7636.04</v>
      </c>
      <c r="K10" s="133">
        <v>5925.91</v>
      </c>
      <c r="L10" s="133">
        <f t="shared" si="2"/>
        <v>1710.13</v>
      </c>
      <c r="M10" s="134">
        <f t="shared" ref="M10:M12" si="10">VLOOKUP(J10,Tarifa1,3)</f>
        <v>0.21360000000000001</v>
      </c>
      <c r="N10" s="133">
        <f t="shared" si="4"/>
        <v>365.28376800000007</v>
      </c>
      <c r="O10" s="133">
        <v>627.6</v>
      </c>
      <c r="P10" s="133">
        <f t="shared" si="5"/>
        <v>992.88376800000015</v>
      </c>
      <c r="Q10" s="133">
        <f t="shared" ref="Q10:Q12" si="11">VLOOKUP(J10,Credito1,2)</f>
        <v>0</v>
      </c>
      <c r="R10" s="133">
        <f t="shared" si="7"/>
        <v>992.88376800000015</v>
      </c>
      <c r="S10" s="132">
        <f t="shared" si="8"/>
        <v>0</v>
      </c>
      <c r="T10" s="132">
        <f t="shared" si="9"/>
        <v>992.88376800000015</v>
      </c>
      <c r="U10" s="132">
        <f>SUM(T10:T10)</f>
        <v>992.88376800000015</v>
      </c>
      <c r="V10" s="132">
        <f>H10+S10-U10</f>
        <v>6643.1562319999994</v>
      </c>
      <c r="W10" s="126"/>
      <c r="X10" s="4"/>
    </row>
    <row r="11" spans="1:25" s="197" customFormat="1" ht="60" customHeight="1" x14ac:dyDescent="0.2">
      <c r="A11" s="61"/>
      <c r="B11" s="120" t="s">
        <v>361</v>
      </c>
      <c r="C11" s="120" t="s">
        <v>149</v>
      </c>
      <c r="D11" s="126" t="s">
        <v>97</v>
      </c>
      <c r="E11" s="138">
        <v>15</v>
      </c>
      <c r="F11" s="124">
        <v>7636.04</v>
      </c>
      <c r="G11" s="131">
        <v>0</v>
      </c>
      <c r="H11" s="132">
        <f t="shared" si="0"/>
        <v>7636.04</v>
      </c>
      <c r="I11" s="133">
        <v>0</v>
      </c>
      <c r="J11" s="133">
        <f t="shared" si="1"/>
        <v>7636.04</v>
      </c>
      <c r="K11" s="133">
        <v>5925.91</v>
      </c>
      <c r="L11" s="133">
        <f t="shared" si="2"/>
        <v>1710.13</v>
      </c>
      <c r="M11" s="134">
        <f t="shared" ref="M11" si="12">VLOOKUP(J11,Tarifa1,3)</f>
        <v>0.21360000000000001</v>
      </c>
      <c r="N11" s="133">
        <f t="shared" si="4"/>
        <v>365.28376800000007</v>
      </c>
      <c r="O11" s="133">
        <v>627.6</v>
      </c>
      <c r="P11" s="133">
        <f t="shared" si="5"/>
        <v>992.88376800000015</v>
      </c>
      <c r="Q11" s="133">
        <f t="shared" ref="Q11" si="13">VLOOKUP(J11,Credito1,2)</f>
        <v>0</v>
      </c>
      <c r="R11" s="133">
        <f t="shared" si="7"/>
        <v>992.88376800000015</v>
      </c>
      <c r="S11" s="132">
        <f t="shared" si="8"/>
        <v>0</v>
      </c>
      <c r="T11" s="132">
        <f t="shared" si="9"/>
        <v>992.88376800000015</v>
      </c>
      <c r="U11" s="132">
        <f>SUM(T11:T11)</f>
        <v>992.88376800000015</v>
      </c>
      <c r="V11" s="132">
        <f>H11+S11-U11</f>
        <v>6643.1562319999994</v>
      </c>
      <c r="W11" s="126"/>
      <c r="X11" s="4"/>
    </row>
    <row r="12" spans="1:25" s="197" customFormat="1" ht="60" customHeight="1" x14ac:dyDescent="0.2">
      <c r="A12" s="241"/>
      <c r="B12" s="120" t="s">
        <v>132</v>
      </c>
      <c r="C12" s="120" t="s">
        <v>149</v>
      </c>
      <c r="D12" s="126" t="s">
        <v>98</v>
      </c>
      <c r="E12" s="138">
        <v>15</v>
      </c>
      <c r="F12" s="124">
        <v>6922.63</v>
      </c>
      <c r="G12" s="131">
        <v>0</v>
      </c>
      <c r="H12" s="132">
        <f t="shared" si="0"/>
        <v>6922.63</v>
      </c>
      <c r="I12" s="133">
        <v>0</v>
      </c>
      <c r="J12" s="133">
        <f t="shared" si="1"/>
        <v>6922.63</v>
      </c>
      <c r="K12" s="133">
        <v>5925.91</v>
      </c>
      <c r="L12" s="133">
        <f t="shared" si="2"/>
        <v>996.72000000000025</v>
      </c>
      <c r="M12" s="134">
        <f t="shared" si="10"/>
        <v>0.21360000000000001</v>
      </c>
      <c r="N12" s="133">
        <f t="shared" si="4"/>
        <v>212.89939200000006</v>
      </c>
      <c r="O12" s="133">
        <v>627.6</v>
      </c>
      <c r="P12" s="133">
        <f t="shared" si="5"/>
        <v>840.49939200000006</v>
      </c>
      <c r="Q12" s="133">
        <f t="shared" si="11"/>
        <v>0</v>
      </c>
      <c r="R12" s="133">
        <f t="shared" si="7"/>
        <v>840.49939200000006</v>
      </c>
      <c r="S12" s="132">
        <f t="shared" ref="S12:S16" si="14">-IF(R12&gt;0,0,R12)</f>
        <v>0</v>
      </c>
      <c r="T12" s="132">
        <f t="shared" ref="T12:T16" si="15">IF(R12&lt;0,0,R12)</f>
        <v>840.49939200000006</v>
      </c>
      <c r="U12" s="132">
        <f>SUM(T12:T12)</f>
        <v>840.49939200000006</v>
      </c>
      <c r="V12" s="132">
        <f>H12+S12-U12</f>
        <v>6082.1306080000004</v>
      </c>
      <c r="W12" s="127"/>
      <c r="X12" s="4"/>
    </row>
    <row r="13" spans="1:25" s="197" customFormat="1" ht="60" customHeight="1" x14ac:dyDescent="0.2">
      <c r="A13" s="241"/>
      <c r="B13" s="120" t="s">
        <v>325</v>
      </c>
      <c r="C13" s="120" t="s">
        <v>149</v>
      </c>
      <c r="D13" s="126" t="s">
        <v>98</v>
      </c>
      <c r="E13" s="138">
        <v>15</v>
      </c>
      <c r="F13" s="124">
        <v>6922.63</v>
      </c>
      <c r="G13" s="131">
        <v>0</v>
      </c>
      <c r="H13" s="132">
        <f t="shared" si="0"/>
        <v>6922.63</v>
      </c>
      <c r="I13" s="133">
        <v>0</v>
      </c>
      <c r="J13" s="133">
        <f t="shared" si="1"/>
        <v>6922.63</v>
      </c>
      <c r="K13" s="133">
        <v>5925.91</v>
      </c>
      <c r="L13" s="133">
        <f t="shared" si="2"/>
        <v>996.72000000000025</v>
      </c>
      <c r="M13" s="134">
        <f t="shared" ref="M13" si="16">VLOOKUP(J13,Tarifa1,3)</f>
        <v>0.21360000000000001</v>
      </c>
      <c r="N13" s="133">
        <f t="shared" si="4"/>
        <v>212.89939200000006</v>
      </c>
      <c r="O13" s="133">
        <v>627.6</v>
      </c>
      <c r="P13" s="133">
        <f t="shared" si="5"/>
        <v>840.49939200000006</v>
      </c>
      <c r="Q13" s="133">
        <f t="shared" ref="Q13" si="17">VLOOKUP(J13,Credito1,2)</f>
        <v>0</v>
      </c>
      <c r="R13" s="133">
        <f t="shared" si="7"/>
        <v>840.49939200000006</v>
      </c>
      <c r="S13" s="132">
        <f t="shared" si="14"/>
        <v>0</v>
      </c>
      <c r="T13" s="132">
        <f t="shared" si="15"/>
        <v>840.49939200000006</v>
      </c>
      <c r="U13" s="132">
        <f>SUM(T13:T13)</f>
        <v>840.49939200000006</v>
      </c>
      <c r="V13" s="132">
        <f>H13+S13-U13</f>
        <v>6082.1306080000004</v>
      </c>
      <c r="W13" s="127"/>
      <c r="X13" s="4"/>
    </row>
    <row r="14" spans="1:25" s="197" customFormat="1" ht="60" customHeight="1" x14ac:dyDescent="0.2">
      <c r="A14" s="241"/>
      <c r="B14" s="120" t="s">
        <v>337</v>
      </c>
      <c r="C14" s="120" t="s">
        <v>149</v>
      </c>
      <c r="D14" s="126" t="s">
        <v>98</v>
      </c>
      <c r="E14" s="138">
        <v>15</v>
      </c>
      <c r="F14" s="124">
        <v>6922.63</v>
      </c>
      <c r="G14" s="131">
        <v>0</v>
      </c>
      <c r="H14" s="132">
        <f t="shared" si="0"/>
        <v>6922.63</v>
      </c>
      <c r="I14" s="133">
        <v>0</v>
      </c>
      <c r="J14" s="133">
        <f t="shared" si="1"/>
        <v>6922.63</v>
      </c>
      <c r="K14" s="133">
        <v>5925.91</v>
      </c>
      <c r="L14" s="133">
        <f t="shared" si="2"/>
        <v>996.72000000000025</v>
      </c>
      <c r="M14" s="134">
        <f t="shared" ref="M14:M16" si="18">VLOOKUP(J14,Tarifa1,3)</f>
        <v>0.21360000000000001</v>
      </c>
      <c r="N14" s="133">
        <f t="shared" si="4"/>
        <v>212.89939200000006</v>
      </c>
      <c r="O14" s="133">
        <v>627.6</v>
      </c>
      <c r="P14" s="133">
        <f t="shared" si="5"/>
        <v>840.49939200000006</v>
      </c>
      <c r="Q14" s="133">
        <f t="shared" ref="Q14:Q16" si="19">VLOOKUP(J14,Credito1,2)</f>
        <v>0</v>
      </c>
      <c r="R14" s="133">
        <f t="shared" si="7"/>
        <v>840.49939200000006</v>
      </c>
      <c r="S14" s="132">
        <f t="shared" si="14"/>
        <v>0</v>
      </c>
      <c r="T14" s="132">
        <f t="shared" si="15"/>
        <v>840.49939200000006</v>
      </c>
      <c r="U14" s="132">
        <f>SUM(T14:T14)</f>
        <v>840.49939200000006</v>
      </c>
      <c r="V14" s="132">
        <f>H14+S14-U14</f>
        <v>6082.1306080000004</v>
      </c>
      <c r="W14" s="127"/>
      <c r="X14" s="4"/>
    </row>
    <row r="15" spans="1:25" ht="60" customHeight="1" x14ac:dyDescent="0.2">
      <c r="A15" s="241"/>
      <c r="B15" s="120" t="s">
        <v>351</v>
      </c>
      <c r="C15" s="120" t="s">
        <v>149</v>
      </c>
      <c r="D15" s="126" t="s">
        <v>98</v>
      </c>
      <c r="E15" s="138">
        <v>15</v>
      </c>
      <c r="F15" s="124">
        <v>6922.63</v>
      </c>
      <c r="G15" s="131">
        <v>0</v>
      </c>
      <c r="H15" s="132">
        <f t="shared" si="0"/>
        <v>6922.63</v>
      </c>
      <c r="I15" s="133">
        <v>0</v>
      </c>
      <c r="J15" s="133">
        <f t="shared" si="1"/>
        <v>6922.63</v>
      </c>
      <c r="K15" s="133">
        <v>5925.91</v>
      </c>
      <c r="L15" s="133">
        <f t="shared" si="2"/>
        <v>996.72000000000025</v>
      </c>
      <c r="M15" s="134">
        <f t="shared" si="18"/>
        <v>0.21360000000000001</v>
      </c>
      <c r="N15" s="133">
        <f t="shared" si="4"/>
        <v>212.89939200000006</v>
      </c>
      <c r="O15" s="133">
        <v>627.6</v>
      </c>
      <c r="P15" s="133">
        <f t="shared" si="5"/>
        <v>840.49939200000006</v>
      </c>
      <c r="Q15" s="133">
        <f t="shared" si="19"/>
        <v>0</v>
      </c>
      <c r="R15" s="133">
        <f t="shared" si="7"/>
        <v>840.49939200000006</v>
      </c>
      <c r="S15" s="132">
        <f t="shared" si="14"/>
        <v>0</v>
      </c>
      <c r="T15" s="132">
        <f t="shared" si="15"/>
        <v>840.49939200000006</v>
      </c>
      <c r="U15" s="132">
        <f>SUM(T15:T15)</f>
        <v>840.49939200000006</v>
      </c>
      <c r="V15" s="132">
        <f>H15+S15-U15</f>
        <v>6082.1306080000004</v>
      </c>
      <c r="W15" s="127"/>
      <c r="X15" s="4"/>
    </row>
    <row r="16" spans="1:25" ht="60" customHeight="1" x14ac:dyDescent="0.2">
      <c r="A16" s="241"/>
      <c r="B16" s="244">
        <v>231</v>
      </c>
      <c r="C16" s="120" t="s">
        <v>149</v>
      </c>
      <c r="D16" s="126" t="s">
        <v>98</v>
      </c>
      <c r="E16" s="164">
        <v>15</v>
      </c>
      <c r="F16" s="124">
        <v>6922.63</v>
      </c>
      <c r="G16" s="131">
        <v>0</v>
      </c>
      <c r="H16" s="132">
        <f t="shared" ref="H16" si="20">SUM(F16:G16)</f>
        <v>6922.63</v>
      </c>
      <c r="I16" s="133">
        <v>0</v>
      </c>
      <c r="J16" s="133">
        <f t="shared" si="1"/>
        <v>6922.63</v>
      </c>
      <c r="K16" s="133">
        <v>5925.91</v>
      </c>
      <c r="L16" s="133">
        <f t="shared" si="2"/>
        <v>996.72000000000025</v>
      </c>
      <c r="M16" s="134">
        <f t="shared" si="18"/>
        <v>0.21360000000000001</v>
      </c>
      <c r="N16" s="133">
        <f t="shared" si="4"/>
        <v>212.89939200000006</v>
      </c>
      <c r="O16" s="133">
        <v>627.6</v>
      </c>
      <c r="P16" s="133">
        <f t="shared" si="5"/>
        <v>840.49939200000006</v>
      </c>
      <c r="Q16" s="133">
        <f t="shared" si="19"/>
        <v>0</v>
      </c>
      <c r="R16" s="133">
        <f t="shared" si="7"/>
        <v>840.49939200000006</v>
      </c>
      <c r="S16" s="132">
        <f t="shared" si="14"/>
        <v>0</v>
      </c>
      <c r="T16" s="132">
        <f t="shared" si="15"/>
        <v>840.49939200000006</v>
      </c>
      <c r="U16" s="132">
        <f>SUM(T16:T16)</f>
        <v>840.49939200000006</v>
      </c>
      <c r="V16" s="132">
        <f>H16+S16-U16</f>
        <v>6082.1306080000004</v>
      </c>
      <c r="W16" s="127"/>
      <c r="X16" s="4"/>
    </row>
    <row r="17" spans="1:36" ht="60" customHeight="1" x14ac:dyDescent="0.2">
      <c r="A17" s="241"/>
      <c r="B17" s="120" t="s">
        <v>373</v>
      </c>
      <c r="C17" s="120" t="s">
        <v>149</v>
      </c>
      <c r="D17" s="126" t="s">
        <v>98</v>
      </c>
      <c r="E17" s="164">
        <v>15</v>
      </c>
      <c r="F17" s="124">
        <v>6922.63</v>
      </c>
      <c r="G17" s="131">
        <v>0</v>
      </c>
      <c r="H17" s="132">
        <f t="shared" ref="H17:H18" si="21">SUM(F17:G17)</f>
        <v>6922.63</v>
      </c>
      <c r="I17" s="133">
        <v>0</v>
      </c>
      <c r="J17" s="133">
        <f t="shared" ref="J17:J18" si="22">F17+I17</f>
        <v>6922.63</v>
      </c>
      <c r="K17" s="133">
        <v>5925.91</v>
      </c>
      <c r="L17" s="133">
        <f t="shared" ref="L17:L18" si="23">J17-K17</f>
        <v>996.72000000000025</v>
      </c>
      <c r="M17" s="134">
        <f t="shared" ref="M17:M18" si="24">VLOOKUP(J17,Tarifa1,3)</f>
        <v>0.21360000000000001</v>
      </c>
      <c r="N17" s="133">
        <f t="shared" ref="N17:N18" si="25">L17*M17</f>
        <v>212.89939200000006</v>
      </c>
      <c r="O17" s="133">
        <v>627.6</v>
      </c>
      <c r="P17" s="133">
        <f t="shared" ref="P17:P18" si="26">N17+O17</f>
        <v>840.49939200000006</v>
      </c>
      <c r="Q17" s="133">
        <f t="shared" ref="Q17:Q18" si="27">VLOOKUP(J17,Credito1,2)</f>
        <v>0</v>
      </c>
      <c r="R17" s="133">
        <f t="shared" ref="R17:R18" si="28">P17-Q17</f>
        <v>840.49939200000006</v>
      </c>
      <c r="S17" s="132">
        <f t="shared" ref="S17:S18" si="29">-IF(R17&gt;0,0,R17)</f>
        <v>0</v>
      </c>
      <c r="T17" s="132">
        <f t="shared" ref="T17:T18" si="30">IF(R17&lt;0,0,R17)</f>
        <v>840.49939200000006</v>
      </c>
      <c r="U17" s="132">
        <f>SUM(T17:T17)</f>
        <v>840.49939200000006</v>
      </c>
      <c r="V17" s="132">
        <f>H17+S17-U17</f>
        <v>6082.1306080000004</v>
      </c>
      <c r="W17" s="127"/>
      <c r="X17" s="4"/>
    </row>
    <row r="18" spans="1:36" ht="60" customHeight="1" x14ac:dyDescent="0.2">
      <c r="A18" s="241"/>
      <c r="B18" s="120" t="s">
        <v>374</v>
      </c>
      <c r="C18" s="120" t="s">
        <v>149</v>
      </c>
      <c r="D18" s="126" t="s">
        <v>98</v>
      </c>
      <c r="E18" s="138">
        <v>15</v>
      </c>
      <c r="F18" s="124">
        <v>6922.63</v>
      </c>
      <c r="G18" s="131">
        <v>0</v>
      </c>
      <c r="H18" s="132">
        <f t="shared" si="21"/>
        <v>6922.63</v>
      </c>
      <c r="I18" s="133">
        <v>0</v>
      </c>
      <c r="J18" s="133">
        <f t="shared" si="22"/>
        <v>6922.63</v>
      </c>
      <c r="K18" s="133">
        <v>5925.91</v>
      </c>
      <c r="L18" s="133">
        <f t="shared" si="23"/>
        <v>996.72000000000025</v>
      </c>
      <c r="M18" s="134">
        <f t="shared" si="24"/>
        <v>0.21360000000000001</v>
      </c>
      <c r="N18" s="133">
        <f t="shared" si="25"/>
        <v>212.89939200000006</v>
      </c>
      <c r="O18" s="133">
        <v>627.6</v>
      </c>
      <c r="P18" s="133">
        <f t="shared" si="26"/>
        <v>840.49939200000006</v>
      </c>
      <c r="Q18" s="133">
        <f t="shared" si="27"/>
        <v>0</v>
      </c>
      <c r="R18" s="133">
        <f t="shared" si="28"/>
        <v>840.49939200000006</v>
      </c>
      <c r="S18" s="132">
        <f t="shared" si="29"/>
        <v>0</v>
      </c>
      <c r="T18" s="132">
        <f t="shared" si="30"/>
        <v>840.49939200000006</v>
      </c>
      <c r="U18" s="132">
        <f>SUM(T18:T18)</f>
        <v>840.49939200000006</v>
      </c>
      <c r="V18" s="132">
        <f>H18+S18-U18</f>
        <v>6082.1306080000004</v>
      </c>
      <c r="W18" s="127"/>
      <c r="X18" s="4"/>
    </row>
    <row r="19" spans="1:36" ht="60" customHeight="1" x14ac:dyDescent="0.2">
      <c r="A19" s="241"/>
      <c r="B19" s="120" t="s">
        <v>376</v>
      </c>
      <c r="C19" s="120" t="s">
        <v>149</v>
      </c>
      <c r="D19" s="126" t="s">
        <v>98</v>
      </c>
      <c r="E19" s="138">
        <v>12</v>
      </c>
      <c r="F19" s="124">
        <v>5348.1</v>
      </c>
      <c r="G19" s="131">
        <v>0</v>
      </c>
      <c r="H19" s="132">
        <f>SUM(F19:G19)</f>
        <v>5348.1</v>
      </c>
      <c r="I19" s="133">
        <v>0</v>
      </c>
      <c r="J19" s="133">
        <f>F19+I19</f>
        <v>5348.1</v>
      </c>
      <c r="K19" s="133">
        <v>4949.5600000000004</v>
      </c>
      <c r="L19" s="133">
        <f>J19-K19</f>
        <v>398.53999999999996</v>
      </c>
      <c r="M19" s="134">
        <v>0.1792</v>
      </c>
      <c r="N19" s="133">
        <f>L19*M19</f>
        <v>71.418367999999987</v>
      </c>
      <c r="O19" s="135">
        <v>341.85</v>
      </c>
      <c r="P19" s="133">
        <f>N19+O19</f>
        <v>413.26836800000001</v>
      </c>
      <c r="Q19" s="133">
        <v>0</v>
      </c>
      <c r="R19" s="133">
        <f>P19-Q19</f>
        <v>413.26836800000001</v>
      </c>
      <c r="S19" s="132">
        <f>-IF(R19&gt;0,0,R19)</f>
        <v>0</v>
      </c>
      <c r="T19" s="132">
        <v>482.46</v>
      </c>
      <c r="U19" s="132">
        <f>SUM(T19:T19)</f>
        <v>482.46</v>
      </c>
      <c r="V19" s="132">
        <f>H19+S19-U19</f>
        <v>4865.6400000000003</v>
      </c>
      <c r="W19" s="127"/>
      <c r="X19" s="4"/>
    </row>
    <row r="20" spans="1:36" ht="38.1" customHeight="1" thickBot="1" x14ac:dyDescent="0.25">
      <c r="A20" s="254" t="s">
        <v>45</v>
      </c>
      <c r="B20" s="255"/>
      <c r="C20" s="255"/>
      <c r="D20" s="255"/>
      <c r="E20" s="255"/>
      <c r="F20" s="171">
        <f t="shared" ref="F20:V20" si="31">SUM(F9:F16)</f>
        <v>59232.109999999993</v>
      </c>
      <c r="G20" s="171">
        <f t="shared" si="31"/>
        <v>0</v>
      </c>
      <c r="H20" s="171">
        <f t="shared" si="31"/>
        <v>59232.109999999993</v>
      </c>
      <c r="I20" s="172">
        <f t="shared" si="31"/>
        <v>0</v>
      </c>
      <c r="J20" s="172">
        <f t="shared" si="31"/>
        <v>59232.109999999993</v>
      </c>
      <c r="K20" s="172">
        <f t="shared" si="31"/>
        <v>47407.28</v>
      </c>
      <c r="L20" s="172">
        <f t="shared" si="31"/>
        <v>11824.830000000002</v>
      </c>
      <c r="M20" s="172">
        <f t="shared" si="31"/>
        <v>1.7088000000000001</v>
      </c>
      <c r="N20" s="172">
        <f t="shared" si="31"/>
        <v>2525.7836880000009</v>
      </c>
      <c r="O20" s="172">
        <f t="shared" si="31"/>
        <v>5020.8</v>
      </c>
      <c r="P20" s="172">
        <f t="shared" si="31"/>
        <v>7546.5836879999988</v>
      </c>
      <c r="Q20" s="172">
        <f t="shared" si="31"/>
        <v>0</v>
      </c>
      <c r="R20" s="172">
        <f t="shared" si="31"/>
        <v>7546.5836879999988</v>
      </c>
      <c r="S20" s="171">
        <f t="shared" si="31"/>
        <v>0</v>
      </c>
      <c r="T20" s="171">
        <f t="shared" si="31"/>
        <v>7546.5836879999988</v>
      </c>
      <c r="U20" s="171">
        <f t="shared" si="31"/>
        <v>7546.5836879999988</v>
      </c>
      <c r="V20" s="171">
        <f t="shared" si="31"/>
        <v>51685.526311999995</v>
      </c>
      <c r="W20" s="4"/>
      <c r="X20" s="4"/>
    </row>
    <row r="21" spans="1:36" ht="13.5" thickTop="1" x14ac:dyDescent="0.2"/>
    <row r="27" spans="1:36" x14ac:dyDescent="0.2">
      <c r="G27" s="118"/>
    </row>
    <row r="28" spans="1:36" x14ac:dyDescent="0.2">
      <c r="D28" s="119"/>
      <c r="E28" s="119"/>
      <c r="F28" s="119"/>
      <c r="G28" s="119"/>
      <c r="H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I28" s="119"/>
      <c r="AJ28" s="119"/>
    </row>
  </sheetData>
  <mergeCells count="7">
    <mergeCell ref="A20:E20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7"/>
  <sheetViews>
    <sheetView topLeftCell="B13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5" t="s">
        <v>151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97" customFormat="1" ht="69.95" customHeight="1" x14ac:dyDescent="0.2">
      <c r="A10" s="62" t="s">
        <v>104</v>
      </c>
      <c r="B10" s="64" t="s">
        <v>153</v>
      </c>
      <c r="C10" s="64" t="s">
        <v>149</v>
      </c>
      <c r="D10" s="183" t="s">
        <v>154</v>
      </c>
      <c r="E10" s="173" t="s">
        <v>152</v>
      </c>
      <c r="F10" s="174">
        <v>15</v>
      </c>
      <c r="G10" s="175">
        <f>H10/F10</f>
        <v>241.232</v>
      </c>
      <c r="H10" s="176">
        <v>3618.48</v>
      </c>
      <c r="I10" s="177">
        <v>0</v>
      </c>
      <c r="J10" s="178">
        <f>SUM(H10:I10)</f>
        <v>3618.48</v>
      </c>
      <c r="K10" s="179">
        <v>0</v>
      </c>
      <c r="L10" s="179">
        <f>H10+K10</f>
        <v>3618.48</v>
      </c>
      <c r="M10" s="179">
        <v>2422.81</v>
      </c>
      <c r="N10" s="179">
        <f>L10-M10</f>
        <v>1195.67</v>
      </c>
      <c r="O10" s="180">
        <f>VLOOKUP(L10,Tarifa1,3)</f>
        <v>0.10879999999999999</v>
      </c>
      <c r="P10" s="179">
        <f>N10*O10</f>
        <v>130.08889600000001</v>
      </c>
      <c r="Q10" s="179">
        <v>142.19999999999999</v>
      </c>
      <c r="R10" s="179">
        <f>P10+Q10</f>
        <v>272.28889600000002</v>
      </c>
      <c r="S10" s="179">
        <v>107.4</v>
      </c>
      <c r="T10" s="179">
        <f>R10-S10</f>
        <v>164.88889600000002</v>
      </c>
      <c r="U10" s="178">
        <f>-IF(T10&gt;0,0,T10)</f>
        <v>0</v>
      </c>
      <c r="V10" s="182">
        <f>IF(T10&lt;0,0,T10)</f>
        <v>164.88889600000002</v>
      </c>
      <c r="W10" s="178">
        <f>SUM(V10:V10)</f>
        <v>164.88889600000002</v>
      </c>
      <c r="X10" s="178">
        <f>J10+U10-W10</f>
        <v>3453.5911040000001</v>
      </c>
      <c r="Y10" s="196"/>
    </row>
    <row r="11" spans="1:25" s="197" customFormat="1" ht="69.95" customHeight="1" x14ac:dyDescent="0.2">
      <c r="A11" s="62" t="s">
        <v>105</v>
      </c>
      <c r="B11" s="64" t="s">
        <v>155</v>
      </c>
      <c r="C11" s="64" t="s">
        <v>149</v>
      </c>
      <c r="D11" s="183" t="s">
        <v>156</v>
      </c>
      <c r="E11" s="173" t="s">
        <v>152</v>
      </c>
      <c r="F11" s="174">
        <v>7</v>
      </c>
      <c r="G11" s="175">
        <v>208.2</v>
      </c>
      <c r="H11" s="176">
        <v>3618.48</v>
      </c>
      <c r="I11" s="177">
        <v>0</v>
      </c>
      <c r="J11" s="178">
        <f>SUM(H11:I11)</f>
        <v>3618.48</v>
      </c>
      <c r="K11" s="179">
        <v>0</v>
      </c>
      <c r="L11" s="179">
        <f>H11+K11</f>
        <v>3618.48</v>
      </c>
      <c r="M11" s="179">
        <v>2422.81</v>
      </c>
      <c r="N11" s="179">
        <f>L11-M11</f>
        <v>1195.67</v>
      </c>
      <c r="O11" s="180">
        <f>VLOOKUP(L11,Tarifa1,3)</f>
        <v>0.10879999999999999</v>
      </c>
      <c r="P11" s="179">
        <f>N11*O11</f>
        <v>130.08889600000001</v>
      </c>
      <c r="Q11" s="179">
        <v>142.19999999999999</v>
      </c>
      <c r="R11" s="179">
        <f>P11+Q11</f>
        <v>272.28889600000002</v>
      </c>
      <c r="S11" s="179">
        <v>107.4</v>
      </c>
      <c r="T11" s="179">
        <f>R11-S11</f>
        <v>164.88889600000002</v>
      </c>
      <c r="U11" s="178">
        <f>-IF(T11&gt;0,0,T11)</f>
        <v>0</v>
      </c>
      <c r="V11" s="182">
        <f>IF(T11&lt;0,0,T11)</f>
        <v>164.88889600000002</v>
      </c>
      <c r="W11" s="178">
        <f>SUM(V11:V11)</f>
        <v>164.88889600000002</v>
      </c>
      <c r="X11" s="178">
        <f>J11+U11-W11</f>
        <v>3453.5911040000001</v>
      </c>
      <c r="Y11" s="196"/>
    </row>
    <row r="12" spans="1:25" s="197" customFormat="1" ht="69.95" customHeight="1" x14ac:dyDescent="0.2">
      <c r="A12" s="130"/>
      <c r="B12" s="220" t="s">
        <v>291</v>
      </c>
      <c r="C12" s="64" t="s">
        <v>149</v>
      </c>
      <c r="D12" s="221" t="s">
        <v>235</v>
      </c>
      <c r="E12" s="173" t="s">
        <v>152</v>
      </c>
      <c r="F12" s="174">
        <v>7</v>
      </c>
      <c r="G12" s="175">
        <v>208.2</v>
      </c>
      <c r="H12" s="176">
        <v>3618.48</v>
      </c>
      <c r="I12" s="177">
        <v>0</v>
      </c>
      <c r="J12" s="178">
        <f>SUM(H12:I12)</f>
        <v>3618.48</v>
      </c>
      <c r="K12" s="179">
        <v>0</v>
      </c>
      <c r="L12" s="179">
        <f>H12+K12</f>
        <v>3618.48</v>
      </c>
      <c r="M12" s="179">
        <v>2422.81</v>
      </c>
      <c r="N12" s="179">
        <f>L12-M12</f>
        <v>1195.67</v>
      </c>
      <c r="O12" s="180">
        <f>VLOOKUP(L12,Tarifa1,3)</f>
        <v>0.10879999999999999</v>
      </c>
      <c r="P12" s="179">
        <f>N12*O12</f>
        <v>130.08889600000001</v>
      </c>
      <c r="Q12" s="179">
        <v>142.19999999999999</v>
      </c>
      <c r="R12" s="179">
        <f>P12+Q12</f>
        <v>272.28889600000002</v>
      </c>
      <c r="S12" s="179">
        <v>107.4</v>
      </c>
      <c r="T12" s="179">
        <f>R12-S12</f>
        <v>164.88889600000002</v>
      </c>
      <c r="U12" s="178">
        <f>-IF(T12&gt;0,0,T12)</f>
        <v>0</v>
      </c>
      <c r="V12" s="182">
        <f>IF(T12&lt;0,0,T12)</f>
        <v>164.88889600000002</v>
      </c>
      <c r="W12" s="178">
        <f>SUM(V12:V12)</f>
        <v>164.88889600000002</v>
      </c>
      <c r="X12" s="178">
        <f>J12+U12-W12</f>
        <v>3453.5911040000001</v>
      </c>
      <c r="Y12" s="196"/>
    </row>
    <row r="13" spans="1:25" s="197" customFormat="1" ht="69.95" customHeight="1" x14ac:dyDescent="0.2">
      <c r="A13" s="222"/>
      <c r="B13" s="223">
        <v>185</v>
      </c>
      <c r="C13" s="64" t="s">
        <v>149</v>
      </c>
      <c r="D13" s="224" t="s">
        <v>234</v>
      </c>
      <c r="E13" s="173" t="s">
        <v>152</v>
      </c>
      <c r="F13" s="174">
        <v>7</v>
      </c>
      <c r="G13" s="175">
        <v>208.2</v>
      </c>
      <c r="H13" s="176">
        <v>3618.48</v>
      </c>
      <c r="I13" s="177">
        <v>230.24</v>
      </c>
      <c r="J13" s="178">
        <f>SUM(H13:I13)</f>
        <v>3848.7200000000003</v>
      </c>
      <c r="K13" s="179">
        <v>0</v>
      </c>
      <c r="L13" s="179">
        <f>H13+K13</f>
        <v>3618.48</v>
      </c>
      <c r="M13" s="179">
        <v>2422.81</v>
      </c>
      <c r="N13" s="179">
        <f>L13-M13</f>
        <v>1195.67</v>
      </c>
      <c r="O13" s="180">
        <f>VLOOKUP(L13,Tarifa1,3)</f>
        <v>0.10879999999999999</v>
      </c>
      <c r="P13" s="179">
        <f>N13*O13</f>
        <v>130.08889600000001</v>
      </c>
      <c r="Q13" s="179">
        <v>142.19999999999999</v>
      </c>
      <c r="R13" s="179">
        <f>P13+Q13</f>
        <v>272.28889600000002</v>
      </c>
      <c r="S13" s="179">
        <v>107.4</v>
      </c>
      <c r="T13" s="179">
        <f>R13-S13</f>
        <v>164.88889600000002</v>
      </c>
      <c r="U13" s="178">
        <f>-IF(T13&gt;0,0,T13)</f>
        <v>0</v>
      </c>
      <c r="V13" s="182">
        <f>IF(T13&lt;0,0,T13)</f>
        <v>164.88889600000002</v>
      </c>
      <c r="W13" s="178">
        <f>SUM(V13:V13)</f>
        <v>164.88889600000002</v>
      </c>
      <c r="X13" s="178">
        <f>J13+U13-W13</f>
        <v>3683.8311040000003</v>
      </c>
      <c r="Y13" s="196"/>
    </row>
    <row r="14" spans="1:25" s="197" customFormat="1" ht="69.95" customHeight="1" x14ac:dyDescent="0.2">
      <c r="A14" s="212"/>
      <c r="B14" s="223">
        <v>188</v>
      </c>
      <c r="C14" s="64" t="s">
        <v>149</v>
      </c>
      <c r="D14" s="224" t="s">
        <v>298</v>
      </c>
      <c r="E14" s="173" t="s">
        <v>152</v>
      </c>
      <c r="F14" s="174">
        <v>7</v>
      </c>
      <c r="G14" s="175">
        <v>208.2</v>
      </c>
      <c r="H14" s="176">
        <v>3618.48</v>
      </c>
      <c r="I14" s="177">
        <v>0</v>
      </c>
      <c r="J14" s="178">
        <f>SUM(H14:I14)</f>
        <v>3618.48</v>
      </c>
      <c r="K14" s="179">
        <v>0</v>
      </c>
      <c r="L14" s="179">
        <f>H14+K14</f>
        <v>3618.48</v>
      </c>
      <c r="M14" s="179">
        <v>2422.81</v>
      </c>
      <c r="N14" s="179">
        <f>L14-M14</f>
        <v>1195.67</v>
      </c>
      <c r="O14" s="180">
        <f>VLOOKUP(L14,Tarifa1,3)</f>
        <v>0.10879999999999999</v>
      </c>
      <c r="P14" s="179">
        <f>N14*O14</f>
        <v>130.08889600000001</v>
      </c>
      <c r="Q14" s="179">
        <v>142.19999999999999</v>
      </c>
      <c r="R14" s="179">
        <f>P14+Q14</f>
        <v>272.28889600000002</v>
      </c>
      <c r="S14" s="179">
        <v>107.4</v>
      </c>
      <c r="T14" s="179">
        <f>R14-S14</f>
        <v>164.88889600000002</v>
      </c>
      <c r="U14" s="178">
        <f>-IF(T14&gt;0,0,T14)</f>
        <v>0</v>
      </c>
      <c r="V14" s="182">
        <f>IF(T14&lt;0,0,T14)</f>
        <v>164.88889600000002</v>
      </c>
      <c r="W14" s="178">
        <f>SUM(V14:V14)</f>
        <v>164.88889600000002</v>
      </c>
      <c r="X14" s="178">
        <f>J14+U14-W14</f>
        <v>3453.5911040000001</v>
      </c>
      <c r="Y14" s="196"/>
    </row>
    <row r="15" spans="1:25" x14ac:dyDescent="0.2">
      <c r="A15" s="58"/>
      <c r="B15" s="58"/>
      <c r="C15" s="58"/>
      <c r="D15" s="58"/>
      <c r="E15" s="58"/>
      <c r="F15" s="59"/>
      <c r="G15" s="58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54" t="s">
        <v>45</v>
      </c>
      <c r="B16" s="255"/>
      <c r="C16" s="255"/>
      <c r="D16" s="255"/>
      <c r="E16" s="255"/>
      <c r="F16" s="255"/>
      <c r="G16" s="256"/>
      <c r="H16" s="39">
        <f>SUM(H10:H15)</f>
        <v>18092.400000000001</v>
      </c>
      <c r="I16" s="39">
        <f>SUM(I10:I15)</f>
        <v>230.24</v>
      </c>
      <c r="J16" s="39">
        <f>SUM(J10:J15)</f>
        <v>18322.64</v>
      </c>
      <c r="K16" s="40">
        <f t="shared" ref="K16:T16" si="0">SUM(K10:K15)</f>
        <v>0</v>
      </c>
      <c r="L16" s="40">
        <f t="shared" si="0"/>
        <v>18092.400000000001</v>
      </c>
      <c r="M16" s="40">
        <f t="shared" si="0"/>
        <v>12114.05</v>
      </c>
      <c r="N16" s="40">
        <f t="shared" si="0"/>
        <v>5978.35</v>
      </c>
      <c r="O16" s="40">
        <f t="shared" si="0"/>
        <v>0.54399999999999993</v>
      </c>
      <c r="P16" s="40">
        <f t="shared" si="0"/>
        <v>650.44448</v>
      </c>
      <c r="Q16" s="40">
        <f t="shared" si="0"/>
        <v>711</v>
      </c>
      <c r="R16" s="40">
        <f t="shared" si="0"/>
        <v>1361.4444800000001</v>
      </c>
      <c r="S16" s="40">
        <f t="shared" si="0"/>
        <v>537</v>
      </c>
      <c r="T16" s="40">
        <f t="shared" si="0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17498.195520000001</v>
      </c>
    </row>
    <row r="17" spans="4:25" ht="13.5" thickTop="1" x14ac:dyDescent="0.2"/>
    <row r="25" spans="4:25" x14ac:dyDescent="0.2">
      <c r="D25" s="4" t="s">
        <v>258</v>
      </c>
      <c r="V25" s="4" t="s">
        <v>247</v>
      </c>
    </row>
    <row r="26" spans="4:25" x14ac:dyDescent="0.2">
      <c r="D26" s="80" t="s">
        <v>239</v>
      </c>
      <c r="H26" s="4"/>
      <c r="V26" s="80" t="s">
        <v>260</v>
      </c>
    </row>
    <row r="27" spans="4:25" x14ac:dyDescent="0.2">
      <c r="D27" s="51" t="s">
        <v>259</v>
      </c>
      <c r="E27" s="51"/>
      <c r="F27" s="51"/>
      <c r="G27" s="51"/>
      <c r="H27" s="51"/>
      <c r="I27" s="51"/>
      <c r="V27" s="51" t="s">
        <v>257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B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2" workbookViewId="0">
      <selection activeCell="W10" sqref="W1:W1048576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39.140625" style="93" customWidth="1"/>
    <col min="5" max="5" width="19.5703125" style="93" customWidth="1"/>
    <col min="6" max="6" width="6.5703125" style="93" hidden="1" customWidth="1"/>
    <col min="7" max="7" width="10" style="93" hidden="1" customWidth="1"/>
    <col min="8" max="8" width="12.7109375" style="93" customWidth="1"/>
    <col min="9" max="9" width="10.85546875" style="93" customWidth="1"/>
    <col min="10" max="10" width="12.7109375" style="93" customWidth="1"/>
    <col min="11" max="11" width="13.140625" style="93" hidden="1" customWidth="1"/>
    <col min="12" max="14" width="11" style="93" hidden="1" customWidth="1"/>
    <col min="15" max="16" width="13.140625" style="93" hidden="1" customWidth="1"/>
    <col min="17" max="17" width="10.5703125" style="93" hidden="1" customWidth="1"/>
    <col min="18" max="18" width="10.42578125" style="93" hidden="1" customWidth="1"/>
    <col min="19" max="19" width="13.140625" style="93" hidden="1" customWidth="1"/>
    <col min="20" max="20" width="11.5703125" style="93" hidden="1" customWidth="1"/>
    <col min="21" max="23" width="9.7109375" style="93" customWidth="1"/>
    <col min="24" max="24" width="12.7109375" style="93" customWidth="1"/>
    <col min="25" max="25" width="73.42578125" style="93" customWidth="1"/>
    <col min="26" max="16384" width="11.42578125" style="93"/>
  </cols>
  <sheetData>
    <row r="1" spans="1:25" ht="18" x14ac:dyDescent="0.25">
      <c r="A1" s="283" t="s">
        <v>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ht="18" x14ac:dyDescent="0.25">
      <c r="A2" s="283" t="s">
        <v>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x14ac:dyDescent="0.2">
      <c r="A6" s="94"/>
      <c r="B6" s="94"/>
      <c r="C6" s="94"/>
      <c r="D6" s="94"/>
      <c r="E6" s="94"/>
      <c r="F6" s="95" t="s">
        <v>23</v>
      </c>
      <c r="G6" s="95" t="s">
        <v>6</v>
      </c>
      <c r="H6" s="284" t="s">
        <v>1</v>
      </c>
      <c r="I6" s="285"/>
      <c r="J6" s="286"/>
      <c r="K6" s="96" t="s">
        <v>26</v>
      </c>
      <c r="L6" s="97"/>
      <c r="M6" s="287" t="s">
        <v>9</v>
      </c>
      <c r="N6" s="288"/>
      <c r="O6" s="288"/>
      <c r="P6" s="288"/>
      <c r="Q6" s="288"/>
      <c r="R6" s="289"/>
      <c r="S6" s="96" t="s">
        <v>30</v>
      </c>
      <c r="T6" s="96" t="s">
        <v>10</v>
      </c>
      <c r="U6" s="95" t="s">
        <v>54</v>
      </c>
      <c r="V6" s="290" t="s">
        <v>2</v>
      </c>
      <c r="W6" s="291"/>
      <c r="X6" s="95" t="s">
        <v>0</v>
      </c>
      <c r="Y6" s="98"/>
    </row>
    <row r="7" spans="1:25" ht="22.5" x14ac:dyDescent="0.2">
      <c r="A7" s="99" t="s">
        <v>21</v>
      </c>
      <c r="B7" s="100" t="s">
        <v>126</v>
      </c>
      <c r="C7" s="100" t="s">
        <v>150</v>
      </c>
      <c r="D7" s="99" t="s">
        <v>22</v>
      </c>
      <c r="E7" s="99"/>
      <c r="F7" s="101" t="s">
        <v>24</v>
      </c>
      <c r="G7" s="99" t="s">
        <v>25</v>
      </c>
      <c r="H7" s="95" t="s">
        <v>6</v>
      </c>
      <c r="I7" s="95" t="s">
        <v>61</v>
      </c>
      <c r="J7" s="95" t="s">
        <v>28</v>
      </c>
      <c r="K7" s="102" t="s">
        <v>27</v>
      </c>
      <c r="L7" s="97" t="s">
        <v>32</v>
      </c>
      <c r="M7" s="97" t="s">
        <v>12</v>
      </c>
      <c r="N7" s="97" t="s">
        <v>34</v>
      </c>
      <c r="O7" s="97" t="s">
        <v>36</v>
      </c>
      <c r="P7" s="97" t="s">
        <v>37</v>
      </c>
      <c r="Q7" s="97" t="s">
        <v>14</v>
      </c>
      <c r="R7" s="97" t="s">
        <v>10</v>
      </c>
      <c r="S7" s="102" t="s">
        <v>40</v>
      </c>
      <c r="T7" s="102" t="s">
        <v>41</v>
      </c>
      <c r="U7" s="99" t="s">
        <v>31</v>
      </c>
      <c r="V7" s="95" t="s">
        <v>3</v>
      </c>
      <c r="W7" s="95" t="s">
        <v>7</v>
      </c>
      <c r="X7" s="99" t="s">
        <v>4</v>
      </c>
      <c r="Y7" s="103" t="s">
        <v>60</v>
      </c>
    </row>
    <row r="8" spans="1:25" x14ac:dyDescent="0.2">
      <c r="A8" s="104"/>
      <c r="B8" s="99"/>
      <c r="C8" s="99"/>
      <c r="D8" s="99"/>
      <c r="E8" s="99"/>
      <c r="F8" s="99"/>
      <c r="G8" s="99"/>
      <c r="H8" s="99" t="s">
        <v>47</v>
      </c>
      <c r="I8" s="99" t="s">
        <v>62</v>
      </c>
      <c r="J8" s="99" t="s">
        <v>29</v>
      </c>
      <c r="K8" s="102" t="s">
        <v>43</v>
      </c>
      <c r="L8" s="96" t="s">
        <v>33</v>
      </c>
      <c r="M8" s="96" t="s">
        <v>13</v>
      </c>
      <c r="N8" s="96" t="s">
        <v>35</v>
      </c>
      <c r="O8" s="96" t="s">
        <v>35</v>
      </c>
      <c r="P8" s="96" t="s">
        <v>38</v>
      </c>
      <c r="Q8" s="96" t="s">
        <v>15</v>
      </c>
      <c r="R8" s="96" t="s">
        <v>39</v>
      </c>
      <c r="S8" s="102" t="s">
        <v>19</v>
      </c>
      <c r="T8" s="105" t="s">
        <v>173</v>
      </c>
      <c r="U8" s="99" t="s">
        <v>53</v>
      </c>
      <c r="V8" s="99"/>
      <c r="W8" s="99" t="s">
        <v>44</v>
      </c>
      <c r="X8" s="99" t="s">
        <v>5</v>
      </c>
      <c r="Y8" s="106"/>
    </row>
    <row r="9" spans="1:25" ht="15" x14ac:dyDescent="0.25">
      <c r="A9" s="107"/>
      <c r="B9" s="108"/>
      <c r="C9" s="108"/>
      <c r="D9" s="45" t="s">
        <v>190</v>
      </c>
      <c r="E9" s="109" t="s">
        <v>64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10"/>
    </row>
    <row r="10" spans="1:25" s="197" customFormat="1" ht="75" customHeight="1" x14ac:dyDescent="0.2">
      <c r="A10" s="62" t="s">
        <v>103</v>
      </c>
      <c r="B10" s="64" t="s">
        <v>193</v>
      </c>
      <c r="C10" s="64" t="s">
        <v>149</v>
      </c>
      <c r="D10" s="184" t="s">
        <v>183</v>
      </c>
      <c r="E10" s="184" t="s">
        <v>186</v>
      </c>
      <c r="F10" s="174">
        <v>15</v>
      </c>
      <c r="G10" s="175">
        <f>H10/F10</f>
        <v>598.92466666666667</v>
      </c>
      <c r="H10" s="124">
        <v>8983.8700000000008</v>
      </c>
      <c r="I10" s="131">
        <v>0</v>
      </c>
      <c r="J10" s="132">
        <f>H10</f>
        <v>8983.8700000000008</v>
      </c>
      <c r="K10" s="133">
        <v>0</v>
      </c>
      <c r="L10" s="133">
        <f t="shared" ref="L10:L15" si="0">H10+K10</f>
        <v>8983.8700000000008</v>
      </c>
      <c r="M10" s="133">
        <v>5925.91</v>
      </c>
      <c r="N10" s="133">
        <f>L10-M10</f>
        <v>3057.9600000000009</v>
      </c>
      <c r="O10" s="134">
        <f>VLOOKUP(L10,Tarifa1,3)</f>
        <v>0.21360000000000001</v>
      </c>
      <c r="P10" s="133">
        <f>N10*O10</f>
        <v>653.18025600000021</v>
      </c>
      <c r="Q10" s="133">
        <v>627.6</v>
      </c>
      <c r="R10" s="133">
        <f>P10+Q10</f>
        <v>1280.7802560000002</v>
      </c>
      <c r="S10" s="133">
        <f t="shared" ref="S10:S15" si="1">VLOOKUP(L10,Credito1,2)</f>
        <v>0</v>
      </c>
      <c r="T10" s="133">
        <f>R10-S10</f>
        <v>1280.7802560000002</v>
      </c>
      <c r="U10" s="132">
        <f>-IF(T10&gt;0,0,T10)</f>
        <v>0</v>
      </c>
      <c r="V10" s="132">
        <f t="shared" ref="V10:V15" si="2">IF(T10&lt;0,0,T10)</f>
        <v>1280.7802560000002</v>
      </c>
      <c r="W10" s="132">
        <f>SUM(V10:V10)</f>
        <v>1280.7802560000002</v>
      </c>
      <c r="X10" s="132">
        <f>J10+U10-W10+I10</f>
        <v>7703.0897440000008</v>
      </c>
      <c r="Y10" s="173"/>
    </row>
    <row r="11" spans="1:25" s="197" customFormat="1" ht="75" customHeight="1" x14ac:dyDescent="0.2">
      <c r="A11" s="62"/>
      <c r="B11" s="143" t="s">
        <v>292</v>
      </c>
      <c r="C11" s="64" t="s">
        <v>149</v>
      </c>
      <c r="D11" s="184" t="s">
        <v>262</v>
      </c>
      <c r="E11" s="184" t="s">
        <v>186</v>
      </c>
      <c r="F11" s="174"/>
      <c r="G11" s="175"/>
      <c r="H11" s="124">
        <v>8983.8700000000008</v>
      </c>
      <c r="I11" s="131">
        <v>0</v>
      </c>
      <c r="J11" s="132">
        <f>H11</f>
        <v>8983.8700000000008</v>
      </c>
      <c r="K11" s="133">
        <v>0</v>
      </c>
      <c r="L11" s="133">
        <f t="shared" si="0"/>
        <v>8983.8700000000008</v>
      </c>
      <c r="M11" s="133">
        <v>5925.91</v>
      </c>
      <c r="N11" s="133">
        <f>L11-M11</f>
        <v>3057.9600000000009</v>
      </c>
      <c r="O11" s="134">
        <f>VLOOKUP(L11,Tarifa1,3)</f>
        <v>0.21360000000000001</v>
      </c>
      <c r="P11" s="133">
        <f>N11*O11</f>
        <v>653.18025600000021</v>
      </c>
      <c r="Q11" s="133">
        <v>627.6</v>
      </c>
      <c r="R11" s="133">
        <f>P11+Q11</f>
        <v>1280.7802560000002</v>
      </c>
      <c r="S11" s="133">
        <f t="shared" si="1"/>
        <v>0</v>
      </c>
      <c r="T11" s="133">
        <f>R11-S11</f>
        <v>1280.7802560000002</v>
      </c>
      <c r="U11" s="132">
        <f>-IF(T11&gt;0,0,T11)</f>
        <v>0</v>
      </c>
      <c r="V11" s="132">
        <f t="shared" si="2"/>
        <v>1280.7802560000002</v>
      </c>
      <c r="W11" s="132">
        <f>SUM(V11:V11)</f>
        <v>1280.7802560000002</v>
      </c>
      <c r="X11" s="132">
        <f>J11+U11-W11+I11</f>
        <v>7703.0897440000008</v>
      </c>
      <c r="Y11" s="173"/>
    </row>
    <row r="12" spans="1:25" s="197" customFormat="1" ht="75" customHeight="1" x14ac:dyDescent="0.2">
      <c r="A12" s="62" t="s">
        <v>106</v>
      </c>
      <c r="B12" s="64" t="s">
        <v>194</v>
      </c>
      <c r="C12" s="64" t="s">
        <v>149</v>
      </c>
      <c r="D12" s="196" t="s">
        <v>288</v>
      </c>
      <c r="E12" s="173" t="s">
        <v>187</v>
      </c>
      <c r="F12" s="174">
        <v>15</v>
      </c>
      <c r="G12" s="175">
        <f>H12/F12</f>
        <v>359.64000000000004</v>
      </c>
      <c r="H12" s="176">
        <v>5394.6</v>
      </c>
      <c r="I12" s="177">
        <v>324.14999999999998</v>
      </c>
      <c r="J12" s="178">
        <f t="shared" ref="J12:J13" si="3">SUM(H12:I12)</f>
        <v>5718.75</v>
      </c>
      <c r="K12" s="179">
        <v>0</v>
      </c>
      <c r="L12" s="179">
        <f t="shared" si="0"/>
        <v>5394.6</v>
      </c>
      <c r="M12" s="179">
        <v>4949.5600000000004</v>
      </c>
      <c r="N12" s="179">
        <f t="shared" ref="N12" si="4">L12-M12</f>
        <v>445.03999999999996</v>
      </c>
      <c r="O12" s="180">
        <v>0.1792</v>
      </c>
      <c r="P12" s="179">
        <f t="shared" ref="P12" si="5">N12*O12</f>
        <v>79.751167999999993</v>
      </c>
      <c r="Q12" s="179">
        <v>452.55</v>
      </c>
      <c r="R12" s="179">
        <f t="shared" ref="R12" si="6">P12+Q12</f>
        <v>532.30116799999996</v>
      </c>
      <c r="S12" s="179">
        <f t="shared" si="1"/>
        <v>0</v>
      </c>
      <c r="T12" s="179">
        <f t="shared" ref="T12" si="7">R12-S12</f>
        <v>532.30116799999996</v>
      </c>
      <c r="U12" s="178">
        <f t="shared" ref="U12" si="8">-IF(T12&gt;0,0,T12)</f>
        <v>0</v>
      </c>
      <c r="V12" s="178">
        <f t="shared" si="2"/>
        <v>532.30116799999996</v>
      </c>
      <c r="W12" s="178">
        <f>SUM(V12:V12)</f>
        <v>532.30116799999996</v>
      </c>
      <c r="X12" s="178">
        <f>J12+U12-W12</f>
        <v>5186.448832</v>
      </c>
      <c r="Y12" s="196"/>
    </row>
    <row r="13" spans="1:25" s="197" customFormat="1" ht="75" customHeight="1" x14ac:dyDescent="0.2">
      <c r="A13" s="62"/>
      <c r="B13" s="64" t="s">
        <v>354</v>
      </c>
      <c r="C13" s="64" t="s">
        <v>149</v>
      </c>
      <c r="D13" s="196" t="s">
        <v>355</v>
      </c>
      <c r="E13" s="173" t="s">
        <v>187</v>
      </c>
      <c r="F13" s="174"/>
      <c r="G13" s="175"/>
      <c r="H13" s="176">
        <v>5394.6</v>
      </c>
      <c r="I13" s="177">
        <v>0</v>
      </c>
      <c r="J13" s="178">
        <f t="shared" si="3"/>
        <v>5394.6</v>
      </c>
      <c r="K13" s="179">
        <v>0</v>
      </c>
      <c r="L13" s="179">
        <f t="shared" si="0"/>
        <v>5394.6</v>
      </c>
      <c r="M13" s="179">
        <v>4949.5600000000004</v>
      </c>
      <c r="N13" s="179">
        <f t="shared" ref="N13" si="9">L13-M13</f>
        <v>445.03999999999996</v>
      </c>
      <c r="O13" s="180">
        <v>0.1792</v>
      </c>
      <c r="P13" s="179">
        <f t="shared" ref="P13" si="10">N13*O13</f>
        <v>79.751167999999993</v>
      </c>
      <c r="Q13" s="179">
        <v>452.55</v>
      </c>
      <c r="R13" s="179">
        <f t="shared" ref="R13" si="11">P13+Q13</f>
        <v>532.30116799999996</v>
      </c>
      <c r="S13" s="179">
        <f t="shared" si="1"/>
        <v>0</v>
      </c>
      <c r="T13" s="179">
        <f t="shared" ref="T13" si="12">R13-S13</f>
        <v>532.30116799999996</v>
      </c>
      <c r="U13" s="178">
        <f t="shared" ref="U13" si="13">-IF(T13&gt;0,0,T13)</f>
        <v>0</v>
      </c>
      <c r="V13" s="178">
        <f t="shared" si="2"/>
        <v>532.30116799999996</v>
      </c>
      <c r="W13" s="178">
        <f>SUM(V13:V13)</f>
        <v>532.30116799999996</v>
      </c>
      <c r="X13" s="178">
        <f>J13+U13-W13</f>
        <v>4862.2988320000004</v>
      </c>
      <c r="Y13" s="196"/>
    </row>
    <row r="14" spans="1:25" s="197" customFormat="1" ht="75" customHeight="1" x14ac:dyDescent="0.2">
      <c r="A14" s="62" t="s">
        <v>111</v>
      </c>
      <c r="B14" s="64" t="s">
        <v>195</v>
      </c>
      <c r="C14" s="64" t="s">
        <v>237</v>
      </c>
      <c r="D14" s="196" t="s">
        <v>185</v>
      </c>
      <c r="E14" s="184" t="s">
        <v>188</v>
      </c>
      <c r="F14" s="174">
        <v>15</v>
      </c>
      <c r="G14" s="175">
        <f>H14/F14</f>
        <v>279.94400000000002</v>
      </c>
      <c r="H14" s="176">
        <v>4199.16</v>
      </c>
      <c r="I14" s="177">
        <v>0</v>
      </c>
      <c r="J14" s="178">
        <f>SUM(H14:I14)</f>
        <v>4199.16</v>
      </c>
      <c r="K14" s="179">
        <v>0</v>
      </c>
      <c r="L14" s="179">
        <f t="shared" si="0"/>
        <v>4199.16</v>
      </c>
      <c r="M14" s="179">
        <v>2422.81</v>
      </c>
      <c r="N14" s="179">
        <f>L14-M14</f>
        <v>1776.35</v>
      </c>
      <c r="O14" s="180">
        <v>0.10879999999999999</v>
      </c>
      <c r="P14" s="179">
        <f>N14*O14</f>
        <v>193.26687999999999</v>
      </c>
      <c r="Q14" s="181">
        <v>142.19999999999999</v>
      </c>
      <c r="R14" s="179">
        <f>P14+Q14</f>
        <v>335.46687999999995</v>
      </c>
      <c r="S14" s="179">
        <f t="shared" si="1"/>
        <v>0</v>
      </c>
      <c r="T14" s="179">
        <f>R14-S14</f>
        <v>335.46687999999995</v>
      </c>
      <c r="U14" s="178">
        <f>-IF(T14&gt;0,0,T14)</f>
        <v>0</v>
      </c>
      <c r="V14" s="178">
        <f t="shared" si="2"/>
        <v>335.46687999999995</v>
      </c>
      <c r="W14" s="178">
        <f>SUM(V14:V14)</f>
        <v>335.46687999999995</v>
      </c>
      <c r="X14" s="178">
        <f>J14+U14-W14</f>
        <v>3863.6931199999999</v>
      </c>
      <c r="Y14" s="196"/>
    </row>
    <row r="15" spans="1:25" s="197" customFormat="1" ht="75" customHeight="1" x14ac:dyDescent="0.2">
      <c r="A15" s="225"/>
      <c r="B15" s="64" t="s">
        <v>196</v>
      </c>
      <c r="C15" s="64" t="s">
        <v>149</v>
      </c>
      <c r="D15" s="196" t="s">
        <v>184</v>
      </c>
      <c r="E15" s="184" t="s">
        <v>188</v>
      </c>
      <c r="F15" s="174">
        <v>15</v>
      </c>
      <c r="G15" s="175">
        <f>H15/F15</f>
        <v>279.94400000000002</v>
      </c>
      <c r="H15" s="176">
        <v>4199.16</v>
      </c>
      <c r="I15" s="177">
        <v>0</v>
      </c>
      <c r="J15" s="178">
        <f>SUM(H15:I15)</f>
        <v>4199.16</v>
      </c>
      <c r="K15" s="179">
        <v>0</v>
      </c>
      <c r="L15" s="179">
        <f t="shared" si="0"/>
        <v>4199.16</v>
      </c>
      <c r="M15" s="179">
        <v>2422.81</v>
      </c>
      <c r="N15" s="179">
        <f>L15-M15</f>
        <v>1776.35</v>
      </c>
      <c r="O15" s="180">
        <v>0.10879999999999999</v>
      </c>
      <c r="P15" s="179">
        <f>N15*O15</f>
        <v>193.26687999999999</v>
      </c>
      <c r="Q15" s="181">
        <v>142.19999999999999</v>
      </c>
      <c r="R15" s="179">
        <f>P15+Q15</f>
        <v>335.46687999999995</v>
      </c>
      <c r="S15" s="179">
        <f t="shared" si="1"/>
        <v>0</v>
      </c>
      <c r="T15" s="179">
        <f>R15-S15</f>
        <v>335.46687999999995</v>
      </c>
      <c r="U15" s="178">
        <f>-IF(T15&gt;0,0,T15)</f>
        <v>0</v>
      </c>
      <c r="V15" s="178">
        <f t="shared" si="2"/>
        <v>335.46687999999995</v>
      </c>
      <c r="W15" s="178">
        <f>SUM(V15:V15)</f>
        <v>335.46687999999995</v>
      </c>
      <c r="X15" s="178">
        <f>J15+U15-W15</f>
        <v>3863.6931199999999</v>
      </c>
      <c r="Y15" s="196"/>
    </row>
    <row r="16" spans="1:25" ht="40.5" customHeight="1" thickBot="1" x14ac:dyDescent="0.25">
      <c r="A16" s="280" t="s">
        <v>45</v>
      </c>
      <c r="B16" s="281"/>
      <c r="C16" s="281"/>
      <c r="D16" s="281"/>
      <c r="E16" s="281"/>
      <c r="F16" s="281"/>
      <c r="G16" s="282"/>
      <c r="H16" s="116">
        <f t="shared" ref="H16:V16" si="14">SUM(H10:H15)</f>
        <v>37155.260000000009</v>
      </c>
      <c r="I16" s="116">
        <f t="shared" si="14"/>
        <v>324.14999999999998</v>
      </c>
      <c r="J16" s="116">
        <f t="shared" si="14"/>
        <v>37479.410000000003</v>
      </c>
      <c r="K16" s="117">
        <f t="shared" si="14"/>
        <v>0</v>
      </c>
      <c r="L16" s="117">
        <f t="shared" si="14"/>
        <v>37155.260000000009</v>
      </c>
      <c r="M16" s="117">
        <f t="shared" si="14"/>
        <v>26596.560000000005</v>
      </c>
      <c r="N16" s="117">
        <f t="shared" si="14"/>
        <v>10558.700000000003</v>
      </c>
      <c r="O16" s="117">
        <f t="shared" si="14"/>
        <v>1.0032000000000001</v>
      </c>
      <c r="P16" s="117">
        <f t="shared" si="14"/>
        <v>1852.3966080000002</v>
      </c>
      <c r="Q16" s="117">
        <f t="shared" si="14"/>
        <v>2444.6999999999998</v>
      </c>
      <c r="R16" s="117">
        <f t="shared" si="14"/>
        <v>4297.0966079999998</v>
      </c>
      <c r="S16" s="117">
        <f t="shared" si="14"/>
        <v>0</v>
      </c>
      <c r="T16" s="117">
        <f t="shared" si="14"/>
        <v>4297.0966079999998</v>
      </c>
      <c r="U16" s="116">
        <f t="shared" si="14"/>
        <v>0</v>
      </c>
      <c r="V16" s="116">
        <f t="shared" si="14"/>
        <v>4297.0966079999998</v>
      </c>
      <c r="W16" s="116">
        <f>SUM(W10:W15)</f>
        <v>4297.0966079999998</v>
      </c>
      <c r="X16" s="116">
        <f>SUM(X10:X15)</f>
        <v>33182.313392000004</v>
      </c>
    </row>
    <row r="17" spans="4:37" ht="13.5" thickTop="1" x14ac:dyDescent="0.2"/>
    <row r="26" spans="4:37" x14ac:dyDescent="0.2">
      <c r="D26" s="4" t="s">
        <v>255</v>
      </c>
      <c r="V26" s="4" t="s">
        <v>248</v>
      </c>
    </row>
    <row r="27" spans="4:37" x14ac:dyDescent="0.2">
      <c r="D27" s="80" t="s">
        <v>239</v>
      </c>
      <c r="H27" s="118"/>
      <c r="V27" s="80" t="s">
        <v>261</v>
      </c>
    </row>
    <row r="28" spans="4:37" x14ac:dyDescent="0.2">
      <c r="D28" s="51" t="s">
        <v>249</v>
      </c>
      <c r="E28" s="119"/>
      <c r="F28" s="119"/>
      <c r="G28" s="119"/>
      <c r="H28" s="119"/>
      <c r="I28" s="119"/>
      <c r="V28" s="51" t="s">
        <v>257</v>
      </c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J28" s="119"/>
      <c r="AK28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31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31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71" customFormat="1" ht="12" x14ac:dyDescent="0.2">
      <c r="A5" s="67"/>
      <c r="B5" s="67"/>
      <c r="C5" s="67"/>
      <c r="D5" s="67"/>
      <c r="E5" s="67"/>
      <c r="F5" s="68" t="s">
        <v>23</v>
      </c>
      <c r="G5" s="68" t="s">
        <v>6</v>
      </c>
      <c r="H5" s="260" t="s">
        <v>1</v>
      </c>
      <c r="I5" s="261"/>
      <c r="J5" s="262"/>
      <c r="K5" s="69" t="s">
        <v>26</v>
      </c>
      <c r="L5" s="70"/>
      <c r="M5" s="263" t="s">
        <v>9</v>
      </c>
      <c r="N5" s="264"/>
      <c r="O5" s="264"/>
      <c r="P5" s="264"/>
      <c r="Q5" s="264"/>
      <c r="R5" s="265"/>
      <c r="S5" s="69" t="s">
        <v>30</v>
      </c>
      <c r="T5" s="69" t="s">
        <v>10</v>
      </c>
      <c r="U5" s="68" t="s">
        <v>54</v>
      </c>
      <c r="V5" s="266" t="s">
        <v>2</v>
      </c>
      <c r="W5" s="267"/>
      <c r="X5" s="68" t="s">
        <v>0</v>
      </c>
      <c r="Y5" s="67"/>
    </row>
    <row r="6" spans="1:31" s="71" customFormat="1" ht="29.25" customHeight="1" x14ac:dyDescent="0.2">
      <c r="A6" s="72" t="s">
        <v>21</v>
      </c>
      <c r="B6" s="66" t="s">
        <v>126</v>
      </c>
      <c r="C6" s="66" t="s">
        <v>166</v>
      </c>
      <c r="D6" s="72" t="s">
        <v>22</v>
      </c>
      <c r="E6" s="72"/>
      <c r="F6" s="73" t="s">
        <v>24</v>
      </c>
      <c r="G6" s="72" t="s">
        <v>25</v>
      </c>
      <c r="H6" s="68" t="s">
        <v>6</v>
      </c>
      <c r="I6" s="68" t="s">
        <v>61</v>
      </c>
      <c r="J6" s="68" t="s">
        <v>28</v>
      </c>
      <c r="K6" s="74" t="s">
        <v>27</v>
      </c>
      <c r="L6" s="70" t="s">
        <v>32</v>
      </c>
      <c r="M6" s="70" t="s">
        <v>12</v>
      </c>
      <c r="N6" s="70" t="s">
        <v>34</v>
      </c>
      <c r="O6" s="70" t="s">
        <v>36</v>
      </c>
      <c r="P6" s="70" t="s">
        <v>37</v>
      </c>
      <c r="Q6" s="70" t="s">
        <v>14</v>
      </c>
      <c r="R6" s="70" t="s">
        <v>10</v>
      </c>
      <c r="S6" s="74" t="s">
        <v>40</v>
      </c>
      <c r="T6" s="74" t="s">
        <v>41</v>
      </c>
      <c r="U6" s="72" t="s">
        <v>31</v>
      </c>
      <c r="V6" s="68" t="s">
        <v>3</v>
      </c>
      <c r="W6" s="68" t="s">
        <v>7</v>
      </c>
      <c r="X6" s="72" t="s">
        <v>4</v>
      </c>
      <c r="Y6" s="72" t="s">
        <v>60</v>
      </c>
    </row>
    <row r="7" spans="1:31" s="71" customFormat="1" ht="12" x14ac:dyDescent="0.2">
      <c r="A7" s="81"/>
      <c r="B7" s="82"/>
      <c r="C7" s="82"/>
      <c r="D7" s="81"/>
      <c r="E7" s="81"/>
      <c r="F7" s="81"/>
      <c r="G7" s="81"/>
      <c r="H7" s="81" t="s">
        <v>47</v>
      </c>
      <c r="I7" s="81" t="s">
        <v>62</v>
      </c>
      <c r="J7" s="81" t="s">
        <v>29</v>
      </c>
      <c r="K7" s="83" t="s">
        <v>43</v>
      </c>
      <c r="L7" s="69" t="s">
        <v>33</v>
      </c>
      <c r="M7" s="69" t="s">
        <v>13</v>
      </c>
      <c r="N7" s="69" t="s">
        <v>35</v>
      </c>
      <c r="O7" s="69" t="s">
        <v>35</v>
      </c>
      <c r="P7" s="69" t="s">
        <v>38</v>
      </c>
      <c r="Q7" s="69" t="s">
        <v>15</v>
      </c>
      <c r="R7" s="69" t="s">
        <v>39</v>
      </c>
      <c r="S7" s="74" t="s">
        <v>19</v>
      </c>
      <c r="T7" s="75" t="s">
        <v>167</v>
      </c>
      <c r="U7" s="81" t="s">
        <v>53</v>
      </c>
      <c r="V7" s="81"/>
      <c r="W7" s="81" t="s">
        <v>44</v>
      </c>
      <c r="X7" s="81" t="s">
        <v>5</v>
      </c>
      <c r="Y7" s="77"/>
    </row>
    <row r="8" spans="1:31" s="71" customFormat="1" ht="54.75" customHeight="1" x14ac:dyDescent="0.2">
      <c r="A8" s="84"/>
      <c r="B8" s="85" t="s">
        <v>126</v>
      </c>
      <c r="C8" s="85" t="s">
        <v>166</v>
      </c>
      <c r="D8" s="86" t="s">
        <v>66</v>
      </c>
      <c r="E8" s="84" t="s">
        <v>64</v>
      </c>
      <c r="F8" s="84"/>
      <c r="G8" s="84"/>
      <c r="H8" s="87">
        <f>SUM(H9:H11)</f>
        <v>43027.51</v>
      </c>
      <c r="I8" s="87">
        <f>SUM(I9:I11)</f>
        <v>0</v>
      </c>
      <c r="J8" s="87">
        <f>SUM(J9:J11)</f>
        <v>43027.51</v>
      </c>
      <c r="K8" s="84"/>
      <c r="L8" s="84"/>
      <c r="M8" s="84"/>
      <c r="N8" s="84"/>
      <c r="O8" s="84"/>
      <c r="P8" s="84"/>
      <c r="Q8" s="84"/>
      <c r="R8" s="84"/>
      <c r="S8" s="84"/>
      <c r="T8" s="88"/>
      <c r="U8" s="87">
        <f>SUM(U9:U11)</f>
        <v>0</v>
      </c>
      <c r="V8" s="87">
        <f>SUM(V9:V11)</f>
        <v>8016.0574320000005</v>
      </c>
      <c r="W8" s="87">
        <f>SUM(W9:W11)</f>
        <v>8016.0574320000005</v>
      </c>
      <c r="X8" s="87">
        <f>SUM(X9:X11)</f>
        <v>35011.452568000001</v>
      </c>
      <c r="Y8" s="89"/>
    </row>
    <row r="9" spans="1:31" s="71" customFormat="1" ht="54.95" customHeight="1" x14ac:dyDescent="0.2">
      <c r="A9" s="120" t="s">
        <v>103</v>
      </c>
      <c r="B9" s="144" t="s">
        <v>264</v>
      </c>
      <c r="C9" s="120" t="s">
        <v>149</v>
      </c>
      <c r="D9" s="126" t="s">
        <v>197</v>
      </c>
      <c r="E9" s="126" t="s">
        <v>198</v>
      </c>
      <c r="F9" s="138">
        <v>15</v>
      </c>
      <c r="G9" s="139">
        <f>H9/F9</f>
        <v>1677.2486666666666</v>
      </c>
      <c r="H9" s="124">
        <v>25158.73</v>
      </c>
      <c r="I9" s="131">
        <v>0</v>
      </c>
      <c r="J9" s="132">
        <f>SUM(H9:I9)</f>
        <v>25158.73</v>
      </c>
      <c r="K9" s="133">
        <v>0</v>
      </c>
      <c r="L9" s="133">
        <f>H9+K9</f>
        <v>25158.73</v>
      </c>
      <c r="M9" s="133">
        <v>18837.759999999998</v>
      </c>
      <c r="N9" s="133">
        <f>L9-M9</f>
        <v>6320.9700000000012</v>
      </c>
      <c r="O9" s="134">
        <v>0.3</v>
      </c>
      <c r="P9" s="133">
        <f>N9*O9</f>
        <v>1896.2910000000002</v>
      </c>
      <c r="Q9" s="135">
        <v>3534.3</v>
      </c>
      <c r="R9" s="133">
        <f>P9+Q9</f>
        <v>5430.5910000000003</v>
      </c>
      <c r="S9" s="133">
        <f>VLOOKUP(L9,Credito1,2)</f>
        <v>0</v>
      </c>
      <c r="T9" s="133">
        <f>R9-S9</f>
        <v>5430.5910000000003</v>
      </c>
      <c r="U9" s="132">
        <f>-IF(T9&gt;0,0,T9)</f>
        <v>0</v>
      </c>
      <c r="V9" s="140">
        <f>IF(T9&lt;0,0,T9)</f>
        <v>5430.5910000000003</v>
      </c>
      <c r="W9" s="132">
        <f>SUM(V9:V9)</f>
        <v>5430.5910000000003</v>
      </c>
      <c r="X9" s="132">
        <f>J9+U9-W9</f>
        <v>19728.138999999999</v>
      </c>
      <c r="Y9" s="78"/>
    </row>
    <row r="10" spans="1:31" s="71" customFormat="1" ht="54.95" customHeight="1" x14ac:dyDescent="0.2">
      <c r="A10" s="120" t="s">
        <v>104</v>
      </c>
      <c r="B10" s="144" t="s">
        <v>265</v>
      </c>
      <c r="C10" s="120" t="s">
        <v>237</v>
      </c>
      <c r="D10" s="126" t="s">
        <v>199</v>
      </c>
      <c r="E10" s="126" t="s">
        <v>69</v>
      </c>
      <c r="F10" s="138">
        <v>15</v>
      </c>
      <c r="G10" s="139">
        <f t="shared" ref="G10:G28" si="0">H10/F10</f>
        <v>850.15133333333335</v>
      </c>
      <c r="H10" s="124">
        <v>12752.27</v>
      </c>
      <c r="I10" s="131">
        <v>0</v>
      </c>
      <c r="J10" s="132">
        <f>SUM(H10:I10)</f>
        <v>12752.27</v>
      </c>
      <c r="K10" s="133">
        <v>0</v>
      </c>
      <c r="L10" s="133">
        <f>H10+K10</f>
        <v>12752.27</v>
      </c>
      <c r="M10" s="133">
        <v>11951.86</v>
      </c>
      <c r="N10" s="133">
        <f>L10-M10</f>
        <v>800.40999999999985</v>
      </c>
      <c r="O10" s="134">
        <v>0.23519999999999999</v>
      </c>
      <c r="P10" s="133">
        <f>N10*O10</f>
        <v>188.25643199999996</v>
      </c>
      <c r="Q10" s="135">
        <v>1914.75</v>
      </c>
      <c r="R10" s="133">
        <f>P10+Q10</f>
        <v>2103.0064320000001</v>
      </c>
      <c r="S10" s="133">
        <f>VLOOKUP(L10,Credito1,2)</f>
        <v>0</v>
      </c>
      <c r="T10" s="133">
        <f>R10-S10</f>
        <v>2103.0064320000001</v>
      </c>
      <c r="U10" s="132">
        <f>-IF(T10&gt;0,0,T10)</f>
        <v>0</v>
      </c>
      <c r="V10" s="132">
        <f>IF(T10&lt;0,0,T10)</f>
        <v>2103.0064320000001</v>
      </c>
      <c r="W10" s="132">
        <f>SUM(V10:V10)</f>
        <v>2103.0064320000001</v>
      </c>
      <c r="X10" s="132">
        <f>J10+U10-W10</f>
        <v>10649.263568</v>
      </c>
      <c r="Y10" s="78"/>
      <c r="AE10" s="79"/>
    </row>
    <row r="11" spans="1:31" s="71" customFormat="1" ht="54.95" customHeight="1" x14ac:dyDescent="0.2">
      <c r="A11" s="120"/>
      <c r="B11" s="120" t="s">
        <v>134</v>
      </c>
      <c r="C11" s="144" t="s">
        <v>237</v>
      </c>
      <c r="D11" s="126" t="s">
        <v>70</v>
      </c>
      <c r="E11" s="126" t="s">
        <v>67</v>
      </c>
      <c r="F11" s="138">
        <v>15</v>
      </c>
      <c r="G11" s="139">
        <f>H11/F11</f>
        <v>341.10066666666665</v>
      </c>
      <c r="H11" s="124">
        <v>5116.51</v>
      </c>
      <c r="I11" s="131">
        <v>0</v>
      </c>
      <c r="J11" s="132">
        <f>SUM(H11:I11)</f>
        <v>5116.51</v>
      </c>
      <c r="K11" s="133">
        <v>0</v>
      </c>
      <c r="L11" s="133">
        <f>H11+K11</f>
        <v>5116.51</v>
      </c>
      <c r="M11" s="133">
        <v>4949.5600000000004</v>
      </c>
      <c r="N11" s="133">
        <f>L11-M11</f>
        <v>166.94999999999982</v>
      </c>
      <c r="O11" s="134">
        <v>0.1792</v>
      </c>
      <c r="P11" s="133">
        <f>N11*O11</f>
        <v>29.917439999999967</v>
      </c>
      <c r="Q11" s="135">
        <v>341.85</v>
      </c>
      <c r="R11" s="133">
        <f>P11+Q11</f>
        <v>371.76743999999997</v>
      </c>
      <c r="S11" s="133">
        <v>0</v>
      </c>
      <c r="T11" s="133">
        <f>R11-S11</f>
        <v>371.76743999999997</v>
      </c>
      <c r="U11" s="132">
        <f>-IF(T11&gt;0,0,T11)</f>
        <v>0</v>
      </c>
      <c r="V11" s="132">
        <v>482.46</v>
      </c>
      <c r="W11" s="132">
        <f>SUM(V11:V11)</f>
        <v>482.46</v>
      </c>
      <c r="X11" s="132">
        <f>J11+U11-W11</f>
        <v>4634.05</v>
      </c>
      <c r="Y11" s="78"/>
      <c r="AE11" s="79"/>
    </row>
    <row r="12" spans="1:31" s="71" customFormat="1" ht="54.75" customHeight="1" x14ac:dyDescent="0.2">
      <c r="A12" s="120"/>
      <c r="B12" s="145" t="s">
        <v>126</v>
      </c>
      <c r="C12" s="145" t="s">
        <v>166</v>
      </c>
      <c r="D12" s="146" t="s">
        <v>157</v>
      </c>
      <c r="E12" s="147" t="s">
        <v>64</v>
      </c>
      <c r="F12" s="147"/>
      <c r="G12" s="147"/>
      <c r="H12" s="148">
        <f>SUM(H13)</f>
        <v>5729.24</v>
      </c>
      <c r="I12" s="148">
        <f>SUM(I13)</f>
        <v>0</v>
      </c>
      <c r="J12" s="148">
        <f>SUM(J13)</f>
        <v>5729.24</v>
      </c>
      <c r="K12" s="147"/>
      <c r="L12" s="147"/>
      <c r="M12" s="147"/>
      <c r="N12" s="147"/>
      <c r="O12" s="147"/>
      <c r="P12" s="147"/>
      <c r="Q12" s="150"/>
      <c r="R12" s="147"/>
      <c r="S12" s="147"/>
      <c r="T12" s="149"/>
      <c r="U12" s="148">
        <f>SUM(U13)</f>
        <v>0</v>
      </c>
      <c r="V12" s="148">
        <f>SUM(V13)</f>
        <v>592.26865599999996</v>
      </c>
      <c r="W12" s="148">
        <f>SUM(W13)</f>
        <v>592.26865599999996</v>
      </c>
      <c r="X12" s="148">
        <f>SUM(X13)</f>
        <v>5136.9713439999996</v>
      </c>
      <c r="Y12" s="89"/>
      <c r="AE12" s="79"/>
    </row>
    <row r="13" spans="1:31" s="71" customFormat="1" ht="54.95" customHeight="1" x14ac:dyDescent="0.2">
      <c r="A13" s="120" t="s">
        <v>105</v>
      </c>
      <c r="B13" s="144" t="s">
        <v>266</v>
      </c>
      <c r="C13" s="120" t="s">
        <v>149</v>
      </c>
      <c r="D13" s="141" t="s">
        <v>200</v>
      </c>
      <c r="E13" s="128" t="s">
        <v>120</v>
      </c>
      <c r="F13" s="138">
        <v>15</v>
      </c>
      <c r="G13" s="139">
        <f t="shared" si="0"/>
        <v>381.9493333333333</v>
      </c>
      <c r="H13" s="124">
        <v>5729.24</v>
      </c>
      <c r="I13" s="131">
        <v>0</v>
      </c>
      <c r="J13" s="132">
        <f>H13</f>
        <v>5729.24</v>
      </c>
      <c r="K13" s="133">
        <v>0</v>
      </c>
      <c r="L13" s="133">
        <f>H13+K13</f>
        <v>5729.24</v>
      </c>
      <c r="M13" s="133">
        <v>4949.5600000000004</v>
      </c>
      <c r="N13" s="133">
        <f>L13-M13</f>
        <v>779.67999999999938</v>
      </c>
      <c r="O13" s="134">
        <v>0.1792</v>
      </c>
      <c r="P13" s="133">
        <f>N13*O13</f>
        <v>139.7186559999999</v>
      </c>
      <c r="Q13" s="135">
        <v>452.55</v>
      </c>
      <c r="R13" s="133">
        <f>P13+Q13</f>
        <v>592.26865599999996</v>
      </c>
      <c r="S13" s="133">
        <f>VLOOKUP(L13,Credito1,2)</f>
        <v>0</v>
      </c>
      <c r="T13" s="133">
        <f>R13-S13</f>
        <v>592.26865599999996</v>
      </c>
      <c r="U13" s="132">
        <f>-IF(T13&gt;0,0,T13)</f>
        <v>0</v>
      </c>
      <c r="V13" s="132">
        <f>IF(T13&lt;0,0,T13)</f>
        <v>592.26865599999996</v>
      </c>
      <c r="W13" s="132">
        <f>SUM(V13:V13)</f>
        <v>592.26865599999996</v>
      </c>
      <c r="X13" s="132">
        <f>J13+U13-W13</f>
        <v>5136.9713439999996</v>
      </c>
      <c r="Y13" s="78"/>
      <c r="AE13" s="79"/>
    </row>
    <row r="14" spans="1:31" s="71" customFormat="1" ht="54.75" customHeight="1" x14ac:dyDescent="0.2">
      <c r="A14" s="120"/>
      <c r="B14" s="145" t="s">
        <v>126</v>
      </c>
      <c r="C14" s="145" t="s">
        <v>166</v>
      </c>
      <c r="D14" s="146" t="s">
        <v>158</v>
      </c>
      <c r="E14" s="147" t="s">
        <v>64</v>
      </c>
      <c r="F14" s="147"/>
      <c r="G14" s="147"/>
      <c r="H14" s="148">
        <f>SUM(H15)</f>
        <v>4580.22</v>
      </c>
      <c r="I14" s="148">
        <f>SUM(I15)</f>
        <v>0</v>
      </c>
      <c r="J14" s="148">
        <f>SUM(J15)</f>
        <v>4580.22</v>
      </c>
      <c r="K14" s="147"/>
      <c r="L14" s="147"/>
      <c r="M14" s="147"/>
      <c r="N14" s="147"/>
      <c r="O14" s="147"/>
      <c r="P14" s="147"/>
      <c r="Q14" s="150"/>
      <c r="R14" s="147"/>
      <c r="S14" s="147"/>
      <c r="T14" s="149"/>
      <c r="U14" s="148">
        <f>SUM(U15)</f>
        <v>0</v>
      </c>
      <c r="V14" s="148">
        <f>SUM(V15)</f>
        <v>393.41960000000006</v>
      </c>
      <c r="W14" s="148">
        <f>SUM(W15)</f>
        <v>393.41960000000006</v>
      </c>
      <c r="X14" s="148">
        <f>SUM(X15)</f>
        <v>4186.8004000000001</v>
      </c>
      <c r="Y14" s="89"/>
      <c r="AE14" s="79"/>
    </row>
    <row r="15" spans="1:31" s="71" customFormat="1" ht="54.95" customHeight="1" x14ac:dyDescent="0.2">
      <c r="A15" s="120" t="s">
        <v>107</v>
      </c>
      <c r="B15" s="120" t="s">
        <v>135</v>
      </c>
      <c r="C15" s="120" t="s">
        <v>149</v>
      </c>
      <c r="D15" s="126" t="s">
        <v>123</v>
      </c>
      <c r="E15" s="126" t="s">
        <v>71</v>
      </c>
      <c r="F15" s="138">
        <v>15</v>
      </c>
      <c r="G15" s="139">
        <f t="shared" si="0"/>
        <v>305.34800000000001</v>
      </c>
      <c r="H15" s="124">
        <v>4580.22</v>
      </c>
      <c r="I15" s="131">
        <v>0</v>
      </c>
      <c r="J15" s="132">
        <f>SUM(H15:I15)</f>
        <v>4580.22</v>
      </c>
      <c r="K15" s="133">
        <v>0</v>
      </c>
      <c r="L15" s="133">
        <f>H15+K15</f>
        <v>4580.22</v>
      </c>
      <c r="M15" s="133">
        <v>4257.91</v>
      </c>
      <c r="N15" s="133">
        <f t="shared" ref="N15:N30" si="1">L15-M15</f>
        <v>322.3100000000004</v>
      </c>
      <c r="O15" s="134">
        <v>0.16</v>
      </c>
      <c r="P15" s="133">
        <f t="shared" ref="P15:P30" si="2">N15*O15</f>
        <v>51.569600000000065</v>
      </c>
      <c r="Q15" s="135">
        <v>341.85</v>
      </c>
      <c r="R15" s="133">
        <f>P15+Q15</f>
        <v>393.41960000000006</v>
      </c>
      <c r="S15" s="133">
        <f>VLOOKUP(L15,Credito1,2)</f>
        <v>0</v>
      </c>
      <c r="T15" s="133">
        <f>R15-S15</f>
        <v>393.41960000000006</v>
      </c>
      <c r="U15" s="132">
        <f>-IF(T15&gt;0,0,T15)</f>
        <v>0</v>
      </c>
      <c r="V15" s="132">
        <f>IF(T15&lt;0,0,T15)</f>
        <v>393.41960000000006</v>
      </c>
      <c r="W15" s="132">
        <f>SUM(V15:V15)</f>
        <v>393.41960000000006</v>
      </c>
      <c r="X15" s="132">
        <f>J15+U15-W15</f>
        <v>4186.8004000000001</v>
      </c>
      <c r="Y15" s="78"/>
      <c r="AE15" s="90"/>
    </row>
    <row r="16" spans="1:31" s="71" customFormat="1" ht="54.75" customHeight="1" x14ac:dyDescent="0.2">
      <c r="A16" s="120"/>
      <c r="B16" s="145" t="s">
        <v>126</v>
      </c>
      <c r="C16" s="145" t="s">
        <v>166</v>
      </c>
      <c r="D16" s="146" t="s">
        <v>159</v>
      </c>
      <c r="E16" s="147" t="s">
        <v>64</v>
      </c>
      <c r="F16" s="147"/>
      <c r="G16" s="147"/>
      <c r="H16" s="148">
        <f>SUM(H17:H18)</f>
        <v>13488.490000000002</v>
      </c>
      <c r="I16" s="148">
        <f>SUM(I17:I18)</f>
        <v>0</v>
      </c>
      <c r="J16" s="148">
        <f>SUM(J17:J18)</f>
        <v>13488.490000000002</v>
      </c>
      <c r="K16" s="147"/>
      <c r="L16" s="147"/>
      <c r="M16" s="147"/>
      <c r="N16" s="147"/>
      <c r="O16" s="147"/>
      <c r="P16" s="147"/>
      <c r="Q16" s="150"/>
      <c r="R16" s="147"/>
      <c r="S16" s="147"/>
      <c r="T16" s="149"/>
      <c r="U16" s="148">
        <f>SUM(U17:U18)</f>
        <v>0</v>
      </c>
      <c r="V16" s="148">
        <f>SUM(V17:V18)</f>
        <v>1691.810952</v>
      </c>
      <c r="W16" s="148">
        <f>SUM(W17:W18)</f>
        <v>1691.810952</v>
      </c>
      <c r="X16" s="148">
        <f>SUM(X17:X18)</f>
        <v>11796.679048</v>
      </c>
      <c r="Y16" s="89"/>
      <c r="AE16" s="90"/>
    </row>
    <row r="17" spans="1:31" s="71" customFormat="1" ht="54.95" customHeight="1" x14ac:dyDescent="0.2">
      <c r="A17" s="120" t="s">
        <v>108</v>
      </c>
      <c r="B17" s="144" t="s">
        <v>267</v>
      </c>
      <c r="C17" s="120" t="s">
        <v>149</v>
      </c>
      <c r="D17" s="126" t="s">
        <v>201</v>
      </c>
      <c r="E17" s="126" t="s">
        <v>102</v>
      </c>
      <c r="F17" s="138">
        <v>15</v>
      </c>
      <c r="G17" s="139">
        <f t="shared" si="0"/>
        <v>625.85200000000009</v>
      </c>
      <c r="H17" s="124">
        <v>9387.7800000000007</v>
      </c>
      <c r="I17" s="131">
        <v>0</v>
      </c>
      <c r="J17" s="132">
        <f>H17</f>
        <v>9387.7800000000007</v>
      </c>
      <c r="K17" s="133">
        <v>0</v>
      </c>
      <c r="L17" s="133">
        <f>H17+K17</f>
        <v>9387.7800000000007</v>
      </c>
      <c r="M17" s="133">
        <v>5925.91</v>
      </c>
      <c r="N17" s="133">
        <f>L17-M17</f>
        <v>3461.8700000000008</v>
      </c>
      <c r="O17" s="134">
        <f>VLOOKUP(L17,Tarifa1,3)</f>
        <v>0.21360000000000001</v>
      </c>
      <c r="P17" s="133">
        <f>N17*O17</f>
        <v>739.4554320000002</v>
      </c>
      <c r="Q17" s="133">
        <v>627.6</v>
      </c>
      <c r="R17" s="133">
        <f>P17+Q17</f>
        <v>1367.0554320000001</v>
      </c>
      <c r="S17" s="133">
        <f>VLOOKUP(L17,Credito1,2)</f>
        <v>0</v>
      </c>
      <c r="T17" s="133">
        <f>R17-S17</f>
        <v>1367.0554320000001</v>
      </c>
      <c r="U17" s="132">
        <f>-IF(T17&gt;0,0,T17)</f>
        <v>0</v>
      </c>
      <c r="V17" s="132">
        <f>IF(T17&lt;0,0,T17)</f>
        <v>1367.0554320000001</v>
      </c>
      <c r="W17" s="132">
        <f>SUM(V17:V17)</f>
        <v>1367.0554320000001</v>
      </c>
      <c r="X17" s="132">
        <f>J17+U17-W17</f>
        <v>8020.7245680000005</v>
      </c>
      <c r="Y17" s="78"/>
      <c r="AE17" s="90"/>
    </row>
    <row r="18" spans="1:31" s="71" customFormat="1" ht="54.95" customHeight="1" x14ac:dyDescent="0.2">
      <c r="A18" s="120"/>
      <c r="B18" s="151" t="s">
        <v>302</v>
      </c>
      <c r="C18" s="152" t="s">
        <v>149</v>
      </c>
      <c r="D18" s="153" t="s">
        <v>289</v>
      </c>
      <c r="E18" s="154" t="s">
        <v>290</v>
      </c>
      <c r="F18" s="155"/>
      <c r="G18" s="156"/>
      <c r="H18" s="124">
        <v>4100.71</v>
      </c>
      <c r="I18" s="131">
        <v>0</v>
      </c>
      <c r="J18" s="132">
        <f>SUM(H18:I18)</f>
        <v>4100.71</v>
      </c>
      <c r="K18" s="133">
        <v>0</v>
      </c>
      <c r="L18" s="133">
        <f>H18+K18</f>
        <v>4100.71</v>
      </c>
      <c r="M18" s="133">
        <v>2422.81</v>
      </c>
      <c r="N18" s="133">
        <f>L18-M18</f>
        <v>1677.9</v>
      </c>
      <c r="O18" s="134">
        <v>0.10879999999999999</v>
      </c>
      <c r="P18" s="133">
        <f>N18*O18</f>
        <v>182.55552</v>
      </c>
      <c r="Q18" s="133">
        <v>142.19999999999999</v>
      </c>
      <c r="R18" s="133">
        <f>P18+Q18</f>
        <v>324.75551999999999</v>
      </c>
      <c r="S18" s="133"/>
      <c r="T18" s="133">
        <f t="shared" ref="T18:T30" si="3">R18-S18</f>
        <v>324.75551999999999</v>
      </c>
      <c r="U18" s="132">
        <f>-IF(T18&gt;0,0,T18)</f>
        <v>0</v>
      </c>
      <c r="V18" s="132">
        <f>IF(T18&lt;0,0,T18)</f>
        <v>324.75551999999999</v>
      </c>
      <c r="W18" s="132">
        <f>SUM(V18:V18)</f>
        <v>324.75551999999999</v>
      </c>
      <c r="X18" s="132">
        <f>J18+U18-W18</f>
        <v>3775.9544799999999</v>
      </c>
      <c r="Y18" s="76"/>
      <c r="AE18" s="90"/>
    </row>
    <row r="19" spans="1:31" s="71" customFormat="1" ht="54.95" customHeight="1" x14ac:dyDescent="0.2">
      <c r="A19" s="120"/>
      <c r="B19" s="145" t="s">
        <v>126</v>
      </c>
      <c r="C19" s="145" t="s">
        <v>166</v>
      </c>
      <c r="D19" s="146" t="s">
        <v>160</v>
      </c>
      <c r="E19" s="147" t="s">
        <v>64</v>
      </c>
      <c r="F19" s="147"/>
      <c r="G19" s="147"/>
      <c r="H19" s="148">
        <f>SUM(H20)</f>
        <v>2528.08</v>
      </c>
      <c r="I19" s="148">
        <f>SUM(I20)</f>
        <v>0</v>
      </c>
      <c r="J19" s="148">
        <f>SUM(J20)</f>
        <v>2528.08</v>
      </c>
      <c r="K19" s="147"/>
      <c r="L19" s="147"/>
      <c r="M19" s="147"/>
      <c r="N19" s="147"/>
      <c r="O19" s="147"/>
      <c r="P19" s="147"/>
      <c r="Q19" s="150"/>
      <c r="R19" s="147"/>
      <c r="S19" s="147"/>
      <c r="T19" s="149"/>
      <c r="U19" s="148">
        <f>SUM(U20)</f>
        <v>6.6966240000000141</v>
      </c>
      <c r="V19" s="148">
        <f>SUM(V20)</f>
        <v>0</v>
      </c>
      <c r="W19" s="148">
        <f>SUM(W20)</f>
        <v>0</v>
      </c>
      <c r="X19" s="148">
        <f>SUM(X20)</f>
        <v>2534.7766240000001</v>
      </c>
      <c r="Y19" s="89"/>
      <c r="AE19" s="90"/>
    </row>
    <row r="20" spans="1:31" s="71" customFormat="1" ht="54.95" customHeight="1" x14ac:dyDescent="0.2">
      <c r="A20" s="120" t="s">
        <v>109</v>
      </c>
      <c r="B20" s="120" t="s">
        <v>136</v>
      </c>
      <c r="C20" s="120" t="s">
        <v>149</v>
      </c>
      <c r="D20" s="126" t="s">
        <v>72</v>
      </c>
      <c r="E20" s="126" t="s">
        <v>94</v>
      </c>
      <c r="F20" s="138">
        <v>15</v>
      </c>
      <c r="G20" s="139">
        <f t="shared" si="0"/>
        <v>168.53866666666667</v>
      </c>
      <c r="H20" s="124">
        <v>2528.08</v>
      </c>
      <c r="I20" s="131">
        <v>0</v>
      </c>
      <c r="J20" s="132">
        <f>SUM(H20:I20)</f>
        <v>2528.08</v>
      </c>
      <c r="K20" s="133">
        <v>0</v>
      </c>
      <c r="L20" s="133">
        <f>H20+K20</f>
        <v>2528.08</v>
      </c>
      <c r="M20" s="133">
        <v>2422.81</v>
      </c>
      <c r="N20" s="133">
        <f t="shared" si="1"/>
        <v>105.26999999999998</v>
      </c>
      <c r="O20" s="134">
        <f>VLOOKUP(L20,Tarifa1,3)</f>
        <v>0.10879999999999999</v>
      </c>
      <c r="P20" s="133">
        <f t="shared" si="2"/>
        <v>11.453375999999997</v>
      </c>
      <c r="Q20" s="135">
        <v>142.19999999999999</v>
      </c>
      <c r="R20" s="133">
        <f t="shared" ref="R20:R30" si="4">P20+Q20</f>
        <v>153.65337599999998</v>
      </c>
      <c r="S20" s="133">
        <v>160.35</v>
      </c>
      <c r="T20" s="133">
        <f t="shared" si="3"/>
        <v>-6.6966240000000141</v>
      </c>
      <c r="U20" s="132">
        <f>-IF(T20&gt;0,0,T20)</f>
        <v>6.6966240000000141</v>
      </c>
      <c r="V20" s="132">
        <f>IF(T20&lt;0,0,T20)</f>
        <v>0</v>
      </c>
      <c r="W20" s="132">
        <f>SUM(V20:V20)</f>
        <v>0</v>
      </c>
      <c r="X20" s="132">
        <f>J20+U20-W20</f>
        <v>2534.7766240000001</v>
      </c>
      <c r="Y20" s="78"/>
      <c r="AE20" s="79"/>
    </row>
    <row r="21" spans="1:31" s="71" customFormat="1" ht="54.95" customHeight="1" x14ac:dyDescent="0.2">
      <c r="A21" s="120"/>
      <c r="B21" s="145" t="s">
        <v>126</v>
      </c>
      <c r="C21" s="145" t="s">
        <v>166</v>
      </c>
      <c r="D21" s="146" t="s">
        <v>161</v>
      </c>
      <c r="E21" s="147" t="s">
        <v>64</v>
      </c>
      <c r="F21" s="147"/>
      <c r="G21" s="147"/>
      <c r="H21" s="148">
        <f>SUM(H22:H28)</f>
        <v>8046.6900000000005</v>
      </c>
      <c r="I21" s="148">
        <f>SUM(I22:I28)</f>
        <v>0</v>
      </c>
      <c r="J21" s="148">
        <f>SUM(J22:J28)</f>
        <v>8046.6900000000005</v>
      </c>
      <c r="K21" s="147"/>
      <c r="L21" s="147"/>
      <c r="M21" s="147"/>
      <c r="N21" s="147"/>
      <c r="O21" s="147"/>
      <c r="P21" s="147"/>
      <c r="Q21" s="150"/>
      <c r="R21" s="147"/>
      <c r="S21" s="147"/>
      <c r="T21" s="149"/>
      <c r="U21" s="148">
        <f>SUM(U22:U28)</f>
        <v>0</v>
      </c>
      <c r="V21" s="148">
        <f>SUM(V22:V28)</f>
        <v>75.224687999999986</v>
      </c>
      <c r="W21" s="148">
        <f>SUM(W22:W28)</f>
        <v>75.224687999999986</v>
      </c>
      <c r="X21" s="148">
        <f>SUM(X22:X28)</f>
        <v>7971.4653120000003</v>
      </c>
      <c r="Y21" s="89"/>
      <c r="AE21" s="79"/>
    </row>
    <row r="22" spans="1:31" s="92" customFormat="1" ht="54.95" customHeight="1" x14ac:dyDescent="0.2">
      <c r="A22" s="120" t="s">
        <v>110</v>
      </c>
      <c r="B22" s="120" t="s">
        <v>139</v>
      </c>
      <c r="C22" s="120" t="s">
        <v>149</v>
      </c>
      <c r="D22" s="129" t="s">
        <v>113</v>
      </c>
      <c r="E22" s="129" t="s">
        <v>221</v>
      </c>
      <c r="F22" s="157">
        <v>15</v>
      </c>
      <c r="G22" s="139">
        <f t="shared" si="0"/>
        <v>178.81533333333334</v>
      </c>
      <c r="H22" s="158">
        <v>2682.23</v>
      </c>
      <c r="I22" s="159">
        <v>0</v>
      </c>
      <c r="J22" s="158">
        <f>SUM(H22:I22)</f>
        <v>2682.23</v>
      </c>
      <c r="K22" s="158">
        <v>0</v>
      </c>
      <c r="L22" s="158">
        <f>H22+K22</f>
        <v>2682.23</v>
      </c>
      <c r="M22" s="158">
        <v>2422.81</v>
      </c>
      <c r="N22" s="158">
        <f t="shared" si="1"/>
        <v>259.42000000000007</v>
      </c>
      <c r="O22" s="160">
        <f>VLOOKUP(L22,Tarifa1,3)</f>
        <v>0.10879999999999999</v>
      </c>
      <c r="P22" s="158">
        <f t="shared" si="2"/>
        <v>28.224896000000005</v>
      </c>
      <c r="Q22" s="135">
        <v>142.19999999999999</v>
      </c>
      <c r="R22" s="158">
        <f t="shared" si="4"/>
        <v>170.42489599999999</v>
      </c>
      <c r="S22" s="158">
        <v>145.35</v>
      </c>
      <c r="T22" s="158">
        <f t="shared" si="3"/>
        <v>25.074895999999995</v>
      </c>
      <c r="U22" s="158">
        <f>-IF(T22&gt;0,0,T22)</f>
        <v>0</v>
      </c>
      <c r="V22" s="158">
        <f>IF(T22&lt;0,0,T22)</f>
        <v>25.074895999999995</v>
      </c>
      <c r="W22" s="158">
        <f>SUM(V22:V22)</f>
        <v>25.074895999999995</v>
      </c>
      <c r="X22" s="158">
        <f>J22+U22-W22</f>
        <v>2657.1551039999999</v>
      </c>
      <c r="Y22" s="91"/>
    </row>
    <row r="23" spans="1:31" s="92" customFormat="1" ht="28.5" customHeight="1" x14ac:dyDescent="0.25">
      <c r="A23" s="161"/>
      <c r="B23" s="257" t="s">
        <v>95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31" s="92" customFormat="1" ht="21.75" customHeight="1" x14ac:dyDescent="0.25">
      <c r="A24" s="161"/>
      <c r="B24" s="257" t="s">
        <v>68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31" s="92" customFormat="1" ht="23.25" customHeight="1" x14ac:dyDescent="0.2">
      <c r="A25" s="161"/>
      <c r="B25" s="258" t="s">
        <v>375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</row>
    <row r="26" spans="1:31" s="92" customFormat="1" ht="21" customHeight="1" x14ac:dyDescent="0.2">
      <c r="A26" s="161"/>
      <c r="B26" s="5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31" s="71" customFormat="1" ht="54.95" customHeight="1" x14ac:dyDescent="0.2">
      <c r="A27" s="120" t="s">
        <v>111</v>
      </c>
      <c r="B27" s="120" t="s">
        <v>137</v>
      </c>
      <c r="C27" s="120" t="s">
        <v>149</v>
      </c>
      <c r="D27" s="126" t="s">
        <v>73</v>
      </c>
      <c r="E27" s="129" t="s">
        <v>221</v>
      </c>
      <c r="F27" s="138">
        <v>15</v>
      </c>
      <c r="G27" s="139">
        <f t="shared" si="0"/>
        <v>178.81533333333334</v>
      </c>
      <c r="H27" s="158">
        <v>2682.23</v>
      </c>
      <c r="I27" s="159">
        <v>0</v>
      </c>
      <c r="J27" s="158">
        <f>SUM(H27:I27)</f>
        <v>2682.23</v>
      </c>
      <c r="K27" s="158">
        <v>0</v>
      </c>
      <c r="L27" s="158">
        <f>H27+K27</f>
        <v>2682.23</v>
      </c>
      <c r="M27" s="158">
        <v>2422.81</v>
      </c>
      <c r="N27" s="158">
        <f t="shared" ref="N27:N28" si="5">L27-M27</f>
        <v>259.42000000000007</v>
      </c>
      <c r="O27" s="160">
        <f>VLOOKUP(L27,Tarifa1,3)</f>
        <v>0.10879999999999999</v>
      </c>
      <c r="P27" s="158">
        <f t="shared" ref="P27:P28" si="6">N27*O27</f>
        <v>28.224896000000005</v>
      </c>
      <c r="Q27" s="135">
        <v>142.19999999999999</v>
      </c>
      <c r="R27" s="158">
        <f t="shared" ref="R27:R28" si="7">P27+Q27</f>
        <v>170.42489599999999</v>
      </c>
      <c r="S27" s="158">
        <v>145.35</v>
      </c>
      <c r="T27" s="158">
        <f t="shared" ref="T27:T28" si="8">R27-S27</f>
        <v>25.074895999999995</v>
      </c>
      <c r="U27" s="158">
        <f>-IF(T27&gt;0,0,T27)</f>
        <v>0</v>
      </c>
      <c r="V27" s="158">
        <f>IF(T27&lt;0,0,T27)</f>
        <v>25.074895999999995</v>
      </c>
      <c r="W27" s="158">
        <f>SUM(V27:V27)</f>
        <v>25.074895999999995</v>
      </c>
      <c r="X27" s="158">
        <f>J27+U27-W27</f>
        <v>2657.1551039999999</v>
      </c>
      <c r="Y27" s="78"/>
    </row>
    <row r="28" spans="1:31" s="71" customFormat="1" ht="54.95" customHeight="1" x14ac:dyDescent="0.2">
      <c r="A28" s="120"/>
      <c r="B28" s="120" t="s">
        <v>339</v>
      </c>
      <c r="C28" s="120" t="s">
        <v>149</v>
      </c>
      <c r="D28" s="126" t="s">
        <v>360</v>
      </c>
      <c r="E28" s="129" t="s">
        <v>221</v>
      </c>
      <c r="F28" s="138">
        <v>15</v>
      </c>
      <c r="G28" s="139">
        <f t="shared" si="0"/>
        <v>178.81533333333334</v>
      </c>
      <c r="H28" s="158">
        <v>2682.23</v>
      </c>
      <c r="I28" s="159">
        <v>0</v>
      </c>
      <c r="J28" s="158">
        <f>SUM(H28:I28)</f>
        <v>2682.23</v>
      </c>
      <c r="K28" s="158">
        <v>0</v>
      </c>
      <c r="L28" s="158">
        <f>H28+K28</f>
        <v>2682.23</v>
      </c>
      <c r="M28" s="158">
        <v>2422.81</v>
      </c>
      <c r="N28" s="158">
        <f t="shared" si="5"/>
        <v>259.42000000000007</v>
      </c>
      <c r="O28" s="160">
        <f>VLOOKUP(L28,Tarifa1,3)</f>
        <v>0.10879999999999999</v>
      </c>
      <c r="P28" s="158">
        <f t="shared" si="6"/>
        <v>28.224896000000005</v>
      </c>
      <c r="Q28" s="135">
        <v>142.19999999999999</v>
      </c>
      <c r="R28" s="158">
        <f t="shared" si="7"/>
        <v>170.42489599999999</v>
      </c>
      <c r="S28" s="158">
        <v>145.35</v>
      </c>
      <c r="T28" s="158">
        <f t="shared" si="8"/>
        <v>25.074895999999995</v>
      </c>
      <c r="U28" s="158">
        <f>-IF(T28&gt;0,0,T28)</f>
        <v>0</v>
      </c>
      <c r="V28" s="158">
        <f>IF(T28&lt;0,0,T28)</f>
        <v>25.074895999999995</v>
      </c>
      <c r="W28" s="158">
        <f>SUM(V28:V28)</f>
        <v>25.074895999999995</v>
      </c>
      <c r="X28" s="158">
        <f>J28+U28-W28</f>
        <v>2657.1551039999999</v>
      </c>
      <c r="Y28" s="76"/>
    </row>
    <row r="29" spans="1:31" s="71" customFormat="1" ht="54.95" customHeight="1" x14ac:dyDescent="0.2">
      <c r="A29" s="120"/>
      <c r="B29" s="145" t="s">
        <v>126</v>
      </c>
      <c r="C29" s="145" t="s">
        <v>166</v>
      </c>
      <c r="D29" s="146" t="s">
        <v>162</v>
      </c>
      <c r="E29" s="147" t="s">
        <v>64</v>
      </c>
      <c r="F29" s="147"/>
      <c r="G29" s="147"/>
      <c r="H29" s="148">
        <f>SUM(H30:H30)</f>
        <v>2044.64</v>
      </c>
      <c r="I29" s="148">
        <f>SUM(I30:I30)</f>
        <v>0</v>
      </c>
      <c r="J29" s="148">
        <f>SUM(J30:J30)</f>
        <v>2044.64</v>
      </c>
      <c r="K29" s="147"/>
      <c r="L29" s="147"/>
      <c r="M29" s="147"/>
      <c r="N29" s="147"/>
      <c r="O29" s="147"/>
      <c r="P29" s="147"/>
      <c r="Q29" s="150"/>
      <c r="R29" s="147"/>
      <c r="S29" s="147"/>
      <c r="T29" s="149"/>
      <c r="U29" s="148">
        <f>SUM(U30:U30)</f>
        <v>70.562479999999979</v>
      </c>
      <c r="V29" s="148">
        <f>SUM(V30:V30)</f>
        <v>0</v>
      </c>
      <c r="W29" s="148">
        <f>SUM(W30:W30)</f>
        <v>0</v>
      </c>
      <c r="X29" s="148">
        <f>SUM(X30:X30)</f>
        <v>2115.2024799999999</v>
      </c>
      <c r="Y29" s="89"/>
    </row>
    <row r="30" spans="1:31" s="71" customFormat="1" ht="54.95" customHeight="1" x14ac:dyDescent="0.2">
      <c r="A30" s="120" t="s">
        <v>112</v>
      </c>
      <c r="B30" s="120" t="s">
        <v>138</v>
      </c>
      <c r="C30" s="120" t="s">
        <v>149</v>
      </c>
      <c r="D30" s="126" t="s">
        <v>74</v>
      </c>
      <c r="E30" s="128" t="s">
        <v>92</v>
      </c>
      <c r="F30" s="138">
        <v>15</v>
      </c>
      <c r="G30" s="139">
        <v>73.040000000000006</v>
      </c>
      <c r="H30" s="124">
        <v>2044.64</v>
      </c>
      <c r="I30" s="131">
        <v>0</v>
      </c>
      <c r="J30" s="132">
        <f>SUM(H30:I30)</f>
        <v>2044.64</v>
      </c>
      <c r="K30" s="133">
        <v>0</v>
      </c>
      <c r="L30" s="133">
        <f>H30+K30</f>
        <v>2044.64</v>
      </c>
      <c r="M30" s="133">
        <v>285.45999999999998</v>
      </c>
      <c r="N30" s="133">
        <f t="shared" si="1"/>
        <v>1759.18</v>
      </c>
      <c r="O30" s="134">
        <f>VLOOKUP(L30,Tarifa1,3)</f>
        <v>6.4000000000000001E-2</v>
      </c>
      <c r="P30" s="133">
        <f t="shared" si="2"/>
        <v>112.58752000000001</v>
      </c>
      <c r="Q30" s="135">
        <v>5.55</v>
      </c>
      <c r="R30" s="133">
        <f t="shared" si="4"/>
        <v>118.13752000000001</v>
      </c>
      <c r="S30" s="133">
        <v>188.7</v>
      </c>
      <c r="T30" s="133">
        <f t="shared" si="3"/>
        <v>-70.562479999999979</v>
      </c>
      <c r="U30" s="132">
        <f>-IF(T30&gt;0,0,T30)</f>
        <v>70.562479999999979</v>
      </c>
      <c r="V30" s="132">
        <f>IF(T30&lt;0,0,T30)</f>
        <v>0</v>
      </c>
      <c r="W30" s="132">
        <f>SUM(V30:V30)</f>
        <v>0</v>
      </c>
      <c r="X30" s="132">
        <f>J30+U30-W30</f>
        <v>2115.2024799999999</v>
      </c>
      <c r="Y30" s="78"/>
    </row>
    <row r="31" spans="1:31" s="71" customFormat="1" ht="21.75" customHeight="1" x14ac:dyDescent="0.2">
      <c r="A31" s="161"/>
      <c r="B31" s="162"/>
      <c r="C31" s="162"/>
      <c r="D31" s="163"/>
      <c r="E31" s="163"/>
      <c r="F31" s="164"/>
      <c r="G31" s="165"/>
      <c r="H31" s="166"/>
      <c r="I31" s="167"/>
      <c r="J31" s="168"/>
      <c r="K31" s="169"/>
      <c r="L31" s="169"/>
      <c r="M31" s="169"/>
      <c r="N31" s="169"/>
      <c r="O31" s="170"/>
      <c r="P31" s="169"/>
      <c r="Q31" s="169"/>
      <c r="R31" s="169"/>
      <c r="S31" s="169"/>
      <c r="T31" s="169"/>
      <c r="U31" s="168"/>
      <c r="V31" s="168"/>
      <c r="W31" s="168"/>
      <c r="X31" s="168"/>
    </row>
    <row r="32" spans="1:31" s="71" customFormat="1" ht="54.75" customHeight="1" thickBot="1" x14ac:dyDescent="0.25">
      <c r="A32" s="254" t="s">
        <v>45</v>
      </c>
      <c r="B32" s="255"/>
      <c r="C32" s="255"/>
      <c r="D32" s="255"/>
      <c r="E32" s="255"/>
      <c r="F32" s="255"/>
      <c r="G32" s="256"/>
      <c r="H32" s="171">
        <f>SUM(H8+H12+H14+H16+H19+H21+H29)</f>
        <v>79444.87000000001</v>
      </c>
      <c r="I32" s="171">
        <f>SUM(I8+I12+I14+I16+I19+I21+I29)</f>
        <v>0</v>
      </c>
      <c r="J32" s="171">
        <f>SUM(J8+J12+J14+J16+J19+J21+J29)</f>
        <v>79444.87000000001</v>
      </c>
      <c r="K32" s="172">
        <f t="shared" ref="K32:T32" si="9">SUM(K9:K30)</f>
        <v>0</v>
      </c>
      <c r="L32" s="172">
        <f t="shared" si="9"/>
        <v>79444.87</v>
      </c>
      <c r="M32" s="172">
        <f t="shared" si="9"/>
        <v>63272.069999999985</v>
      </c>
      <c r="N32" s="172">
        <f t="shared" si="9"/>
        <v>16172.800000000001</v>
      </c>
      <c r="O32" s="172">
        <f t="shared" si="9"/>
        <v>1.8752000000000002</v>
      </c>
      <c r="P32" s="172">
        <f t="shared" si="9"/>
        <v>3436.4796640000013</v>
      </c>
      <c r="Q32" s="172">
        <f t="shared" si="9"/>
        <v>7929.4500000000007</v>
      </c>
      <c r="R32" s="172">
        <f t="shared" si="9"/>
        <v>11365.929664000003</v>
      </c>
      <c r="S32" s="172">
        <f t="shared" si="9"/>
        <v>785.09999999999991</v>
      </c>
      <c r="T32" s="172">
        <f t="shared" si="9"/>
        <v>10580.829664000001</v>
      </c>
      <c r="U32" s="171">
        <f>SUM(U8+U12+U14+U16+U19+U21+U29)</f>
        <v>77.259103999999994</v>
      </c>
      <c r="V32" s="171">
        <f>SUM(V8+V12+V14+V16+V19+V21+V29)</f>
        <v>10768.781327999999</v>
      </c>
      <c r="W32" s="171">
        <f>SUM(W8+W12+W14+W16+W19+W21+W29)</f>
        <v>10768.781327999999</v>
      </c>
      <c r="X32" s="171">
        <f>SUM(X8+X12+X14+X16+X19+X21+X29)</f>
        <v>68753.34777600001</v>
      </c>
    </row>
    <row r="33" spans="4:37" s="71" customFormat="1" ht="12" customHeight="1" thickTop="1" x14ac:dyDescent="0.2"/>
    <row r="34" spans="4:37" s="71" customFormat="1" ht="12" customHeight="1" x14ac:dyDescent="0.2"/>
    <row r="35" spans="4:37" s="71" customFormat="1" ht="12" customHeight="1" x14ac:dyDescent="0.2"/>
    <row r="36" spans="4:37" s="71" customFormat="1" ht="12" customHeight="1" x14ac:dyDescent="0.2"/>
    <row r="37" spans="4:37" s="71" customFormat="1" ht="12" customHeight="1" x14ac:dyDescent="0.2"/>
    <row r="38" spans="4:37" s="71" customFormat="1" ht="12" customHeight="1" x14ac:dyDescent="0.2"/>
    <row r="39" spans="4:37" s="71" customFormat="1" ht="12" x14ac:dyDescent="0.2"/>
    <row r="40" spans="4:37" s="71" customFormat="1" ht="12" x14ac:dyDescent="0.2">
      <c r="D40" s="71" t="s">
        <v>240</v>
      </c>
      <c r="V40" s="71" t="s">
        <v>114</v>
      </c>
    </row>
    <row r="41" spans="4:37" s="71" customFormat="1" ht="12" x14ac:dyDescent="0.2">
      <c r="D41" s="80" t="s">
        <v>239</v>
      </c>
      <c r="V41" s="80" t="s">
        <v>241</v>
      </c>
    </row>
    <row r="42" spans="4:37" s="71" customFormat="1" ht="12" x14ac:dyDescent="0.2">
      <c r="D42" s="80" t="s">
        <v>100</v>
      </c>
      <c r="E42" s="80"/>
      <c r="F42" s="80"/>
      <c r="G42" s="80"/>
      <c r="H42" s="80"/>
      <c r="I42" s="80"/>
      <c r="V42" s="80" t="s">
        <v>101</v>
      </c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J42" s="80"/>
      <c r="AK42" s="80"/>
    </row>
    <row r="43" spans="4:37" s="71" customFormat="1" ht="12" x14ac:dyDescent="0.2"/>
  </sheetData>
  <mergeCells count="10">
    <mergeCell ref="A32:G32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5 J30 J10 J9 J20 J22" formulaRange="1"/>
    <ignoredError sqref="C9 B11 C27:C28 C22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62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6" t="s">
        <v>91</v>
      </c>
      <c r="E9" s="46" t="s">
        <v>64</v>
      </c>
      <c r="F9" s="47"/>
      <c r="G9" s="47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49"/>
    </row>
    <row r="10" spans="1:25" s="197" customFormat="1" ht="75" customHeight="1" x14ac:dyDescent="0.2">
      <c r="A10" s="186">
        <v>1</v>
      </c>
      <c r="B10" s="187">
        <v>160</v>
      </c>
      <c r="C10" s="143" t="s">
        <v>149</v>
      </c>
      <c r="D10" s="173" t="s">
        <v>236</v>
      </c>
      <c r="E10" s="173" t="s">
        <v>91</v>
      </c>
      <c r="F10" s="188">
        <v>15</v>
      </c>
      <c r="G10" s="189">
        <f>H10/F10</f>
        <v>732.09733333333327</v>
      </c>
      <c r="H10" s="190">
        <v>10981.46</v>
      </c>
      <c r="I10" s="191">
        <v>0</v>
      </c>
      <c r="J10" s="192">
        <f>SUM(H10:I10)</f>
        <v>10981.46</v>
      </c>
      <c r="K10" s="193">
        <v>0</v>
      </c>
      <c r="L10" s="193">
        <f>H10+K10</f>
        <v>10981.46</v>
      </c>
      <c r="M10" s="193">
        <v>5925.91</v>
      </c>
      <c r="N10" s="193">
        <f>L10-M10</f>
        <v>5055.5499999999993</v>
      </c>
      <c r="O10" s="194">
        <v>0.21360000000000001</v>
      </c>
      <c r="P10" s="193">
        <f>N10*O10</f>
        <v>1079.8654799999999</v>
      </c>
      <c r="Q10" s="193">
        <v>627.6</v>
      </c>
      <c r="R10" s="193">
        <f>P10+Q10</f>
        <v>1707.4654799999998</v>
      </c>
      <c r="S10" s="193">
        <f>VLOOKUP(L10,Credito1,2)</f>
        <v>0</v>
      </c>
      <c r="T10" s="193">
        <f>R10-S10</f>
        <v>1707.4654799999998</v>
      </c>
      <c r="U10" s="192">
        <f>-IF(T10&gt;0,0,T10)</f>
        <v>0</v>
      </c>
      <c r="V10" s="195">
        <f>IF(T10&lt;0,0,T10)</f>
        <v>1707.4654799999998</v>
      </c>
      <c r="W10" s="192">
        <f>SUM(V10:V10)</f>
        <v>1707.4654799999998</v>
      </c>
      <c r="X10" s="192">
        <f>J10+U10-W10</f>
        <v>9273.9945200000002</v>
      </c>
      <c r="Y10" s="196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54" t="s">
        <v>45</v>
      </c>
      <c r="B12" s="255"/>
      <c r="C12" s="255"/>
      <c r="D12" s="255"/>
      <c r="E12" s="255"/>
      <c r="F12" s="255"/>
      <c r="G12" s="256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242</v>
      </c>
      <c r="V22" t="s">
        <v>114</v>
      </c>
    </row>
    <row r="23" spans="4:37" x14ac:dyDescent="0.2">
      <c r="D23" s="80" t="s">
        <v>239</v>
      </c>
      <c r="H23" s="4"/>
      <c r="V23" s="80" t="s">
        <v>244</v>
      </c>
    </row>
    <row r="24" spans="4:37" x14ac:dyDescent="0.2">
      <c r="D24" s="51" t="s">
        <v>243</v>
      </c>
      <c r="E24" s="51"/>
      <c r="F24" s="51"/>
      <c r="G24" s="51"/>
      <c r="H24" s="51"/>
      <c r="I24" s="51"/>
      <c r="V24" s="51" t="s">
        <v>101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8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62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6" t="s">
        <v>335</v>
      </c>
      <c r="E9" s="46" t="s">
        <v>64</v>
      </c>
      <c r="F9" s="47"/>
      <c r="G9" s="47"/>
      <c r="H9" s="238">
        <f>H10</f>
        <v>11606.91</v>
      </c>
      <c r="I9" s="238">
        <f>I10</f>
        <v>0</v>
      </c>
      <c r="J9" s="238">
        <f>J10</f>
        <v>11606.91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8">
        <f>U10</f>
        <v>0</v>
      </c>
      <c r="V9" s="238">
        <f>V10</f>
        <v>1841.0616</v>
      </c>
      <c r="W9" s="238">
        <f>W10</f>
        <v>1841.0616</v>
      </c>
      <c r="X9" s="238">
        <f>X10</f>
        <v>9765.8483999999989</v>
      </c>
      <c r="Y9" s="49"/>
    </row>
    <row r="10" spans="1:25" s="197" customFormat="1" ht="75" customHeight="1" x14ac:dyDescent="0.2">
      <c r="A10" s="186">
        <v>1</v>
      </c>
      <c r="B10" s="187">
        <v>161</v>
      </c>
      <c r="C10" s="143" t="s">
        <v>237</v>
      </c>
      <c r="D10" s="173" t="s">
        <v>214</v>
      </c>
      <c r="E10" s="184" t="s">
        <v>293</v>
      </c>
      <c r="F10" s="188">
        <v>15</v>
      </c>
      <c r="G10" s="189">
        <f>H10/F10</f>
        <v>773.79399999999998</v>
      </c>
      <c r="H10" s="190">
        <v>11606.91</v>
      </c>
      <c r="I10" s="191">
        <v>0</v>
      </c>
      <c r="J10" s="192">
        <f>SUM(H10:I10)</f>
        <v>11606.91</v>
      </c>
      <c r="K10" s="193">
        <v>0</v>
      </c>
      <c r="L10" s="193">
        <f>H10+K10</f>
        <v>11606.91</v>
      </c>
      <c r="M10" s="193">
        <v>5925.91</v>
      </c>
      <c r="N10" s="193">
        <f>L10-M10</f>
        <v>5681</v>
      </c>
      <c r="O10" s="194">
        <v>0.21360000000000001</v>
      </c>
      <c r="P10" s="193">
        <f>N10*O10</f>
        <v>1213.4616000000001</v>
      </c>
      <c r="Q10" s="193">
        <v>627.6</v>
      </c>
      <c r="R10" s="193">
        <f>P10+Q10</f>
        <v>1841.0616</v>
      </c>
      <c r="S10" s="193">
        <f>VLOOKUP(L10,Credito1,2)</f>
        <v>0</v>
      </c>
      <c r="T10" s="193">
        <f>R10-S10</f>
        <v>1841.0616</v>
      </c>
      <c r="U10" s="192">
        <f>-IF(T10&gt;0,0,T10)</f>
        <v>0</v>
      </c>
      <c r="V10" s="195">
        <f>IF(T10&lt;0,0,T10)</f>
        <v>1841.0616</v>
      </c>
      <c r="W10" s="192">
        <f>SUM(V10:V10)</f>
        <v>1841.0616</v>
      </c>
      <c r="X10" s="192">
        <f>J10+U10-W10</f>
        <v>9765.8483999999989</v>
      </c>
      <c r="Y10" s="196"/>
    </row>
    <row r="11" spans="1:25" s="197" customFormat="1" ht="75" customHeight="1" x14ac:dyDescent="0.25">
      <c r="A11" s="198"/>
      <c r="B11" s="213" t="s">
        <v>126</v>
      </c>
      <c r="C11" s="213" t="s">
        <v>166</v>
      </c>
      <c r="D11" s="45" t="s">
        <v>336</v>
      </c>
      <c r="E11" s="45" t="s">
        <v>64</v>
      </c>
      <c r="F11" s="45"/>
      <c r="G11" s="45"/>
      <c r="H11" s="209">
        <f>SUM(H12)</f>
        <v>2724.69</v>
      </c>
      <c r="I11" s="209">
        <f>SUM(I12)</f>
        <v>0</v>
      </c>
      <c r="J11" s="209">
        <f>SUM(J12)</f>
        <v>2724.69</v>
      </c>
      <c r="K11" s="45"/>
      <c r="L11" s="45"/>
      <c r="M11" s="45"/>
      <c r="N11" s="45"/>
      <c r="O11" s="45"/>
      <c r="P11" s="45"/>
      <c r="Q11" s="210"/>
      <c r="R11" s="45"/>
      <c r="S11" s="45"/>
      <c r="T11" s="45"/>
      <c r="U11" s="209">
        <f>SUM(U12)</f>
        <v>106.95545599999998</v>
      </c>
      <c r="V11" s="209">
        <f>SUM(V12)</f>
        <v>0</v>
      </c>
      <c r="W11" s="209">
        <f>SUM(W12)</f>
        <v>0</v>
      </c>
      <c r="X11" s="209">
        <f>SUM(X12)</f>
        <v>2831.6454560000002</v>
      </c>
      <c r="Y11" s="49"/>
    </row>
    <row r="12" spans="1:25" s="197" customFormat="1" ht="75" customHeight="1" x14ac:dyDescent="0.2">
      <c r="A12" s="198"/>
      <c r="B12" s="187">
        <v>189</v>
      </c>
      <c r="C12" s="143" t="s">
        <v>149</v>
      </c>
      <c r="D12" s="173" t="s">
        <v>306</v>
      </c>
      <c r="E12" s="184" t="s">
        <v>307</v>
      </c>
      <c r="F12" s="188">
        <v>15</v>
      </c>
      <c r="G12" s="189">
        <f>H12/F12</f>
        <v>181.64600000000002</v>
      </c>
      <c r="H12" s="124">
        <v>2724.69</v>
      </c>
      <c r="I12" s="131">
        <v>0</v>
      </c>
      <c r="J12" s="132">
        <f>SUM(H12:I12)</f>
        <v>2724.69</v>
      </c>
      <c r="K12" s="133">
        <v>0</v>
      </c>
      <c r="L12" s="133">
        <f>H12+K12</f>
        <v>2724.69</v>
      </c>
      <c r="M12" s="133">
        <v>2422.81</v>
      </c>
      <c r="N12" s="133">
        <f t="shared" ref="N12" si="0">L12-M12</f>
        <v>301.88000000000011</v>
      </c>
      <c r="O12" s="134">
        <v>0.10879999999999999</v>
      </c>
      <c r="P12" s="133">
        <f t="shared" ref="P12" si="1">N12*O12</f>
        <v>32.844544000000013</v>
      </c>
      <c r="Q12" s="135">
        <v>5.55</v>
      </c>
      <c r="R12" s="133">
        <f t="shared" ref="R12" si="2">P12+Q12</f>
        <v>38.39454400000001</v>
      </c>
      <c r="S12" s="133">
        <v>145.35</v>
      </c>
      <c r="T12" s="133">
        <f t="shared" ref="T12" si="3">R12-S12</f>
        <v>-106.95545599999998</v>
      </c>
      <c r="U12" s="132">
        <f>-IF(T12&gt;0,0,T12)</f>
        <v>106.95545599999998</v>
      </c>
      <c r="V12" s="132">
        <f>IF(T12&lt;0,0,T12)</f>
        <v>0</v>
      </c>
      <c r="W12" s="132">
        <f>SUM(V12:V12)</f>
        <v>0</v>
      </c>
      <c r="X12" s="132">
        <f>J12+U12-W12</f>
        <v>2831.6454560000002</v>
      </c>
      <c r="Y12" s="196"/>
    </row>
    <row r="13" spans="1:25" s="197" customFormat="1" ht="75" customHeight="1" x14ac:dyDescent="0.25">
      <c r="A13" s="212"/>
      <c r="B13" s="213" t="s">
        <v>126</v>
      </c>
      <c r="C13" s="213" t="s">
        <v>166</v>
      </c>
      <c r="D13" s="45" t="s">
        <v>169</v>
      </c>
      <c r="E13" s="45" t="s">
        <v>64</v>
      </c>
      <c r="F13" s="45"/>
      <c r="G13" s="45"/>
      <c r="H13" s="209">
        <f>SUM(H14)</f>
        <v>6482.16</v>
      </c>
      <c r="I13" s="209">
        <f>SUM(I14)</f>
        <v>0</v>
      </c>
      <c r="J13" s="209">
        <f>SUM(J14)</f>
        <v>6482.16</v>
      </c>
      <c r="K13" s="45"/>
      <c r="L13" s="45"/>
      <c r="M13" s="45"/>
      <c r="N13" s="45"/>
      <c r="O13" s="45"/>
      <c r="P13" s="45"/>
      <c r="Q13" s="210"/>
      <c r="R13" s="45"/>
      <c r="S13" s="45"/>
      <c r="T13" s="45"/>
      <c r="U13" s="209">
        <f>SUM(U14)</f>
        <v>0</v>
      </c>
      <c r="V13" s="209">
        <f>SUM(V14)</f>
        <v>746.41500000000008</v>
      </c>
      <c r="W13" s="209">
        <f>SUM(W14)</f>
        <v>746.41500000000008</v>
      </c>
      <c r="X13" s="209">
        <f>SUM(X14)</f>
        <v>5735.7449999999999</v>
      </c>
      <c r="Y13" s="49"/>
    </row>
    <row r="14" spans="1:25" ht="75" customHeight="1" x14ac:dyDescent="0.2">
      <c r="A14" s="33"/>
      <c r="B14" s="143" t="s">
        <v>275</v>
      </c>
      <c r="C14" s="64" t="s">
        <v>149</v>
      </c>
      <c r="D14" s="173" t="s">
        <v>238</v>
      </c>
      <c r="E14" s="173" t="s">
        <v>122</v>
      </c>
      <c r="F14" s="174">
        <v>15</v>
      </c>
      <c r="G14" s="175">
        <f t="shared" ref="G14" si="4">H14/F14</f>
        <v>432.14400000000001</v>
      </c>
      <c r="H14" s="176">
        <v>6482.16</v>
      </c>
      <c r="I14" s="177">
        <v>0</v>
      </c>
      <c r="J14" s="178">
        <f>SUM(H14:I14)</f>
        <v>6482.16</v>
      </c>
      <c r="K14" s="179">
        <v>0</v>
      </c>
      <c r="L14" s="179">
        <f>H14+K14</f>
        <v>6482.16</v>
      </c>
      <c r="M14" s="179">
        <v>5925.91</v>
      </c>
      <c r="N14" s="179">
        <f>L14-M14</f>
        <v>556.25</v>
      </c>
      <c r="O14" s="180">
        <v>0.21360000000000001</v>
      </c>
      <c r="P14" s="179">
        <f>N14*O14</f>
        <v>118.81500000000001</v>
      </c>
      <c r="Q14" s="181">
        <v>627.6</v>
      </c>
      <c r="R14" s="179">
        <f>P14+Q14</f>
        <v>746.41500000000008</v>
      </c>
      <c r="S14" s="179"/>
      <c r="T14" s="179">
        <f>R14-S14</f>
        <v>746.41500000000008</v>
      </c>
      <c r="U14" s="178">
        <f>-IF(T14&gt;0,0,T14)</f>
        <v>0</v>
      </c>
      <c r="V14" s="178">
        <f>IF(T14&lt;0,0,T14)</f>
        <v>746.41500000000008</v>
      </c>
      <c r="W14" s="178">
        <f>SUM(V14:V14)</f>
        <v>746.41500000000008</v>
      </c>
      <c r="X14" s="132">
        <f>J14+U14-W14</f>
        <v>5735.7449999999999</v>
      </c>
      <c r="Y14" s="41"/>
    </row>
    <row r="15" spans="1:25" ht="30" customHeight="1" x14ac:dyDescent="0.2">
      <c r="A15" s="33"/>
      <c r="B15" s="227"/>
      <c r="C15" s="228"/>
      <c r="D15" s="229"/>
      <c r="E15" s="229"/>
      <c r="F15" s="230"/>
      <c r="G15" s="231"/>
      <c r="H15" s="232"/>
      <c r="I15" s="233"/>
      <c r="J15" s="234"/>
      <c r="K15" s="235"/>
      <c r="L15" s="235"/>
      <c r="M15" s="235"/>
      <c r="N15" s="235"/>
      <c r="O15" s="236"/>
      <c r="P15" s="235"/>
      <c r="Q15" s="237"/>
      <c r="R15" s="235"/>
      <c r="S15" s="235"/>
      <c r="T15" s="235"/>
      <c r="U15" s="234"/>
      <c r="V15" s="234"/>
      <c r="W15" s="234"/>
      <c r="X15" s="234"/>
    </row>
    <row r="16" spans="1:25" ht="40.5" customHeight="1" thickBot="1" x14ac:dyDescent="0.3">
      <c r="A16" s="254" t="s">
        <v>45</v>
      </c>
      <c r="B16" s="255"/>
      <c r="C16" s="255"/>
      <c r="D16" s="255"/>
      <c r="E16" s="255"/>
      <c r="F16" s="255"/>
      <c r="G16" s="256"/>
      <c r="H16" s="39">
        <f>SUM(H9+H11+H13)</f>
        <v>20813.760000000002</v>
      </c>
      <c r="I16" s="39">
        <f>SUM(I9+I11+I13)</f>
        <v>0</v>
      </c>
      <c r="J16" s="39">
        <f>SUM(J9+J11+J13)</f>
        <v>20813.760000000002</v>
      </c>
      <c r="K16" s="40">
        <f t="shared" ref="K16:T16" si="5">SUM(K10:K14)</f>
        <v>0</v>
      </c>
      <c r="L16" s="40">
        <f t="shared" si="5"/>
        <v>20813.760000000002</v>
      </c>
      <c r="M16" s="40">
        <f t="shared" si="5"/>
        <v>14274.63</v>
      </c>
      <c r="N16" s="40">
        <f t="shared" si="5"/>
        <v>6539.13</v>
      </c>
      <c r="O16" s="40">
        <f t="shared" si="5"/>
        <v>0.53600000000000003</v>
      </c>
      <c r="P16" s="40">
        <f t="shared" si="5"/>
        <v>1365.1211440000002</v>
      </c>
      <c r="Q16" s="40">
        <f t="shared" si="5"/>
        <v>1260.75</v>
      </c>
      <c r="R16" s="40">
        <f t="shared" si="5"/>
        <v>2625.8711440000002</v>
      </c>
      <c r="S16" s="40">
        <f t="shared" si="5"/>
        <v>145.35</v>
      </c>
      <c r="T16" s="40">
        <f t="shared" si="5"/>
        <v>2480.5211440000003</v>
      </c>
      <c r="U16" s="39">
        <f>SUM(U9+U11+U13)</f>
        <v>106.95545599999998</v>
      </c>
      <c r="V16" s="39">
        <f>SUM(V9+V11+V13)</f>
        <v>2587.4766</v>
      </c>
      <c r="W16" s="39">
        <f>SUM(W9+W11+W13)</f>
        <v>2587.4766</v>
      </c>
      <c r="X16" s="39">
        <f>SUM(X9+X11+X13)</f>
        <v>18333.238856</v>
      </c>
    </row>
    <row r="17" spans="4:37" ht="13.5" thickTop="1" x14ac:dyDescent="0.2"/>
    <row r="26" spans="4:37" x14ac:dyDescent="0.2">
      <c r="D26" s="4" t="s">
        <v>242</v>
      </c>
      <c r="V26" t="s">
        <v>114</v>
      </c>
    </row>
    <row r="27" spans="4:37" x14ac:dyDescent="0.2">
      <c r="D27" s="80" t="s">
        <v>239</v>
      </c>
      <c r="H27" s="4"/>
      <c r="V27" s="80" t="s">
        <v>244</v>
      </c>
    </row>
    <row r="28" spans="4:37" x14ac:dyDescent="0.2">
      <c r="D28" s="51" t="s">
        <v>243</v>
      </c>
      <c r="E28" s="51"/>
      <c r="F28" s="51"/>
      <c r="G28" s="51"/>
      <c r="H28" s="51"/>
      <c r="I28" s="51"/>
      <c r="V28" s="51" t="s">
        <v>101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0"/>
  <sheetViews>
    <sheetView topLeftCell="B16" zoomScale="68" zoomScaleNormal="68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140625" customWidth="1"/>
    <col min="3" max="3" width="8.140625" customWidth="1"/>
    <col min="4" max="4" width="44.140625" customWidth="1"/>
    <col min="5" max="5" width="31.5703125" customWidth="1"/>
    <col min="6" max="6" width="6.5703125" hidden="1" customWidth="1"/>
    <col min="7" max="7" width="10" hidden="1" customWidth="1"/>
    <col min="8" max="8" width="13.85546875" customWidth="1"/>
    <col min="9" max="9" width="13.42578125" customWidth="1"/>
    <col min="10" max="10" width="14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98" customWidth="1"/>
  </cols>
  <sheetData>
    <row r="1" spans="1:31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31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31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71" customFormat="1" ht="12" x14ac:dyDescent="0.2">
      <c r="A5" s="67"/>
      <c r="B5" s="67"/>
      <c r="C5" s="67"/>
      <c r="D5" s="67"/>
      <c r="E5" s="67"/>
      <c r="F5" s="68" t="s">
        <v>23</v>
      </c>
      <c r="G5" s="68" t="s">
        <v>6</v>
      </c>
      <c r="H5" s="260" t="s">
        <v>1</v>
      </c>
      <c r="I5" s="261"/>
      <c r="J5" s="262"/>
      <c r="K5" s="69" t="s">
        <v>26</v>
      </c>
      <c r="L5" s="70"/>
      <c r="M5" s="263" t="s">
        <v>9</v>
      </c>
      <c r="N5" s="264"/>
      <c r="O5" s="264"/>
      <c r="P5" s="264"/>
      <c r="Q5" s="264"/>
      <c r="R5" s="265"/>
      <c r="S5" s="69" t="s">
        <v>30</v>
      </c>
      <c r="T5" s="69" t="s">
        <v>10</v>
      </c>
      <c r="U5" s="68" t="s">
        <v>54</v>
      </c>
      <c r="V5" s="266" t="s">
        <v>2</v>
      </c>
      <c r="W5" s="267"/>
      <c r="X5" s="68" t="s">
        <v>0</v>
      </c>
      <c r="Y5" s="67"/>
    </row>
    <row r="6" spans="1:31" s="71" customFormat="1" ht="36" x14ac:dyDescent="0.2">
      <c r="A6" s="72" t="s">
        <v>21</v>
      </c>
      <c r="B6" s="66" t="s">
        <v>126</v>
      </c>
      <c r="C6" s="66" t="s">
        <v>150</v>
      </c>
      <c r="D6" s="72" t="s">
        <v>22</v>
      </c>
      <c r="E6" s="72"/>
      <c r="F6" s="73" t="s">
        <v>24</v>
      </c>
      <c r="G6" s="72" t="s">
        <v>25</v>
      </c>
      <c r="H6" s="68" t="s">
        <v>6</v>
      </c>
      <c r="I6" s="68" t="s">
        <v>61</v>
      </c>
      <c r="J6" s="68" t="s">
        <v>28</v>
      </c>
      <c r="K6" s="74" t="s">
        <v>27</v>
      </c>
      <c r="L6" s="70" t="s">
        <v>32</v>
      </c>
      <c r="M6" s="70" t="s">
        <v>12</v>
      </c>
      <c r="N6" s="70" t="s">
        <v>34</v>
      </c>
      <c r="O6" s="70" t="s">
        <v>36</v>
      </c>
      <c r="P6" s="70" t="s">
        <v>37</v>
      </c>
      <c r="Q6" s="70" t="s">
        <v>14</v>
      </c>
      <c r="R6" s="70" t="s">
        <v>10</v>
      </c>
      <c r="S6" s="74" t="s">
        <v>40</v>
      </c>
      <c r="T6" s="74" t="s">
        <v>41</v>
      </c>
      <c r="U6" s="72" t="s">
        <v>31</v>
      </c>
      <c r="V6" s="68" t="s">
        <v>3</v>
      </c>
      <c r="W6" s="68" t="s">
        <v>7</v>
      </c>
      <c r="X6" s="72" t="s">
        <v>4</v>
      </c>
      <c r="Y6" s="72" t="s">
        <v>60</v>
      </c>
    </row>
    <row r="7" spans="1:31" s="71" customFormat="1" ht="12" x14ac:dyDescent="0.2">
      <c r="A7" s="81"/>
      <c r="B7" s="81"/>
      <c r="C7" s="81"/>
      <c r="D7" s="81"/>
      <c r="E7" s="81"/>
      <c r="F7" s="81"/>
      <c r="G7" s="81"/>
      <c r="H7" s="81" t="s">
        <v>47</v>
      </c>
      <c r="I7" s="81" t="s">
        <v>62</v>
      </c>
      <c r="J7" s="81" t="s">
        <v>29</v>
      </c>
      <c r="K7" s="83" t="s">
        <v>43</v>
      </c>
      <c r="L7" s="69" t="s">
        <v>33</v>
      </c>
      <c r="M7" s="69" t="s">
        <v>13</v>
      </c>
      <c r="N7" s="69" t="s">
        <v>35</v>
      </c>
      <c r="O7" s="69" t="s">
        <v>35</v>
      </c>
      <c r="P7" s="69" t="s">
        <v>38</v>
      </c>
      <c r="Q7" s="69" t="s">
        <v>15</v>
      </c>
      <c r="R7" s="69" t="s">
        <v>39</v>
      </c>
      <c r="S7" s="74" t="s">
        <v>19</v>
      </c>
      <c r="T7" s="75" t="s">
        <v>167</v>
      </c>
      <c r="U7" s="81" t="s">
        <v>53</v>
      </c>
      <c r="V7" s="81"/>
      <c r="W7" s="81" t="s">
        <v>44</v>
      </c>
      <c r="X7" s="81" t="s">
        <v>5</v>
      </c>
      <c r="Y7" s="77"/>
    </row>
    <row r="8" spans="1:31" s="71" customFormat="1" ht="12" x14ac:dyDescent="0.2">
      <c r="A8" s="84"/>
      <c r="B8" s="84"/>
      <c r="C8" s="84"/>
      <c r="D8" s="86" t="s">
        <v>80</v>
      </c>
      <c r="E8" s="84" t="s">
        <v>64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8"/>
      <c r="U8" s="84"/>
      <c r="V8" s="84"/>
      <c r="W8" s="84"/>
      <c r="X8" s="84"/>
      <c r="Y8" s="89"/>
    </row>
    <row r="9" spans="1:31" s="197" customFormat="1" ht="69.95" customHeight="1" x14ac:dyDescent="0.2">
      <c r="A9" s="62" t="s">
        <v>105</v>
      </c>
      <c r="B9" s="143" t="s">
        <v>327</v>
      </c>
      <c r="C9" s="64" t="s">
        <v>237</v>
      </c>
      <c r="D9" s="173" t="s">
        <v>323</v>
      </c>
      <c r="E9" s="184" t="s">
        <v>324</v>
      </c>
      <c r="F9" s="174">
        <v>15</v>
      </c>
      <c r="G9" s="175">
        <f t="shared" ref="G9:G13" si="0">H9/F9</f>
        <v>398.32800000000003</v>
      </c>
      <c r="H9" s="176">
        <v>5974.92</v>
      </c>
      <c r="I9" s="177">
        <v>0</v>
      </c>
      <c r="J9" s="178">
        <f t="shared" ref="J9" si="1">SUM(H9:I9)</f>
        <v>5974.92</v>
      </c>
      <c r="K9" s="179">
        <v>0</v>
      </c>
      <c r="L9" s="179">
        <f t="shared" ref="L9" si="2">H9+K9</f>
        <v>5974.92</v>
      </c>
      <c r="M9" s="179">
        <v>5925.91</v>
      </c>
      <c r="N9" s="179">
        <f t="shared" ref="N9" si="3">L9-M9</f>
        <v>49.010000000000218</v>
      </c>
      <c r="O9" s="180">
        <f>VLOOKUP(L9,Tarifa1,3)</f>
        <v>0.21360000000000001</v>
      </c>
      <c r="P9" s="179">
        <f t="shared" ref="P9" si="4">N9*O9</f>
        <v>10.468536000000046</v>
      </c>
      <c r="Q9" s="179">
        <v>627.6</v>
      </c>
      <c r="R9" s="179">
        <f t="shared" ref="R9" si="5">P9+Q9</f>
        <v>638.06853600000011</v>
      </c>
      <c r="S9" s="179">
        <f t="shared" ref="S9" si="6">VLOOKUP(L9,Credito1,2)</f>
        <v>0</v>
      </c>
      <c r="T9" s="179">
        <f t="shared" ref="T9" si="7">R9-S9</f>
        <v>638.06853600000011</v>
      </c>
      <c r="U9" s="178">
        <f t="shared" ref="U9" si="8">-IF(T9&gt;0,0,T9)</f>
        <v>0</v>
      </c>
      <c r="V9" s="178">
        <f t="shared" ref="V9" si="9">IF(T9&lt;0,0,T9)</f>
        <v>638.06853600000011</v>
      </c>
      <c r="W9" s="178">
        <f>SUM(V9:V9)</f>
        <v>638.06853600000011</v>
      </c>
      <c r="X9" s="178">
        <f>J9+U9-W9</f>
        <v>5336.8514640000003</v>
      </c>
      <c r="Y9" s="196"/>
      <c r="Z9" s="200"/>
      <c r="AE9" s="201"/>
    </row>
    <row r="10" spans="1:31" s="197" customFormat="1" ht="69.95" customHeight="1" x14ac:dyDescent="0.2">
      <c r="A10" s="62"/>
      <c r="B10" s="143" t="s">
        <v>268</v>
      </c>
      <c r="C10" s="64" t="s">
        <v>149</v>
      </c>
      <c r="D10" s="173" t="s">
        <v>202</v>
      </c>
      <c r="E10" s="184" t="s">
        <v>203</v>
      </c>
      <c r="F10" s="174">
        <v>15</v>
      </c>
      <c r="G10" s="175">
        <f t="shared" ref="G10" si="10">H10/F10</f>
        <v>259.10000000000002</v>
      </c>
      <c r="H10" s="176">
        <v>3886.5</v>
      </c>
      <c r="I10" s="177">
        <v>0</v>
      </c>
      <c r="J10" s="178">
        <f>SUM(H10:I10)</f>
        <v>3886.5</v>
      </c>
      <c r="K10" s="179">
        <v>0</v>
      </c>
      <c r="L10" s="179">
        <f t="shared" ref="L10" si="11">H10+K10</f>
        <v>3886.5</v>
      </c>
      <c r="M10" s="179">
        <v>2422.81</v>
      </c>
      <c r="N10" s="179">
        <f t="shared" ref="N10" si="12">L10-M10</f>
        <v>1463.69</v>
      </c>
      <c r="O10" s="180">
        <v>0.10879999999999999</v>
      </c>
      <c r="P10" s="179">
        <f t="shared" ref="P10" si="13">N10*O10</f>
        <v>159.249472</v>
      </c>
      <c r="Q10" s="179">
        <v>142.19999999999999</v>
      </c>
      <c r="R10" s="179">
        <f t="shared" ref="R10" si="14">P10+Q10</f>
        <v>301.44947200000001</v>
      </c>
      <c r="S10" s="179"/>
      <c r="T10" s="179">
        <f t="shared" ref="T10" si="15">R10-S10</f>
        <v>301.44947200000001</v>
      </c>
      <c r="U10" s="178">
        <f t="shared" ref="U10" si="16">-IF(T10&gt;0,0,T10)</f>
        <v>0</v>
      </c>
      <c r="V10" s="178">
        <f>IF(T10&lt;0,0,T10)</f>
        <v>301.44947200000001</v>
      </c>
      <c r="W10" s="178">
        <f>SUM(V10:V10)</f>
        <v>301.44947200000001</v>
      </c>
      <c r="X10" s="178">
        <f>J10+U10-W10</f>
        <v>3585.0505279999998</v>
      </c>
      <c r="Y10" s="196"/>
      <c r="Z10" s="200"/>
      <c r="AE10" s="201"/>
    </row>
    <row r="11" spans="1:31" s="197" customFormat="1" ht="69.95" customHeight="1" x14ac:dyDescent="0.2">
      <c r="A11" s="62" t="s">
        <v>106</v>
      </c>
      <c r="B11" s="143" t="s">
        <v>269</v>
      </c>
      <c r="C11" s="64" t="s">
        <v>149</v>
      </c>
      <c r="D11" s="173" t="s">
        <v>204</v>
      </c>
      <c r="E11" s="184" t="s">
        <v>207</v>
      </c>
      <c r="F11" s="174">
        <v>15</v>
      </c>
      <c r="G11" s="175">
        <f t="shared" si="0"/>
        <v>518.70799999999997</v>
      </c>
      <c r="H11" s="176">
        <v>7780.62</v>
      </c>
      <c r="I11" s="177">
        <v>0</v>
      </c>
      <c r="J11" s="178">
        <f>SUM(H11:I11)</f>
        <v>7780.62</v>
      </c>
      <c r="K11" s="179">
        <v>0</v>
      </c>
      <c r="L11" s="179">
        <f t="shared" ref="L11:L13" si="17">H11+K11</f>
        <v>7780.62</v>
      </c>
      <c r="M11" s="179">
        <v>5925.91</v>
      </c>
      <c r="N11" s="179">
        <f t="shared" ref="N11:N13" si="18">L11-M11</f>
        <v>1854.71</v>
      </c>
      <c r="O11" s="180">
        <f>VLOOKUP(L11,Tarifa1,3)</f>
        <v>0.21360000000000001</v>
      </c>
      <c r="P11" s="179">
        <f t="shared" ref="P11:P13" si="19">N11*O11</f>
        <v>396.16605600000003</v>
      </c>
      <c r="Q11" s="179">
        <v>627.6</v>
      </c>
      <c r="R11" s="179">
        <f t="shared" ref="R11:R13" si="20">P11+Q11</f>
        <v>1023.766056</v>
      </c>
      <c r="S11" s="179">
        <f t="shared" ref="S11:S20" si="21">VLOOKUP(L11,Credito1,2)</f>
        <v>0</v>
      </c>
      <c r="T11" s="179">
        <f t="shared" ref="T11:T13" si="22">R11-S11</f>
        <v>1023.766056</v>
      </c>
      <c r="U11" s="178">
        <f t="shared" ref="U11:U13" si="23">-IF(T11&gt;0,0,T11)</f>
        <v>0</v>
      </c>
      <c r="V11" s="178">
        <f>IF(T11&lt;0,0,T11)</f>
        <v>1023.766056</v>
      </c>
      <c r="W11" s="178">
        <f>SUM(V11:V11)</f>
        <v>1023.766056</v>
      </c>
      <c r="X11" s="178">
        <f>J11+U11-W11</f>
        <v>6756.8539439999995</v>
      </c>
      <c r="Y11" s="196"/>
      <c r="AE11" s="202"/>
    </row>
    <row r="12" spans="1:31" s="197" customFormat="1" ht="69.95" customHeight="1" x14ac:dyDescent="0.2">
      <c r="A12" s="62" t="s">
        <v>107</v>
      </c>
      <c r="B12" s="64" t="s">
        <v>143</v>
      </c>
      <c r="C12" s="64" t="s">
        <v>149</v>
      </c>
      <c r="D12" s="173" t="s">
        <v>76</v>
      </c>
      <c r="E12" s="184" t="s">
        <v>206</v>
      </c>
      <c r="F12" s="174">
        <v>15</v>
      </c>
      <c r="G12" s="175">
        <f t="shared" si="0"/>
        <v>429.97999999999996</v>
      </c>
      <c r="H12" s="176">
        <v>6449.7</v>
      </c>
      <c r="I12" s="177">
        <v>0</v>
      </c>
      <c r="J12" s="178">
        <f>SUM(H12:I12)</f>
        <v>6449.7</v>
      </c>
      <c r="K12" s="179">
        <v>0</v>
      </c>
      <c r="L12" s="179">
        <f t="shared" si="17"/>
        <v>6449.7</v>
      </c>
      <c r="M12" s="179">
        <v>5925.91</v>
      </c>
      <c r="N12" s="179">
        <f t="shared" si="18"/>
        <v>523.79</v>
      </c>
      <c r="O12" s="180">
        <f>VLOOKUP(L12,Tarifa1,3)</f>
        <v>0.21360000000000001</v>
      </c>
      <c r="P12" s="179">
        <f t="shared" si="19"/>
        <v>111.88154400000001</v>
      </c>
      <c r="Q12" s="179">
        <v>627.6</v>
      </c>
      <c r="R12" s="179">
        <f t="shared" si="20"/>
        <v>739.48154399999999</v>
      </c>
      <c r="S12" s="179">
        <f t="shared" si="21"/>
        <v>0</v>
      </c>
      <c r="T12" s="179">
        <f t="shared" si="22"/>
        <v>739.48154399999999</v>
      </c>
      <c r="U12" s="178">
        <f t="shared" si="23"/>
        <v>0</v>
      </c>
      <c r="V12" s="178">
        <f t="shared" ref="V12:V13" si="24">IF(T12&lt;0,0,T12)</f>
        <v>739.48154399999999</v>
      </c>
      <c r="W12" s="178">
        <f>SUM(V12:V12)</f>
        <v>739.48154399999999</v>
      </c>
      <c r="X12" s="178">
        <f>J12+U12-W12</f>
        <v>5710.2184559999996</v>
      </c>
      <c r="Y12" s="196"/>
    </row>
    <row r="13" spans="1:31" s="197" customFormat="1" ht="69.95" customHeight="1" x14ac:dyDescent="0.2">
      <c r="A13" s="62" t="s">
        <v>108</v>
      </c>
      <c r="B13" s="64" t="s">
        <v>144</v>
      </c>
      <c r="C13" s="64" t="s">
        <v>149</v>
      </c>
      <c r="D13" s="173" t="s">
        <v>77</v>
      </c>
      <c r="E13" s="184" t="s">
        <v>78</v>
      </c>
      <c r="F13" s="174">
        <v>15</v>
      </c>
      <c r="G13" s="175">
        <f t="shared" si="0"/>
        <v>378.5506666666667</v>
      </c>
      <c r="H13" s="176">
        <v>5678.26</v>
      </c>
      <c r="I13" s="177">
        <v>0</v>
      </c>
      <c r="J13" s="176">
        <f>H13</f>
        <v>5678.26</v>
      </c>
      <c r="K13" s="179">
        <v>0</v>
      </c>
      <c r="L13" s="179">
        <f t="shared" si="17"/>
        <v>5678.26</v>
      </c>
      <c r="M13" s="179">
        <v>4949.5600000000004</v>
      </c>
      <c r="N13" s="179">
        <f t="shared" si="18"/>
        <v>728.69999999999982</v>
      </c>
      <c r="O13" s="180">
        <v>0.1792</v>
      </c>
      <c r="P13" s="179">
        <f t="shared" si="19"/>
        <v>130.58303999999995</v>
      </c>
      <c r="Q13" s="179">
        <v>452.55</v>
      </c>
      <c r="R13" s="179">
        <f t="shared" si="20"/>
        <v>583.13303999999994</v>
      </c>
      <c r="S13" s="179">
        <f t="shared" si="21"/>
        <v>0</v>
      </c>
      <c r="T13" s="179">
        <f t="shared" si="22"/>
        <v>583.13303999999994</v>
      </c>
      <c r="U13" s="178">
        <f t="shared" si="23"/>
        <v>0</v>
      </c>
      <c r="V13" s="178">
        <f t="shared" si="24"/>
        <v>583.13303999999994</v>
      </c>
      <c r="W13" s="178">
        <f>SUM(V13:V13)</f>
        <v>583.13303999999994</v>
      </c>
      <c r="X13" s="178">
        <f>J13+U13-W13+I13</f>
        <v>5095.1269600000005</v>
      </c>
      <c r="Y13" s="196"/>
      <c r="AE13" s="201"/>
    </row>
    <row r="14" spans="1:31" s="197" customFormat="1" ht="69.95" customHeight="1" x14ac:dyDescent="0.2">
      <c r="A14" s="62"/>
      <c r="B14" s="64" t="s">
        <v>345</v>
      </c>
      <c r="C14" s="64" t="s">
        <v>149</v>
      </c>
      <c r="D14" s="243" t="s">
        <v>342</v>
      </c>
      <c r="E14" s="184" t="s">
        <v>78</v>
      </c>
      <c r="F14" s="174"/>
      <c r="G14" s="175"/>
      <c r="H14" s="176">
        <v>5678.26</v>
      </c>
      <c r="I14" s="177">
        <v>0</v>
      </c>
      <c r="J14" s="176">
        <f>H14</f>
        <v>5678.26</v>
      </c>
      <c r="K14" s="179">
        <v>0</v>
      </c>
      <c r="L14" s="179">
        <f>H14+K14</f>
        <v>5678.26</v>
      </c>
      <c r="M14" s="179">
        <v>4949.5600000000004</v>
      </c>
      <c r="N14" s="179">
        <f>L14-M14</f>
        <v>728.69999999999982</v>
      </c>
      <c r="O14" s="180">
        <v>0.1792</v>
      </c>
      <c r="P14" s="179">
        <f>N14*O14</f>
        <v>130.58303999999995</v>
      </c>
      <c r="Q14" s="179">
        <v>452.55</v>
      </c>
      <c r="R14" s="179">
        <f>P14+Q14</f>
        <v>583.13303999999994</v>
      </c>
      <c r="S14" s="179">
        <f>VLOOKUP(L14,Credito1,2)</f>
        <v>0</v>
      </c>
      <c r="T14" s="179">
        <f>R14-S14</f>
        <v>583.13303999999994</v>
      </c>
      <c r="U14" s="178">
        <f>-IF(T14&gt;0,0,T14)</f>
        <v>0</v>
      </c>
      <c r="V14" s="178">
        <f>IF(T14&lt;0,0,T14)</f>
        <v>583.13303999999994</v>
      </c>
      <c r="W14" s="178">
        <f>SUM(V14:V14)</f>
        <v>583.13303999999994</v>
      </c>
      <c r="X14" s="178">
        <f>J14+U14-W14+I14</f>
        <v>5095.1269600000005</v>
      </c>
      <c r="Y14" s="196"/>
      <c r="AE14" s="201"/>
    </row>
    <row r="15" spans="1:31" s="197" customFormat="1" ht="69.95" customHeight="1" x14ac:dyDescent="0.2">
      <c r="A15" s="62"/>
      <c r="B15" s="64" t="s">
        <v>370</v>
      </c>
      <c r="C15" s="64" t="s">
        <v>237</v>
      </c>
      <c r="D15" s="243" t="s">
        <v>369</v>
      </c>
      <c r="E15" s="184" t="s">
        <v>78</v>
      </c>
      <c r="F15" s="174"/>
      <c r="G15" s="175"/>
      <c r="H15" s="176">
        <v>5678.26</v>
      </c>
      <c r="I15" s="177">
        <v>0</v>
      </c>
      <c r="J15" s="176">
        <f>H15</f>
        <v>5678.26</v>
      </c>
      <c r="K15" s="179">
        <v>0</v>
      </c>
      <c r="L15" s="179">
        <f t="shared" ref="L15" si="25">H15+K15</f>
        <v>5678.26</v>
      </c>
      <c r="M15" s="179">
        <v>4949.5600000000004</v>
      </c>
      <c r="N15" s="179">
        <f t="shared" ref="N15" si="26">L15-M15</f>
        <v>728.69999999999982</v>
      </c>
      <c r="O15" s="180">
        <v>0.1792</v>
      </c>
      <c r="P15" s="179">
        <f t="shared" ref="P15" si="27">N15*O15</f>
        <v>130.58303999999995</v>
      </c>
      <c r="Q15" s="179">
        <v>452.55</v>
      </c>
      <c r="R15" s="179">
        <f t="shared" ref="R15" si="28">P15+Q15</f>
        <v>583.13303999999994</v>
      </c>
      <c r="S15" s="179">
        <f t="shared" ref="S15" si="29">VLOOKUP(L15,Credito1,2)</f>
        <v>0</v>
      </c>
      <c r="T15" s="179">
        <f t="shared" ref="T15" si="30">R15-S15</f>
        <v>583.13303999999994</v>
      </c>
      <c r="U15" s="178">
        <f t="shared" ref="U15" si="31">-IF(T15&gt;0,0,T15)</f>
        <v>0</v>
      </c>
      <c r="V15" s="178">
        <f t="shared" ref="V15" si="32">IF(T15&lt;0,0,T15)</f>
        <v>583.13303999999994</v>
      </c>
      <c r="W15" s="178">
        <f>SUM(V15:V15)</f>
        <v>583.13303999999994</v>
      </c>
      <c r="X15" s="178">
        <f>J15+U15-W15+I15</f>
        <v>5095.1269600000005</v>
      </c>
      <c r="Y15" s="196"/>
      <c r="AE15" s="201"/>
    </row>
    <row r="16" spans="1:31" s="197" customFormat="1" ht="69.95" customHeight="1" x14ac:dyDescent="0.2">
      <c r="A16" s="62"/>
      <c r="B16" s="64" t="s">
        <v>371</v>
      </c>
      <c r="C16" s="64" t="s">
        <v>237</v>
      </c>
      <c r="D16" s="173" t="s">
        <v>368</v>
      </c>
      <c r="E16" s="184" t="s">
        <v>78</v>
      </c>
      <c r="F16" s="174"/>
      <c r="G16" s="175"/>
      <c r="H16" s="176">
        <v>5678.26</v>
      </c>
      <c r="I16" s="177">
        <v>0</v>
      </c>
      <c r="J16" s="176">
        <f>H16</f>
        <v>5678.26</v>
      </c>
      <c r="K16" s="179">
        <v>0</v>
      </c>
      <c r="L16" s="179">
        <f t="shared" ref="L16" si="33">H16+K16</f>
        <v>5678.26</v>
      </c>
      <c r="M16" s="179">
        <v>4949.5600000000004</v>
      </c>
      <c r="N16" s="179">
        <f t="shared" ref="N16" si="34">L16-M16</f>
        <v>728.69999999999982</v>
      </c>
      <c r="O16" s="180">
        <v>0.1792</v>
      </c>
      <c r="P16" s="179">
        <f t="shared" ref="P16" si="35">N16*O16</f>
        <v>130.58303999999995</v>
      </c>
      <c r="Q16" s="179">
        <v>452.55</v>
      </c>
      <c r="R16" s="179">
        <f t="shared" ref="R16" si="36">P16+Q16</f>
        <v>583.13303999999994</v>
      </c>
      <c r="S16" s="179">
        <f t="shared" ref="S16" si="37">VLOOKUP(L16,Credito1,2)</f>
        <v>0</v>
      </c>
      <c r="T16" s="179">
        <f t="shared" ref="T16" si="38">R16-S16</f>
        <v>583.13303999999994</v>
      </c>
      <c r="U16" s="178">
        <f t="shared" ref="U16" si="39">-IF(T16&gt;0,0,T16)</f>
        <v>0</v>
      </c>
      <c r="V16" s="178">
        <f t="shared" ref="V16" si="40">IF(T16&lt;0,0,T16)</f>
        <v>583.13303999999994</v>
      </c>
      <c r="W16" s="178">
        <f>SUM(V16:V16)</f>
        <v>583.13303999999994</v>
      </c>
      <c r="X16" s="178">
        <f>J16+U16-W16+I16</f>
        <v>5095.1269600000005</v>
      </c>
      <c r="Y16" s="196"/>
      <c r="AE16" s="201"/>
    </row>
    <row r="17" spans="1:31" s="197" customFormat="1" ht="69.95" customHeight="1" x14ac:dyDescent="0.2">
      <c r="A17" s="62"/>
      <c r="B17" s="64" t="s">
        <v>145</v>
      </c>
      <c r="C17" s="64" t="s">
        <v>149</v>
      </c>
      <c r="D17" s="173" t="s">
        <v>79</v>
      </c>
      <c r="E17" s="184" t="s">
        <v>205</v>
      </c>
      <c r="F17" s="174">
        <v>15</v>
      </c>
      <c r="G17" s="175">
        <f>H17/F17</f>
        <v>517.72866666666664</v>
      </c>
      <c r="H17" s="176">
        <v>7765.93</v>
      </c>
      <c r="I17" s="177">
        <v>0</v>
      </c>
      <c r="J17" s="178">
        <f>SUM(H17:I17)</f>
        <v>7765.93</v>
      </c>
      <c r="K17" s="179">
        <v>0</v>
      </c>
      <c r="L17" s="179">
        <f>H17+K17</f>
        <v>7765.93</v>
      </c>
      <c r="M17" s="179">
        <v>5925.91</v>
      </c>
      <c r="N17" s="179">
        <f>L17-M17</f>
        <v>1840.0200000000004</v>
      </c>
      <c r="O17" s="180">
        <f t="shared" ref="O17:O22" si="41">VLOOKUP(L17,Tarifa1,3)</f>
        <v>0.21360000000000001</v>
      </c>
      <c r="P17" s="179">
        <f>N17*O17</f>
        <v>393.02827200000013</v>
      </c>
      <c r="Q17" s="179">
        <v>627.6</v>
      </c>
      <c r="R17" s="179">
        <f>P17+Q17</f>
        <v>1020.6282720000002</v>
      </c>
      <c r="S17" s="179">
        <f>VLOOKUP(L17,Credito1,2)</f>
        <v>0</v>
      </c>
      <c r="T17" s="179">
        <f>R17-S17</f>
        <v>1020.6282720000002</v>
      </c>
      <c r="U17" s="178">
        <f>-IF(T17&gt;0,0,T17)</f>
        <v>0</v>
      </c>
      <c r="V17" s="178">
        <f>IF(T17&lt;0,0,T17)</f>
        <v>1020.6282720000002</v>
      </c>
      <c r="W17" s="178">
        <f>SUM(V17:V17)</f>
        <v>1020.6282720000002</v>
      </c>
      <c r="X17" s="178">
        <f>J17+U17-W17</f>
        <v>6745.3017280000004</v>
      </c>
      <c r="Y17" s="196"/>
      <c r="AE17" s="201"/>
    </row>
    <row r="18" spans="1:31" s="197" customFormat="1" ht="69.95" customHeight="1" x14ac:dyDescent="0.2">
      <c r="A18" s="62"/>
      <c r="B18" s="64" t="s">
        <v>352</v>
      </c>
      <c r="C18" s="64" t="s">
        <v>237</v>
      </c>
      <c r="D18" s="173" t="s">
        <v>353</v>
      </c>
      <c r="E18" s="184" t="s">
        <v>205</v>
      </c>
      <c r="F18" s="174">
        <v>15</v>
      </c>
      <c r="G18" s="175">
        <f t="shared" ref="G18" si="42">H18/F18</f>
        <v>517.72866666666664</v>
      </c>
      <c r="H18" s="176">
        <v>7765.93</v>
      </c>
      <c r="I18" s="177">
        <v>0</v>
      </c>
      <c r="J18" s="178">
        <f t="shared" ref="J18" si="43">SUM(H18:I18)</f>
        <v>7765.93</v>
      </c>
      <c r="K18" s="179">
        <v>0</v>
      </c>
      <c r="L18" s="179">
        <f>H18+K18</f>
        <v>7765.93</v>
      </c>
      <c r="M18" s="179">
        <v>5925.91</v>
      </c>
      <c r="N18" s="179">
        <f>L18-M18</f>
        <v>1840.0200000000004</v>
      </c>
      <c r="O18" s="180">
        <f t="shared" si="41"/>
        <v>0.21360000000000001</v>
      </c>
      <c r="P18" s="179">
        <f>N18*O18</f>
        <v>393.02827200000013</v>
      </c>
      <c r="Q18" s="179">
        <v>627.6</v>
      </c>
      <c r="R18" s="179">
        <f>P18+Q18</f>
        <v>1020.6282720000002</v>
      </c>
      <c r="S18" s="179">
        <f>VLOOKUP(L18,Credito1,2)</f>
        <v>0</v>
      </c>
      <c r="T18" s="179">
        <f>R18-S18</f>
        <v>1020.6282720000002</v>
      </c>
      <c r="U18" s="178">
        <f>-IF(T18&gt;0,0,T18)</f>
        <v>0</v>
      </c>
      <c r="V18" s="178">
        <f>IF(T18&lt;0,0,T18)</f>
        <v>1020.6282720000002</v>
      </c>
      <c r="W18" s="178">
        <f>SUM(V18:V18)</f>
        <v>1020.6282720000002</v>
      </c>
      <c r="X18" s="178">
        <f>J18+U18-W18</f>
        <v>6745.3017280000004</v>
      </c>
      <c r="Y18" s="196"/>
      <c r="AE18" s="201"/>
    </row>
    <row r="19" spans="1:31" s="197" customFormat="1" ht="69.95" customHeight="1" x14ac:dyDescent="0.2">
      <c r="A19" s="62"/>
      <c r="B19" s="64" t="s">
        <v>191</v>
      </c>
      <c r="C19" s="64" t="s">
        <v>149</v>
      </c>
      <c r="D19" s="243" t="s">
        <v>189</v>
      </c>
      <c r="E19" s="184" t="s">
        <v>305</v>
      </c>
      <c r="F19" s="174">
        <v>15</v>
      </c>
      <c r="G19" s="175">
        <f t="shared" ref="G19:G23" si="44">H19/F19</f>
        <v>414.26133333333331</v>
      </c>
      <c r="H19" s="176">
        <v>6213.92</v>
      </c>
      <c r="I19" s="177">
        <v>368.32</v>
      </c>
      <c r="J19" s="178">
        <f t="shared" ref="J19:J23" si="45">SUM(H19:I19)</f>
        <v>6582.24</v>
      </c>
      <c r="K19" s="179">
        <v>0</v>
      </c>
      <c r="L19" s="179">
        <f t="shared" ref="L19" si="46">H19+K19</f>
        <v>6213.92</v>
      </c>
      <c r="M19" s="179">
        <v>5925.91</v>
      </c>
      <c r="N19" s="179">
        <f t="shared" ref="N19" si="47">L19-M19</f>
        <v>288.01000000000022</v>
      </c>
      <c r="O19" s="180">
        <f t="shared" si="41"/>
        <v>0.21360000000000001</v>
      </c>
      <c r="P19" s="179">
        <f t="shared" ref="P19" si="48">N19*O19</f>
        <v>61.518936000000053</v>
      </c>
      <c r="Q19" s="179">
        <v>627.6</v>
      </c>
      <c r="R19" s="179">
        <f t="shared" ref="R19" si="49">P19+Q19</f>
        <v>689.11893600000008</v>
      </c>
      <c r="S19" s="179">
        <f t="shared" si="21"/>
        <v>0</v>
      </c>
      <c r="T19" s="179">
        <f t="shared" ref="T19" si="50">R19-S19</f>
        <v>689.11893600000008</v>
      </c>
      <c r="U19" s="178">
        <f t="shared" ref="U19" si="51">-IF(T19&gt;0,0,T19)</f>
        <v>0</v>
      </c>
      <c r="V19" s="178">
        <f t="shared" ref="V19:V23" si="52">IF(T19&lt;0,0,T19)</f>
        <v>689.11893600000008</v>
      </c>
      <c r="W19" s="178">
        <f>SUM(V19:V19)</f>
        <v>689.11893600000008</v>
      </c>
      <c r="X19" s="178">
        <f>J19+U19-W19</f>
        <v>5893.1210639999999</v>
      </c>
      <c r="Y19" s="196"/>
      <c r="AE19" s="201"/>
    </row>
    <row r="20" spans="1:31" s="197" customFormat="1" ht="69.95" customHeight="1" x14ac:dyDescent="0.2">
      <c r="A20" s="62"/>
      <c r="B20" s="64" t="s">
        <v>326</v>
      </c>
      <c r="C20" s="64" t="s">
        <v>149</v>
      </c>
      <c r="D20" s="243" t="s">
        <v>314</v>
      </c>
      <c r="E20" s="184" t="s">
        <v>305</v>
      </c>
      <c r="F20" s="174"/>
      <c r="G20" s="175"/>
      <c r="H20" s="176">
        <v>6213.92</v>
      </c>
      <c r="I20" s="177">
        <v>0</v>
      </c>
      <c r="J20" s="178">
        <f t="shared" si="45"/>
        <v>6213.92</v>
      </c>
      <c r="K20" s="179">
        <v>0</v>
      </c>
      <c r="L20" s="179">
        <f t="shared" ref="L20" si="53">H20+K20</f>
        <v>6213.92</v>
      </c>
      <c r="M20" s="179">
        <v>5925.91</v>
      </c>
      <c r="N20" s="179">
        <f t="shared" ref="N20" si="54">L20-M20</f>
        <v>288.01000000000022</v>
      </c>
      <c r="O20" s="180">
        <f t="shared" si="41"/>
        <v>0.21360000000000001</v>
      </c>
      <c r="P20" s="179">
        <f t="shared" ref="P20" si="55">N20*O20</f>
        <v>61.518936000000053</v>
      </c>
      <c r="Q20" s="179">
        <v>627.6</v>
      </c>
      <c r="R20" s="179">
        <f t="shared" ref="R20" si="56">P20+Q20</f>
        <v>689.11893600000008</v>
      </c>
      <c r="S20" s="179">
        <f t="shared" si="21"/>
        <v>0</v>
      </c>
      <c r="T20" s="179">
        <f t="shared" ref="T20" si="57">R20-S20</f>
        <v>689.11893600000008</v>
      </c>
      <c r="U20" s="178">
        <f t="shared" ref="U20" si="58">-IF(T20&gt;0,0,T20)</f>
        <v>0</v>
      </c>
      <c r="V20" s="178">
        <f t="shared" si="52"/>
        <v>689.11893600000008</v>
      </c>
      <c r="W20" s="178">
        <f>SUM(V20:V20)</f>
        <v>689.11893600000008</v>
      </c>
      <c r="X20" s="178">
        <f>J20+U20-W20</f>
        <v>5524.8010640000002</v>
      </c>
      <c r="Y20" s="196"/>
      <c r="AE20" s="201"/>
    </row>
    <row r="21" spans="1:31" s="197" customFormat="1" ht="69.95" customHeight="1" x14ac:dyDescent="0.2">
      <c r="A21" s="62"/>
      <c r="B21" s="64" t="s">
        <v>340</v>
      </c>
      <c r="C21" s="64" t="s">
        <v>149</v>
      </c>
      <c r="D21" s="243" t="s">
        <v>341</v>
      </c>
      <c r="E21" s="184" t="s">
        <v>305</v>
      </c>
      <c r="F21" s="174"/>
      <c r="G21" s="175"/>
      <c r="H21" s="176">
        <v>7765.93</v>
      </c>
      <c r="I21" s="177">
        <v>0</v>
      </c>
      <c r="J21" s="178">
        <f t="shared" ref="J21" si="59">SUM(H21:I21)</f>
        <v>7765.93</v>
      </c>
      <c r="K21" s="179">
        <v>0</v>
      </c>
      <c r="L21" s="179">
        <f t="shared" ref="L21" si="60">H21+K21</f>
        <v>7765.93</v>
      </c>
      <c r="M21" s="179">
        <v>5925.91</v>
      </c>
      <c r="N21" s="179">
        <f t="shared" ref="N21" si="61">L21-M21</f>
        <v>1840.0200000000004</v>
      </c>
      <c r="O21" s="180">
        <f t="shared" si="41"/>
        <v>0.21360000000000001</v>
      </c>
      <c r="P21" s="179">
        <f t="shared" ref="P21" si="62">N21*O21</f>
        <v>393.02827200000013</v>
      </c>
      <c r="Q21" s="179">
        <v>627.6</v>
      </c>
      <c r="R21" s="179">
        <f t="shared" ref="R21" si="63">P21+Q21</f>
        <v>1020.6282720000002</v>
      </c>
      <c r="S21" s="179">
        <f t="shared" ref="S21" si="64">VLOOKUP(L21,Credito1,2)</f>
        <v>0</v>
      </c>
      <c r="T21" s="179">
        <f t="shared" ref="T21" si="65">R21-S21</f>
        <v>1020.6282720000002</v>
      </c>
      <c r="U21" s="178">
        <f t="shared" ref="U21" si="66">-IF(T21&gt;0,0,T21)</f>
        <v>0</v>
      </c>
      <c r="V21" s="178">
        <f t="shared" ref="V21" si="67">IF(T21&lt;0,0,T21)</f>
        <v>1020.6282720000002</v>
      </c>
      <c r="W21" s="178">
        <f>SUM(V21:V21)</f>
        <v>1020.6282720000002</v>
      </c>
      <c r="X21" s="178">
        <f>J21+U21-W21</f>
        <v>6745.3017280000004</v>
      </c>
      <c r="Y21" s="196"/>
      <c r="AE21" s="201"/>
    </row>
    <row r="22" spans="1:31" s="197" customFormat="1" ht="69.95" customHeight="1" x14ac:dyDescent="0.2">
      <c r="A22" s="62"/>
      <c r="B22" s="64" t="s">
        <v>346</v>
      </c>
      <c r="C22" s="64" t="s">
        <v>149</v>
      </c>
      <c r="D22" s="243" t="s">
        <v>343</v>
      </c>
      <c r="E22" s="184" t="s">
        <v>344</v>
      </c>
      <c r="F22" s="174"/>
      <c r="G22" s="175"/>
      <c r="H22" s="176">
        <v>7765.93</v>
      </c>
      <c r="I22" s="177">
        <v>0</v>
      </c>
      <c r="J22" s="178">
        <f t="shared" ref="J22" si="68">SUM(H22:I22)</f>
        <v>7765.93</v>
      </c>
      <c r="K22" s="179">
        <v>0</v>
      </c>
      <c r="L22" s="179">
        <f>H22+K22</f>
        <v>7765.93</v>
      </c>
      <c r="M22" s="179">
        <v>5925.91</v>
      </c>
      <c r="N22" s="179">
        <f>L22-M22</f>
        <v>1840.0200000000004</v>
      </c>
      <c r="O22" s="180">
        <f t="shared" si="41"/>
        <v>0.21360000000000001</v>
      </c>
      <c r="P22" s="179">
        <f>N22*O22</f>
        <v>393.02827200000013</v>
      </c>
      <c r="Q22" s="179">
        <v>627.6</v>
      </c>
      <c r="R22" s="179">
        <f>P22+Q22</f>
        <v>1020.6282720000002</v>
      </c>
      <c r="S22" s="179">
        <f>VLOOKUP(L22,Credito1,2)</f>
        <v>0</v>
      </c>
      <c r="T22" s="179">
        <f>R22-S22</f>
        <v>1020.6282720000002</v>
      </c>
      <c r="U22" s="178">
        <f>-IF(T22&gt;0,0,T22)</f>
        <v>0</v>
      </c>
      <c r="V22" s="178">
        <f>IF(T22&lt;0,0,T22)</f>
        <v>1020.6282720000002</v>
      </c>
      <c r="W22" s="178">
        <f>SUM(V22:V22)</f>
        <v>1020.6282720000002</v>
      </c>
      <c r="X22" s="178">
        <f>J22+U22-W22</f>
        <v>6745.3017280000004</v>
      </c>
      <c r="Y22" s="196"/>
      <c r="AE22" s="201"/>
    </row>
    <row r="23" spans="1:31" s="197" customFormat="1" ht="69.95" customHeight="1" x14ac:dyDescent="0.2">
      <c r="A23" s="62"/>
      <c r="B23" s="64" t="s">
        <v>328</v>
      </c>
      <c r="C23" s="64" t="s">
        <v>149</v>
      </c>
      <c r="D23" s="243" t="s">
        <v>308</v>
      </c>
      <c r="E23" s="184" t="s">
        <v>309</v>
      </c>
      <c r="F23" s="174">
        <v>15</v>
      </c>
      <c r="G23" s="175">
        <f t="shared" si="44"/>
        <v>281.66266666666667</v>
      </c>
      <c r="H23" s="176">
        <v>4224.9399999999996</v>
      </c>
      <c r="I23" s="177">
        <v>0</v>
      </c>
      <c r="J23" s="178">
        <f t="shared" si="45"/>
        <v>4224.9399999999996</v>
      </c>
      <c r="K23" s="179">
        <v>0</v>
      </c>
      <c r="L23" s="179">
        <f>H23+K23</f>
        <v>4224.9399999999996</v>
      </c>
      <c r="M23" s="179">
        <v>2422.81</v>
      </c>
      <c r="N23" s="179">
        <f>L23-M23</f>
        <v>1802.1299999999997</v>
      </c>
      <c r="O23" s="180">
        <v>0.10879999999999999</v>
      </c>
      <c r="P23" s="179">
        <f>N23*O23</f>
        <v>196.07174399999994</v>
      </c>
      <c r="Q23" s="181">
        <v>142.19999999999999</v>
      </c>
      <c r="R23" s="179">
        <f>P23+Q23</f>
        <v>338.2717439999999</v>
      </c>
      <c r="S23" s="179">
        <f>VLOOKUP(L23,Credito1,2)</f>
        <v>0</v>
      </c>
      <c r="T23" s="179">
        <f>R23-S23</f>
        <v>338.2717439999999</v>
      </c>
      <c r="U23" s="178">
        <f>-IF(T23&gt;0,0,T23)</f>
        <v>0</v>
      </c>
      <c r="V23" s="178">
        <f t="shared" si="52"/>
        <v>338.2717439999999</v>
      </c>
      <c r="W23" s="178">
        <f>SUM(V23:V23)</f>
        <v>338.2717439999999</v>
      </c>
      <c r="X23" s="178">
        <f>J23+U23-W23</f>
        <v>3886.6682559999999</v>
      </c>
      <c r="Y23" s="196"/>
      <c r="AE23" s="201"/>
    </row>
    <row r="24" spans="1:31" s="197" customFormat="1" ht="69.95" customHeight="1" x14ac:dyDescent="0.2">
      <c r="A24" s="62"/>
      <c r="B24" s="64" t="s">
        <v>329</v>
      </c>
      <c r="C24" s="64" t="s">
        <v>149</v>
      </c>
      <c r="D24" s="243" t="s">
        <v>310</v>
      </c>
      <c r="E24" s="184" t="s">
        <v>311</v>
      </c>
      <c r="F24" s="174"/>
      <c r="G24" s="175"/>
      <c r="H24" s="176">
        <v>4488.57</v>
      </c>
      <c r="I24" s="177">
        <v>0</v>
      </c>
      <c r="J24" s="178">
        <f>SUM(H24:I24)</f>
        <v>4488.57</v>
      </c>
      <c r="K24" s="179">
        <v>0</v>
      </c>
      <c r="L24" s="179">
        <f>H24+K24</f>
        <v>4488.57</v>
      </c>
      <c r="M24" s="179">
        <v>4257.91</v>
      </c>
      <c r="N24" s="179">
        <f>L24-M24</f>
        <v>230.65999999999985</v>
      </c>
      <c r="O24" s="180">
        <v>0.16</v>
      </c>
      <c r="P24" s="179">
        <f>N24*O24</f>
        <v>36.905599999999978</v>
      </c>
      <c r="Q24" s="181">
        <v>341.85</v>
      </c>
      <c r="R24" s="179">
        <f>P24+Q24</f>
        <v>378.75560000000002</v>
      </c>
      <c r="S24" s="179">
        <f>VLOOKUP(L24,Credito1,2)</f>
        <v>0</v>
      </c>
      <c r="T24" s="179">
        <f>R24-S24</f>
        <v>378.75560000000002</v>
      </c>
      <c r="U24" s="178">
        <f>-IF(T24&gt;0,0,T24)</f>
        <v>0</v>
      </c>
      <c r="V24" s="178">
        <f>IF(T24&lt;0,0,T24)</f>
        <v>378.75560000000002</v>
      </c>
      <c r="W24" s="178">
        <f>SUM(V24:V24)</f>
        <v>378.75560000000002</v>
      </c>
      <c r="X24" s="178">
        <f>J24+U24-W24</f>
        <v>4109.8143999999993</v>
      </c>
      <c r="Y24" s="196"/>
      <c r="AE24" s="201"/>
    </row>
    <row r="25" spans="1:31" s="71" customFormat="1" ht="39" customHeight="1" thickBot="1" x14ac:dyDescent="0.3">
      <c r="A25" s="276" t="s">
        <v>45</v>
      </c>
      <c r="B25" s="277"/>
      <c r="C25" s="277"/>
      <c r="D25" s="277"/>
      <c r="E25" s="277"/>
      <c r="F25" s="277"/>
      <c r="G25" s="278"/>
      <c r="H25" s="39">
        <f t="shared" ref="H25:X25" si="69">SUM(H9:H24)</f>
        <v>99009.85</v>
      </c>
      <c r="I25" s="39">
        <f t="shared" si="69"/>
        <v>368.32</v>
      </c>
      <c r="J25" s="39">
        <f t="shared" si="69"/>
        <v>99378.170000000013</v>
      </c>
      <c r="K25" s="40">
        <f t="shared" si="69"/>
        <v>0</v>
      </c>
      <c r="L25" s="40">
        <f t="shared" si="69"/>
        <v>99009.85</v>
      </c>
      <c r="M25" s="40">
        <f t="shared" si="69"/>
        <v>82234.960000000021</v>
      </c>
      <c r="N25" s="40">
        <f t="shared" si="69"/>
        <v>16774.890000000003</v>
      </c>
      <c r="O25" s="40">
        <f t="shared" si="69"/>
        <v>3.0168000000000004</v>
      </c>
      <c r="P25" s="40">
        <f t="shared" si="69"/>
        <v>3128.2260719999999</v>
      </c>
      <c r="Q25" s="40">
        <f t="shared" si="69"/>
        <v>8084.8500000000031</v>
      </c>
      <c r="R25" s="40">
        <f t="shared" si="69"/>
        <v>11213.076072</v>
      </c>
      <c r="S25" s="40">
        <f t="shared" si="69"/>
        <v>0</v>
      </c>
      <c r="T25" s="40">
        <f t="shared" si="69"/>
        <v>11213.076072</v>
      </c>
      <c r="U25" s="39">
        <f t="shared" si="69"/>
        <v>0</v>
      </c>
      <c r="V25" s="39">
        <f t="shared" si="69"/>
        <v>11213.076072</v>
      </c>
      <c r="W25" s="39">
        <f t="shared" si="69"/>
        <v>11213.076072</v>
      </c>
      <c r="X25" s="39">
        <f t="shared" si="69"/>
        <v>88165.093928000017</v>
      </c>
    </row>
    <row r="26" spans="1:31" s="71" customFormat="1" thickTop="1" x14ac:dyDescent="0.2"/>
    <row r="27" spans="1:31" s="71" customFormat="1" ht="14.25" x14ac:dyDescent="0.2">
      <c r="B27" s="197"/>
      <c r="C27" s="197"/>
      <c r="D27" s="197" t="s">
        <v>245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 t="s">
        <v>114</v>
      </c>
      <c r="W27" s="197"/>
      <c r="X27" s="197"/>
    </row>
    <row r="28" spans="1:31" s="71" customFormat="1" ht="15" x14ac:dyDescent="0.25">
      <c r="B28" s="197"/>
      <c r="C28" s="197"/>
      <c r="D28" s="203" t="s">
        <v>239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203" t="s">
        <v>241</v>
      </c>
      <c r="W28" s="197"/>
      <c r="X28" s="197"/>
    </row>
    <row r="29" spans="1:31" s="71" customFormat="1" ht="15" x14ac:dyDescent="0.25">
      <c r="B29" s="197"/>
      <c r="C29" s="197"/>
      <c r="D29" s="203" t="s">
        <v>100</v>
      </c>
      <c r="E29" s="203"/>
      <c r="F29" s="203"/>
      <c r="G29" s="203"/>
      <c r="H29" s="203"/>
      <c r="I29" s="203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203" t="s">
        <v>101</v>
      </c>
      <c r="W29" s="203"/>
      <c r="X29" s="203"/>
      <c r="Y29" s="80"/>
    </row>
    <row r="30" spans="1:31" s="71" customFormat="1" ht="14.25" x14ac:dyDescent="0.2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</row>
  </sheetData>
  <mergeCells count="7">
    <mergeCell ref="A25:G25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9:D24 D14:D15" xr:uid="{00000000-0002-0000-0400-000000000000}"/>
  </dataValidations>
  <pageMargins left="0.62992125984251968" right="0.27559055118110237" top="0.74803149606299213" bottom="0.74803149606299213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3"/>
  <sheetViews>
    <sheetView topLeftCell="B7" zoomScale="82" zoomScaleNormal="82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71" customFormat="1" ht="12" x14ac:dyDescent="0.2">
      <c r="A6" s="67"/>
      <c r="B6" s="67"/>
      <c r="C6" s="67"/>
      <c r="D6" s="67"/>
      <c r="E6" s="67"/>
      <c r="F6" s="68" t="s">
        <v>23</v>
      </c>
      <c r="G6" s="68" t="s">
        <v>6</v>
      </c>
      <c r="H6" s="260" t="s">
        <v>1</v>
      </c>
      <c r="I6" s="261"/>
      <c r="J6" s="262"/>
      <c r="K6" s="69" t="s">
        <v>26</v>
      </c>
      <c r="L6" s="70"/>
      <c r="M6" s="263" t="s">
        <v>9</v>
      </c>
      <c r="N6" s="264"/>
      <c r="O6" s="264"/>
      <c r="P6" s="264"/>
      <c r="Q6" s="264"/>
      <c r="R6" s="265"/>
      <c r="S6" s="69" t="s">
        <v>30</v>
      </c>
      <c r="T6" s="69" t="s">
        <v>10</v>
      </c>
      <c r="U6" s="68" t="s">
        <v>54</v>
      </c>
      <c r="V6" s="266" t="s">
        <v>2</v>
      </c>
      <c r="W6" s="267"/>
      <c r="X6" s="68" t="s">
        <v>0</v>
      </c>
      <c r="Y6" s="67"/>
    </row>
    <row r="7" spans="1:25" s="71" customFormat="1" ht="24" x14ac:dyDescent="0.2">
      <c r="A7" s="72" t="s">
        <v>133</v>
      </c>
      <c r="B7" s="66" t="s">
        <v>126</v>
      </c>
      <c r="C7" s="66" t="s">
        <v>166</v>
      </c>
      <c r="D7" s="72" t="s">
        <v>22</v>
      </c>
      <c r="E7" s="72"/>
      <c r="F7" s="73" t="s">
        <v>24</v>
      </c>
      <c r="G7" s="72" t="s">
        <v>25</v>
      </c>
      <c r="H7" s="68" t="s">
        <v>6</v>
      </c>
      <c r="I7" s="68" t="s">
        <v>61</v>
      </c>
      <c r="J7" s="68" t="s">
        <v>28</v>
      </c>
      <c r="K7" s="74" t="s">
        <v>27</v>
      </c>
      <c r="L7" s="70" t="s">
        <v>32</v>
      </c>
      <c r="M7" s="70" t="s">
        <v>12</v>
      </c>
      <c r="N7" s="70" t="s">
        <v>34</v>
      </c>
      <c r="O7" s="70" t="s">
        <v>36</v>
      </c>
      <c r="P7" s="70" t="s">
        <v>37</v>
      </c>
      <c r="Q7" s="121" t="s">
        <v>14</v>
      </c>
      <c r="R7" s="70" t="s">
        <v>10</v>
      </c>
      <c r="S7" s="74" t="s">
        <v>40</v>
      </c>
      <c r="T7" s="74" t="s">
        <v>41</v>
      </c>
      <c r="U7" s="72" t="s">
        <v>31</v>
      </c>
      <c r="V7" s="68" t="s">
        <v>3</v>
      </c>
      <c r="W7" s="68" t="s">
        <v>7</v>
      </c>
      <c r="X7" s="72" t="s">
        <v>4</v>
      </c>
      <c r="Y7" s="72" t="s">
        <v>60</v>
      </c>
    </row>
    <row r="8" spans="1:25" s="71" customFormat="1" ht="12" x14ac:dyDescent="0.2">
      <c r="A8" s="72"/>
      <c r="B8" s="72"/>
      <c r="C8" s="72"/>
      <c r="D8" s="72"/>
      <c r="E8" s="72"/>
      <c r="F8" s="72"/>
      <c r="G8" s="72"/>
      <c r="H8" s="72" t="s">
        <v>47</v>
      </c>
      <c r="I8" s="72" t="s">
        <v>62</v>
      </c>
      <c r="J8" s="72" t="s">
        <v>29</v>
      </c>
      <c r="K8" s="74" t="s">
        <v>43</v>
      </c>
      <c r="L8" s="69" t="s">
        <v>33</v>
      </c>
      <c r="M8" s="69" t="s">
        <v>13</v>
      </c>
      <c r="N8" s="69" t="s">
        <v>35</v>
      </c>
      <c r="O8" s="69" t="s">
        <v>35</v>
      </c>
      <c r="P8" s="69" t="s">
        <v>38</v>
      </c>
      <c r="Q8" s="122" t="s">
        <v>15</v>
      </c>
      <c r="R8" s="69" t="s">
        <v>39</v>
      </c>
      <c r="S8" s="74" t="s">
        <v>19</v>
      </c>
      <c r="T8" s="75" t="s">
        <v>167</v>
      </c>
      <c r="U8" s="72" t="s">
        <v>53</v>
      </c>
      <c r="V8" s="72"/>
      <c r="W8" s="72" t="s">
        <v>44</v>
      </c>
      <c r="X8" s="72" t="s">
        <v>5</v>
      </c>
      <c r="Y8" s="76"/>
    </row>
    <row r="9" spans="1:25" s="4" customFormat="1" ht="39.75" customHeight="1" x14ac:dyDescent="0.2">
      <c r="A9" s="204"/>
      <c r="B9" s="204"/>
      <c r="C9" s="204"/>
      <c r="D9" s="204" t="s">
        <v>81</v>
      </c>
      <c r="E9" s="204" t="s">
        <v>64</v>
      </c>
      <c r="F9" s="204"/>
      <c r="G9" s="204"/>
      <c r="H9" s="205">
        <f>SUM(H10:H24)</f>
        <v>34456.910000000003</v>
      </c>
      <c r="I9" s="205">
        <f>SUM(I10:I24)</f>
        <v>458.58000000000004</v>
      </c>
      <c r="J9" s="205">
        <f>SUM(J10:J24)</f>
        <v>34915.490000000005</v>
      </c>
      <c r="K9" s="204"/>
      <c r="L9" s="204"/>
      <c r="M9" s="204"/>
      <c r="N9" s="204"/>
      <c r="O9" s="204"/>
      <c r="P9" s="204"/>
      <c r="Q9" s="206"/>
      <c r="R9" s="204"/>
      <c r="S9" s="204"/>
      <c r="T9" s="204"/>
      <c r="U9" s="205">
        <f>SUM(U10:U24)</f>
        <v>76.881199999999993</v>
      </c>
      <c r="V9" s="205">
        <f>SUM(V10:V24)</f>
        <v>1144.7464319999999</v>
      </c>
      <c r="W9" s="205">
        <f>SUM(W10:W24)</f>
        <v>1144.7464319999999</v>
      </c>
      <c r="X9" s="205">
        <f>SUM(X10:X24)</f>
        <v>33847.624767999994</v>
      </c>
      <c r="Y9" s="207"/>
    </row>
    <row r="10" spans="1:25" s="4" customFormat="1" ht="75" customHeight="1" x14ac:dyDescent="0.2">
      <c r="A10" s="61"/>
      <c r="B10" s="120" t="s">
        <v>330</v>
      </c>
      <c r="C10" s="120" t="s">
        <v>149</v>
      </c>
      <c r="D10" s="126" t="s">
        <v>322</v>
      </c>
      <c r="E10" s="126" t="s">
        <v>321</v>
      </c>
      <c r="F10" s="138">
        <v>15</v>
      </c>
      <c r="G10" s="139">
        <f>H10/F10</f>
        <v>212.15533333333332</v>
      </c>
      <c r="H10" s="124">
        <v>3182.33</v>
      </c>
      <c r="I10" s="131">
        <v>0</v>
      </c>
      <c r="J10" s="132">
        <f t="shared" ref="J10" si="0">SUM(H10:I10)</f>
        <v>3182.33</v>
      </c>
      <c r="K10" s="133">
        <v>0</v>
      </c>
      <c r="L10" s="133">
        <f t="shared" ref="L10" si="1">H10+K10</f>
        <v>3182.33</v>
      </c>
      <c r="M10" s="133">
        <v>2422.81</v>
      </c>
      <c r="N10" s="133">
        <f t="shared" ref="N10" si="2">L10-M10</f>
        <v>759.52</v>
      </c>
      <c r="O10" s="134">
        <f t="shared" ref="O10:O15" si="3">VLOOKUP(L10,Tarifa1,3)</f>
        <v>0.10879999999999999</v>
      </c>
      <c r="P10" s="133">
        <f t="shared" ref="P10" si="4">N10*O10</f>
        <v>82.635775999999993</v>
      </c>
      <c r="Q10" s="135">
        <v>142.19999999999999</v>
      </c>
      <c r="R10" s="133">
        <f t="shared" ref="R10" si="5">P10+Q10</f>
        <v>224.83577599999998</v>
      </c>
      <c r="S10" s="133">
        <v>125.1</v>
      </c>
      <c r="T10" s="133">
        <f t="shared" ref="T10" si="6">R10-S10</f>
        <v>99.735775999999987</v>
      </c>
      <c r="U10" s="132">
        <f t="shared" ref="U10" si="7">-IF(T10&gt;0,0,T10)</f>
        <v>0</v>
      </c>
      <c r="V10" s="132">
        <f t="shared" ref="V10" si="8">IF(T10&lt;0,0,T10)</f>
        <v>99.735775999999987</v>
      </c>
      <c r="W10" s="132">
        <f>SUM(V10:V10)</f>
        <v>99.735775999999987</v>
      </c>
      <c r="X10" s="132">
        <f>J10+U10-W10</f>
        <v>3082.5942239999999</v>
      </c>
      <c r="Y10" s="127"/>
    </row>
    <row r="11" spans="1:25" s="4" customFormat="1" ht="75" customHeight="1" x14ac:dyDescent="0.2">
      <c r="A11" s="61"/>
      <c r="B11" s="120" t="s">
        <v>128</v>
      </c>
      <c r="C11" s="120" t="s">
        <v>149</v>
      </c>
      <c r="D11" s="126" t="s">
        <v>82</v>
      </c>
      <c r="E11" s="126" t="s">
        <v>83</v>
      </c>
      <c r="F11" s="138">
        <v>15</v>
      </c>
      <c r="G11" s="139">
        <f>H11/F11</f>
        <v>215.60666666666665</v>
      </c>
      <c r="H11" s="124">
        <v>3234.1</v>
      </c>
      <c r="I11" s="131">
        <v>208.58</v>
      </c>
      <c r="J11" s="132">
        <f t="shared" ref="J11" si="9">SUM(H11:I11)</f>
        <v>3442.68</v>
      </c>
      <c r="K11" s="133">
        <v>0</v>
      </c>
      <c r="L11" s="133">
        <f t="shared" ref="L11" si="10">H11+K11</f>
        <v>3234.1</v>
      </c>
      <c r="M11" s="133">
        <v>2422.81</v>
      </c>
      <c r="N11" s="133">
        <f t="shared" ref="N11" si="11">L11-M11</f>
        <v>811.29</v>
      </c>
      <c r="O11" s="134">
        <f t="shared" si="3"/>
        <v>0.10879999999999999</v>
      </c>
      <c r="P11" s="133">
        <f t="shared" ref="P11" si="12">N11*O11</f>
        <v>88.268351999999993</v>
      </c>
      <c r="Q11" s="135">
        <v>142.19999999999999</v>
      </c>
      <c r="R11" s="133">
        <f t="shared" ref="R11" si="13">P11+Q11</f>
        <v>230.46835199999998</v>
      </c>
      <c r="S11" s="133">
        <v>125.1</v>
      </c>
      <c r="T11" s="133">
        <f t="shared" ref="T11" si="14">R11-S11</f>
        <v>105.36835199999999</v>
      </c>
      <c r="U11" s="132">
        <f t="shared" ref="U11" si="15">-IF(T11&gt;0,0,T11)</f>
        <v>0</v>
      </c>
      <c r="V11" s="132">
        <f t="shared" ref="V11" si="16">IF(T11&lt;0,0,T11)</f>
        <v>105.36835199999999</v>
      </c>
      <c r="W11" s="132">
        <f>SUM(V11:V11)</f>
        <v>105.36835199999999</v>
      </c>
      <c r="X11" s="132">
        <f>J11+U11-W11</f>
        <v>3337.3116479999999</v>
      </c>
      <c r="Y11" s="127"/>
    </row>
    <row r="12" spans="1:25" s="4" customFormat="1" ht="75" customHeight="1" x14ac:dyDescent="0.2">
      <c r="A12" s="61"/>
      <c r="B12" s="120" t="s">
        <v>175</v>
      </c>
      <c r="C12" s="120" t="s">
        <v>149</v>
      </c>
      <c r="D12" s="129" t="s">
        <v>174</v>
      </c>
      <c r="E12" s="126" t="s">
        <v>127</v>
      </c>
      <c r="F12" s="138">
        <v>15</v>
      </c>
      <c r="G12" s="139">
        <f>H12/F12</f>
        <v>212.86666666666667</v>
      </c>
      <c r="H12" s="124">
        <v>3193</v>
      </c>
      <c r="I12" s="131">
        <v>250</v>
      </c>
      <c r="J12" s="132">
        <f t="shared" ref="J12:J18" si="17">SUM(H12:I12)</f>
        <v>3443</v>
      </c>
      <c r="K12" s="133">
        <v>0</v>
      </c>
      <c r="L12" s="133">
        <f t="shared" ref="L12:L18" si="18">H12+K12</f>
        <v>3193</v>
      </c>
      <c r="M12" s="133">
        <v>2422.81</v>
      </c>
      <c r="N12" s="133">
        <f t="shared" ref="N12:N18" si="19">L12-M12</f>
        <v>770.19</v>
      </c>
      <c r="O12" s="134">
        <f t="shared" si="3"/>
        <v>0.10879999999999999</v>
      </c>
      <c r="P12" s="133">
        <f t="shared" ref="P12:P18" si="20">N12*O12</f>
        <v>83.796672000000001</v>
      </c>
      <c r="Q12" s="135">
        <v>142.19999999999999</v>
      </c>
      <c r="R12" s="133">
        <f t="shared" ref="R12:R18" si="21">P12+Q12</f>
        <v>225.99667199999999</v>
      </c>
      <c r="S12" s="133">
        <v>125.1</v>
      </c>
      <c r="T12" s="133">
        <f t="shared" ref="T12:T18" si="22">R12-S12</f>
        <v>100.896672</v>
      </c>
      <c r="U12" s="132">
        <f t="shared" ref="U12:U18" si="23">-IF(T12&gt;0,0,T12)</f>
        <v>0</v>
      </c>
      <c r="V12" s="132">
        <f t="shared" ref="V12:V18" si="24">IF(T12&lt;0,0,T12)</f>
        <v>100.896672</v>
      </c>
      <c r="W12" s="132">
        <f>SUM(V12:V12)</f>
        <v>100.896672</v>
      </c>
      <c r="X12" s="132">
        <f>J12+U12-W12</f>
        <v>3342.1033280000001</v>
      </c>
      <c r="Y12" s="127"/>
    </row>
    <row r="13" spans="1:25" s="4" customFormat="1" ht="75" customHeight="1" x14ac:dyDescent="0.2">
      <c r="A13" s="61"/>
      <c r="B13" s="120" t="s">
        <v>331</v>
      </c>
      <c r="C13" s="120" t="s">
        <v>149</v>
      </c>
      <c r="D13" s="129" t="s">
        <v>319</v>
      </c>
      <c r="E13" s="126" t="s">
        <v>320</v>
      </c>
      <c r="F13" s="138"/>
      <c r="G13" s="139"/>
      <c r="H13" s="55">
        <v>2876.93</v>
      </c>
      <c r="I13" s="56">
        <v>0</v>
      </c>
      <c r="J13" s="57">
        <f t="shared" ref="J13" si="25">SUM(H13:I13)</f>
        <v>2876.93</v>
      </c>
      <c r="K13" s="53">
        <v>0</v>
      </c>
      <c r="L13" s="53">
        <f t="shared" ref="L13" si="26">H13+K13</f>
        <v>2876.93</v>
      </c>
      <c r="M13" s="53">
        <v>2422.81</v>
      </c>
      <c r="N13" s="53">
        <f t="shared" ref="N13:N14" si="27">L13-M13</f>
        <v>454.11999999999989</v>
      </c>
      <c r="O13" s="54">
        <f t="shared" si="3"/>
        <v>0.10879999999999999</v>
      </c>
      <c r="P13" s="53">
        <f t="shared" ref="P13:P14" si="28">N13*O13</f>
        <v>49.408255999999987</v>
      </c>
      <c r="Q13" s="123">
        <v>142.19999999999999</v>
      </c>
      <c r="R13" s="53">
        <f t="shared" ref="R13:R14" si="29">P13+Q13</f>
        <v>191.60825599999998</v>
      </c>
      <c r="S13" s="53">
        <v>145.35</v>
      </c>
      <c r="T13" s="133">
        <f t="shared" ref="T13:T14" si="30">R13-S13</f>
        <v>46.258255999999989</v>
      </c>
      <c r="U13" s="52">
        <f t="shared" ref="U13" si="31">-IF(T13&gt;0,0,T13)</f>
        <v>0</v>
      </c>
      <c r="V13" s="52">
        <f t="shared" ref="V13" si="32">IF(T13&lt;0,0,T13)</f>
        <v>46.258255999999989</v>
      </c>
      <c r="W13" s="57">
        <f>SUM(V13:V13)</f>
        <v>46.258255999999989</v>
      </c>
      <c r="X13" s="57">
        <f>J13+U13-W13</f>
        <v>2830.6717439999998</v>
      </c>
      <c r="Y13" s="127"/>
    </row>
    <row r="14" spans="1:25" s="4" customFormat="1" ht="75" customHeight="1" x14ac:dyDescent="0.2">
      <c r="A14" s="61"/>
      <c r="B14" s="120" t="s">
        <v>357</v>
      </c>
      <c r="C14" s="120" t="s">
        <v>149</v>
      </c>
      <c r="D14" s="129" t="s">
        <v>358</v>
      </c>
      <c r="E14" s="128" t="s">
        <v>359</v>
      </c>
      <c r="F14" s="138"/>
      <c r="G14" s="139"/>
      <c r="H14" s="124">
        <v>1945.91</v>
      </c>
      <c r="I14" s="131">
        <v>0</v>
      </c>
      <c r="J14" s="132">
        <f>SUM(H14:I14)</f>
        <v>1945.91</v>
      </c>
      <c r="K14" s="133">
        <v>0</v>
      </c>
      <c r="L14" s="133">
        <f>H14+K14</f>
        <v>1945.91</v>
      </c>
      <c r="M14" s="133">
        <v>285.45999999999998</v>
      </c>
      <c r="N14" s="133">
        <f t="shared" si="27"/>
        <v>1660.45</v>
      </c>
      <c r="O14" s="134">
        <f t="shared" si="3"/>
        <v>6.4000000000000001E-2</v>
      </c>
      <c r="P14" s="133">
        <f t="shared" si="28"/>
        <v>106.2688</v>
      </c>
      <c r="Q14" s="135">
        <v>5.55</v>
      </c>
      <c r="R14" s="133">
        <f t="shared" si="29"/>
        <v>111.8188</v>
      </c>
      <c r="S14" s="133">
        <v>188.7</v>
      </c>
      <c r="T14" s="133">
        <f t="shared" si="30"/>
        <v>-76.881199999999993</v>
      </c>
      <c r="U14" s="132">
        <f>-IF(T14&gt;0,0,T14)</f>
        <v>76.881199999999993</v>
      </c>
      <c r="V14" s="132">
        <f>IF(T14&lt;0,0,T14)</f>
        <v>0</v>
      </c>
      <c r="W14" s="132">
        <f>SUM(V14:V14)</f>
        <v>0</v>
      </c>
      <c r="X14" s="132">
        <f>J14+U14-W14</f>
        <v>2022.7912000000001</v>
      </c>
      <c r="Y14" s="127"/>
    </row>
    <row r="15" spans="1:25" s="4" customFormat="1" ht="75" customHeight="1" x14ac:dyDescent="0.2">
      <c r="A15" s="61"/>
      <c r="B15" s="120" t="s">
        <v>181</v>
      </c>
      <c r="C15" s="120" t="s">
        <v>237</v>
      </c>
      <c r="D15" s="126" t="s">
        <v>179</v>
      </c>
      <c r="E15" s="126" t="s">
        <v>180</v>
      </c>
      <c r="F15" s="138">
        <v>6</v>
      </c>
      <c r="G15" s="139"/>
      <c r="H15" s="55">
        <v>3163.94</v>
      </c>
      <c r="I15" s="56">
        <v>0</v>
      </c>
      <c r="J15" s="57">
        <f t="shared" si="17"/>
        <v>3163.94</v>
      </c>
      <c r="K15" s="53">
        <v>0</v>
      </c>
      <c r="L15" s="53">
        <f t="shared" si="18"/>
        <v>3163.94</v>
      </c>
      <c r="M15" s="53">
        <v>2422.81</v>
      </c>
      <c r="N15" s="53">
        <f t="shared" si="19"/>
        <v>741.13000000000011</v>
      </c>
      <c r="O15" s="54">
        <f t="shared" si="3"/>
        <v>0.10879999999999999</v>
      </c>
      <c r="P15" s="53">
        <f t="shared" si="20"/>
        <v>80.634944000000004</v>
      </c>
      <c r="Q15" s="123">
        <v>142.19999999999999</v>
      </c>
      <c r="R15" s="53">
        <f t="shared" si="21"/>
        <v>222.83494400000001</v>
      </c>
      <c r="S15" s="53">
        <v>125.1</v>
      </c>
      <c r="T15" s="133">
        <f t="shared" si="22"/>
        <v>97.734944000000013</v>
      </c>
      <c r="U15" s="52">
        <f t="shared" si="23"/>
        <v>0</v>
      </c>
      <c r="V15" s="52">
        <f t="shared" si="24"/>
        <v>97.734944000000013</v>
      </c>
      <c r="W15" s="57">
        <f>SUM(V15:V15)</f>
        <v>97.734944000000013</v>
      </c>
      <c r="X15" s="57">
        <f>J15+U15-W15</f>
        <v>3066.2050560000002</v>
      </c>
      <c r="Y15" s="127"/>
    </row>
    <row r="16" spans="1:25" s="4" customFormat="1" ht="75" customHeight="1" x14ac:dyDescent="0.2">
      <c r="A16" s="61"/>
      <c r="B16" s="144" t="s">
        <v>270</v>
      </c>
      <c r="C16" s="120" t="s">
        <v>149</v>
      </c>
      <c r="D16" s="126" t="s">
        <v>208</v>
      </c>
      <c r="E16" s="126" t="s">
        <v>86</v>
      </c>
      <c r="F16" s="138">
        <v>15</v>
      </c>
      <c r="G16" s="139">
        <f>H16/F16</f>
        <v>294.57133333333331</v>
      </c>
      <c r="H16" s="124">
        <v>4418.57</v>
      </c>
      <c r="I16" s="131">
        <v>0</v>
      </c>
      <c r="J16" s="132">
        <f t="shared" si="17"/>
        <v>4418.57</v>
      </c>
      <c r="K16" s="133">
        <v>0</v>
      </c>
      <c r="L16" s="133">
        <f t="shared" si="18"/>
        <v>4418.57</v>
      </c>
      <c r="M16" s="133">
        <v>4257.91</v>
      </c>
      <c r="N16" s="133">
        <f t="shared" si="19"/>
        <v>160.65999999999985</v>
      </c>
      <c r="O16" s="134">
        <v>0.16</v>
      </c>
      <c r="P16" s="133">
        <f t="shared" si="20"/>
        <v>25.705599999999976</v>
      </c>
      <c r="Q16" s="135">
        <v>341.85</v>
      </c>
      <c r="R16" s="133">
        <f t="shared" si="21"/>
        <v>367.55560000000003</v>
      </c>
      <c r="S16" s="133">
        <f>VLOOKUP(L16,Credito1,2)</f>
        <v>0</v>
      </c>
      <c r="T16" s="133">
        <f t="shared" si="22"/>
        <v>367.55560000000003</v>
      </c>
      <c r="U16" s="132">
        <f t="shared" si="23"/>
        <v>0</v>
      </c>
      <c r="V16" s="132">
        <f t="shared" si="24"/>
        <v>367.55560000000003</v>
      </c>
      <c r="W16" s="132">
        <f>SUM(V16:V16)</f>
        <v>367.55560000000003</v>
      </c>
      <c r="X16" s="132">
        <f>J16+U16-W16</f>
        <v>4051.0143999999996</v>
      </c>
      <c r="Y16" s="127"/>
    </row>
    <row r="17" spans="1:31" s="4" customFormat="1" ht="75" customHeight="1" x14ac:dyDescent="0.2">
      <c r="A17" s="61"/>
      <c r="B17" s="144" t="s">
        <v>332</v>
      </c>
      <c r="C17" s="120" t="s">
        <v>149</v>
      </c>
      <c r="D17" s="126" t="s">
        <v>317</v>
      </c>
      <c r="E17" s="126" t="s">
        <v>318</v>
      </c>
      <c r="F17" s="138"/>
      <c r="G17" s="139"/>
      <c r="H17" s="124">
        <v>3182.33</v>
      </c>
      <c r="I17" s="131">
        <v>0</v>
      </c>
      <c r="J17" s="132">
        <f t="shared" ref="J17" si="33">SUM(H17:I17)</f>
        <v>3182.33</v>
      </c>
      <c r="K17" s="133">
        <v>0</v>
      </c>
      <c r="L17" s="133">
        <f t="shared" si="18"/>
        <v>3182.33</v>
      </c>
      <c r="M17" s="133">
        <v>2422.81</v>
      </c>
      <c r="N17" s="133">
        <f t="shared" si="19"/>
        <v>759.52</v>
      </c>
      <c r="O17" s="134">
        <f>VLOOKUP(L17,Tarifa1,3)</f>
        <v>0.10879999999999999</v>
      </c>
      <c r="P17" s="133">
        <f t="shared" si="20"/>
        <v>82.635775999999993</v>
      </c>
      <c r="Q17" s="135">
        <v>142.19999999999999</v>
      </c>
      <c r="R17" s="133">
        <f t="shared" si="21"/>
        <v>224.83577599999998</v>
      </c>
      <c r="S17" s="133">
        <v>125.1</v>
      </c>
      <c r="T17" s="133">
        <f t="shared" si="22"/>
        <v>99.735775999999987</v>
      </c>
      <c r="U17" s="132">
        <f t="shared" si="23"/>
        <v>0</v>
      </c>
      <c r="V17" s="132">
        <f t="shared" si="24"/>
        <v>99.735775999999987</v>
      </c>
      <c r="W17" s="132">
        <f>SUM(V17:V17)</f>
        <v>99.735775999999987</v>
      </c>
      <c r="X17" s="132">
        <f>J17+U17-W17</f>
        <v>3082.5942239999999</v>
      </c>
      <c r="Y17" s="127"/>
    </row>
    <row r="18" spans="1:31" s="4" customFormat="1" ht="75" customHeight="1" x14ac:dyDescent="0.2">
      <c r="A18" s="61"/>
      <c r="B18" s="144" t="s">
        <v>271</v>
      </c>
      <c r="C18" s="120" t="s">
        <v>149</v>
      </c>
      <c r="D18" s="128" t="s">
        <v>99</v>
      </c>
      <c r="E18" s="128" t="s">
        <v>348</v>
      </c>
      <c r="F18" s="138">
        <v>15</v>
      </c>
      <c r="G18" s="139">
        <f>H18/F18</f>
        <v>194.98</v>
      </c>
      <c r="H18" s="124">
        <v>2924.7</v>
      </c>
      <c r="I18" s="131">
        <v>0</v>
      </c>
      <c r="J18" s="132">
        <f t="shared" si="17"/>
        <v>2924.7</v>
      </c>
      <c r="K18" s="133">
        <v>0</v>
      </c>
      <c r="L18" s="133">
        <f t="shared" si="18"/>
        <v>2924.7</v>
      </c>
      <c r="M18" s="133">
        <v>2422.81</v>
      </c>
      <c r="N18" s="133">
        <f t="shared" si="19"/>
        <v>501.88999999999987</v>
      </c>
      <c r="O18" s="134">
        <f>VLOOKUP(L18,Tarifa1,3)</f>
        <v>0.10879999999999999</v>
      </c>
      <c r="P18" s="133">
        <f t="shared" si="20"/>
        <v>54.605631999999986</v>
      </c>
      <c r="Q18" s="135">
        <v>142.19999999999999</v>
      </c>
      <c r="R18" s="133">
        <f t="shared" si="21"/>
        <v>196.80563199999997</v>
      </c>
      <c r="S18" s="133">
        <v>145.35</v>
      </c>
      <c r="T18" s="133">
        <f t="shared" si="22"/>
        <v>51.45563199999998</v>
      </c>
      <c r="U18" s="132">
        <f t="shared" si="23"/>
        <v>0</v>
      </c>
      <c r="V18" s="132">
        <f t="shared" si="24"/>
        <v>51.45563199999998</v>
      </c>
      <c r="W18" s="132">
        <f>SUM(V18:V18)</f>
        <v>51.45563199999998</v>
      </c>
      <c r="X18" s="132">
        <f>J18+U18-W18</f>
        <v>2873.2443679999997</v>
      </c>
      <c r="Y18" s="127"/>
    </row>
    <row r="19" spans="1:31" s="4" customFormat="1" ht="75" customHeight="1" x14ac:dyDescent="0.2">
      <c r="A19" s="152"/>
      <c r="B19" s="144" t="s">
        <v>272</v>
      </c>
      <c r="C19" s="120" t="s">
        <v>149</v>
      </c>
      <c r="D19" s="126" t="s">
        <v>210</v>
      </c>
      <c r="E19" s="126" t="s">
        <v>209</v>
      </c>
      <c r="F19" s="138"/>
      <c r="G19" s="139"/>
      <c r="H19" s="124">
        <v>3410.4</v>
      </c>
      <c r="I19" s="131">
        <v>0</v>
      </c>
      <c r="J19" s="132">
        <f t="shared" ref="J19" si="34">SUM(H19:I19)</f>
        <v>3410.4</v>
      </c>
      <c r="K19" s="133">
        <v>0</v>
      </c>
      <c r="L19" s="133">
        <f t="shared" ref="L19:L24" si="35">H19+K19</f>
        <v>3410.4</v>
      </c>
      <c r="M19" s="133">
        <v>2422.81</v>
      </c>
      <c r="N19" s="133">
        <f t="shared" ref="N19:N24" si="36">L19-M19</f>
        <v>987.59000000000015</v>
      </c>
      <c r="O19" s="134">
        <f>VLOOKUP(L19,Tarifa1,3)</f>
        <v>0.10879999999999999</v>
      </c>
      <c r="P19" s="133">
        <f t="shared" ref="P19:P24" si="37">N19*O19</f>
        <v>107.44979200000002</v>
      </c>
      <c r="Q19" s="135">
        <v>142.19999999999999</v>
      </c>
      <c r="R19" s="133">
        <f t="shared" ref="R19:R24" si="38">P19+Q19</f>
        <v>249.64979199999999</v>
      </c>
      <c r="S19" s="133">
        <v>125.1</v>
      </c>
      <c r="T19" s="133">
        <f t="shared" ref="T19:T24" si="39">R19-S19</f>
        <v>124.549792</v>
      </c>
      <c r="U19" s="132">
        <f t="shared" ref="U19:U24" si="40">-IF(T19&gt;0,0,T19)</f>
        <v>0</v>
      </c>
      <c r="V19" s="132">
        <f t="shared" ref="V19:V24" si="41">IF(T19&lt;0,0,T19)</f>
        <v>124.549792</v>
      </c>
      <c r="W19" s="132">
        <f>SUM(V19:V19)</f>
        <v>124.549792</v>
      </c>
      <c r="X19" s="132">
        <f>J19+U19-W19</f>
        <v>3285.8502080000003</v>
      </c>
      <c r="Y19" s="127"/>
    </row>
    <row r="20" spans="1:31" s="4" customFormat="1" ht="28.5" customHeight="1" x14ac:dyDescent="0.25">
      <c r="A20" s="241"/>
      <c r="B20" s="257" t="s">
        <v>96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31" s="4" customFormat="1" ht="23.25" customHeight="1" x14ac:dyDescent="0.25">
      <c r="A21" s="241"/>
      <c r="B21" s="257" t="s">
        <v>68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31" s="4" customFormat="1" ht="23.25" customHeight="1" x14ac:dyDescent="0.2">
      <c r="A22" s="241"/>
      <c r="B22" s="258" t="s">
        <v>375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</row>
    <row r="23" spans="1:31" s="4" customFormat="1" ht="27.75" customHeight="1" x14ac:dyDescent="0.2">
      <c r="A23" s="241"/>
      <c r="B23" s="50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31" s="4" customFormat="1" ht="75" customHeight="1" x14ac:dyDescent="0.2">
      <c r="A24" s="61"/>
      <c r="B24" s="144" t="s">
        <v>346</v>
      </c>
      <c r="C24" s="120" t="s">
        <v>149</v>
      </c>
      <c r="D24" s="126" t="s">
        <v>347</v>
      </c>
      <c r="E24" s="126" t="s">
        <v>209</v>
      </c>
      <c r="F24" s="138"/>
      <c r="G24" s="139"/>
      <c r="H24" s="124">
        <v>2924.7</v>
      </c>
      <c r="I24" s="131">
        <v>0</v>
      </c>
      <c r="J24" s="132">
        <f t="shared" ref="J24" si="42">SUM(H24:I24)</f>
        <v>2924.7</v>
      </c>
      <c r="K24" s="133">
        <v>0</v>
      </c>
      <c r="L24" s="133">
        <f t="shared" si="35"/>
        <v>2924.7</v>
      </c>
      <c r="M24" s="133">
        <v>2422.81</v>
      </c>
      <c r="N24" s="133">
        <f t="shared" si="36"/>
        <v>501.88999999999987</v>
      </c>
      <c r="O24" s="134">
        <f>VLOOKUP(L24,Tarifa1,3)</f>
        <v>0.10879999999999999</v>
      </c>
      <c r="P24" s="133">
        <f t="shared" si="37"/>
        <v>54.605631999999986</v>
      </c>
      <c r="Q24" s="135">
        <v>142.19999999999999</v>
      </c>
      <c r="R24" s="133">
        <f t="shared" si="38"/>
        <v>196.80563199999997</v>
      </c>
      <c r="S24" s="133">
        <v>145.35</v>
      </c>
      <c r="T24" s="133">
        <f t="shared" si="39"/>
        <v>51.45563199999998</v>
      </c>
      <c r="U24" s="132">
        <f t="shared" si="40"/>
        <v>0</v>
      </c>
      <c r="V24" s="132">
        <f t="shared" si="41"/>
        <v>51.45563199999998</v>
      </c>
      <c r="W24" s="132">
        <f>SUM(V24:V24)</f>
        <v>51.45563199999998</v>
      </c>
      <c r="X24" s="132">
        <f>J24+U24-W24</f>
        <v>2873.2443679999997</v>
      </c>
      <c r="Y24" s="127"/>
    </row>
    <row r="25" spans="1:31" s="4" customFormat="1" ht="75" customHeight="1" x14ac:dyDescent="0.2">
      <c r="A25" s="61"/>
      <c r="B25" s="208" t="s">
        <v>126</v>
      </c>
      <c r="C25" s="208" t="s">
        <v>166</v>
      </c>
      <c r="D25" s="204" t="s">
        <v>163</v>
      </c>
      <c r="E25" s="204" t="s">
        <v>64</v>
      </c>
      <c r="F25" s="204"/>
      <c r="G25" s="204"/>
      <c r="H25" s="205">
        <f>SUM(H26:H27)</f>
        <v>8893.06</v>
      </c>
      <c r="I25" s="205">
        <f>SUM(I26:I27)</f>
        <v>0</v>
      </c>
      <c r="J25" s="205">
        <f>SUM(J26:J27)</f>
        <v>8893.06</v>
      </c>
      <c r="K25" s="204"/>
      <c r="L25" s="204"/>
      <c r="M25" s="204"/>
      <c r="N25" s="204"/>
      <c r="O25" s="204"/>
      <c r="P25" s="204"/>
      <c r="Q25" s="206"/>
      <c r="R25" s="204"/>
      <c r="S25" s="204"/>
      <c r="T25" s="204"/>
      <c r="U25" s="205">
        <f>SUM(U26:U27)</f>
        <v>0</v>
      </c>
      <c r="V25" s="205">
        <f>SUM(V26:V27)</f>
        <v>745.75534399999992</v>
      </c>
      <c r="W25" s="205">
        <f>SUM(W26:W27)</f>
        <v>745.75534399999992</v>
      </c>
      <c r="X25" s="205">
        <f>SUM(X26:X27)</f>
        <v>8147.3046559999993</v>
      </c>
      <c r="Y25" s="207"/>
    </row>
    <row r="26" spans="1:31" s="4" customFormat="1" ht="75" customHeight="1" x14ac:dyDescent="0.2">
      <c r="A26" s="61" t="s">
        <v>104</v>
      </c>
      <c r="B26" s="144" t="s">
        <v>273</v>
      </c>
      <c r="C26" s="120" t="s">
        <v>149</v>
      </c>
      <c r="D26" s="126" t="s">
        <v>213</v>
      </c>
      <c r="E26" s="128" t="s">
        <v>211</v>
      </c>
      <c r="F26" s="138">
        <v>15</v>
      </c>
      <c r="G26" s="139">
        <f>H26/F26</f>
        <v>311.20799999999997</v>
      </c>
      <c r="H26" s="176">
        <v>4668.12</v>
      </c>
      <c r="I26" s="177">
        <v>0</v>
      </c>
      <c r="J26" s="178">
        <f>SUM(H26:I26)</f>
        <v>4668.12</v>
      </c>
      <c r="K26" s="179">
        <v>0</v>
      </c>
      <c r="L26" s="179">
        <f>H26+K26</f>
        <v>4668.12</v>
      </c>
      <c r="M26" s="179">
        <v>4257.91</v>
      </c>
      <c r="N26" s="179">
        <f>L26-M26</f>
        <v>410.21000000000004</v>
      </c>
      <c r="O26" s="180">
        <v>0.16</v>
      </c>
      <c r="P26" s="179">
        <f>N26*O26</f>
        <v>65.633600000000001</v>
      </c>
      <c r="Q26" s="181">
        <v>341.85</v>
      </c>
      <c r="R26" s="179">
        <f>P26+Q26</f>
        <v>407.48360000000002</v>
      </c>
      <c r="S26" s="179">
        <f>VLOOKUP(L26,Credito1,2)</f>
        <v>0</v>
      </c>
      <c r="T26" s="179">
        <f>R26-S26</f>
        <v>407.48360000000002</v>
      </c>
      <c r="U26" s="178">
        <f>-IF(T26&gt;0,0,T26)</f>
        <v>0</v>
      </c>
      <c r="V26" s="178">
        <f>IF(T26&lt;0,0,T26)</f>
        <v>407.48360000000002</v>
      </c>
      <c r="W26" s="178">
        <f>SUM(V26:V26)</f>
        <v>407.48360000000002</v>
      </c>
      <c r="X26" s="178">
        <f>J26+U26-W26</f>
        <v>4260.6363999999994</v>
      </c>
      <c r="Y26" s="127"/>
      <c r="AE26" s="199"/>
    </row>
    <row r="27" spans="1:31" s="4" customFormat="1" ht="75" customHeight="1" x14ac:dyDescent="0.2">
      <c r="A27" s="61"/>
      <c r="B27" s="144" t="s">
        <v>333</v>
      </c>
      <c r="C27" s="120" t="s">
        <v>149</v>
      </c>
      <c r="D27" s="126" t="s">
        <v>315</v>
      </c>
      <c r="E27" s="128" t="s">
        <v>316</v>
      </c>
      <c r="F27" s="138"/>
      <c r="G27" s="139"/>
      <c r="H27" s="176">
        <v>4224.9399999999996</v>
      </c>
      <c r="I27" s="177">
        <v>0</v>
      </c>
      <c r="J27" s="178">
        <f>SUM(H27:I27)</f>
        <v>4224.9399999999996</v>
      </c>
      <c r="K27" s="179">
        <v>0</v>
      </c>
      <c r="L27" s="179">
        <f>H27+K27</f>
        <v>4224.9399999999996</v>
      </c>
      <c r="M27" s="179">
        <v>2422.81</v>
      </c>
      <c r="N27" s="179">
        <f>L27-M27</f>
        <v>1802.1299999999997</v>
      </c>
      <c r="O27" s="180">
        <v>0.10879999999999999</v>
      </c>
      <c r="P27" s="179">
        <f>N27*O27</f>
        <v>196.07174399999994</v>
      </c>
      <c r="Q27" s="181">
        <v>142.19999999999999</v>
      </c>
      <c r="R27" s="179">
        <f>P27+Q27</f>
        <v>338.2717439999999</v>
      </c>
      <c r="S27" s="179">
        <f>VLOOKUP(L27,Credito1,2)</f>
        <v>0</v>
      </c>
      <c r="T27" s="179">
        <f>R27-S27</f>
        <v>338.2717439999999</v>
      </c>
      <c r="U27" s="178">
        <f>-IF(T27&gt;0,0,T27)</f>
        <v>0</v>
      </c>
      <c r="V27" s="178">
        <f>IF(T27&lt;0,0,T27)</f>
        <v>338.2717439999999</v>
      </c>
      <c r="W27" s="178">
        <f>SUM(V27:V27)</f>
        <v>338.2717439999999</v>
      </c>
      <c r="X27" s="178">
        <f>J27+U27-W27</f>
        <v>3886.6682559999999</v>
      </c>
      <c r="Y27" s="127"/>
      <c r="AE27" s="199"/>
    </row>
    <row r="28" spans="1:31" s="4" customFormat="1" ht="75" customHeight="1" x14ac:dyDescent="0.2">
      <c r="A28" s="61"/>
      <c r="B28" s="208" t="s">
        <v>126</v>
      </c>
      <c r="C28" s="208" t="s">
        <v>166</v>
      </c>
      <c r="D28" s="204" t="s">
        <v>165</v>
      </c>
      <c r="E28" s="204" t="s">
        <v>64</v>
      </c>
      <c r="F28" s="204"/>
      <c r="G28" s="204"/>
      <c r="H28" s="205">
        <f>SUM(H29:H29)</f>
        <v>2873.82</v>
      </c>
      <c r="I28" s="205">
        <f>SUM(I29:I29)</f>
        <v>0</v>
      </c>
      <c r="J28" s="205">
        <f>SUM(J29:J29)</f>
        <v>2873.82</v>
      </c>
      <c r="K28" s="204"/>
      <c r="L28" s="204"/>
      <c r="M28" s="204"/>
      <c r="N28" s="204"/>
      <c r="O28" s="204"/>
      <c r="P28" s="204"/>
      <c r="Q28" s="206"/>
      <c r="R28" s="204"/>
      <c r="S28" s="204"/>
      <c r="T28" s="204"/>
      <c r="U28" s="205">
        <f>SUM(U29:U29)</f>
        <v>0</v>
      </c>
      <c r="V28" s="205">
        <f>SUM(V29:V29)</f>
        <v>45.919888000000014</v>
      </c>
      <c r="W28" s="205">
        <f>SUM(W29:W29)</f>
        <v>45.919888000000014</v>
      </c>
      <c r="X28" s="205" t="e">
        <f>SUM(X29:X29)</f>
        <v>#REF!</v>
      </c>
      <c r="Y28" s="207"/>
      <c r="AE28" s="199"/>
    </row>
    <row r="29" spans="1:31" s="4" customFormat="1" ht="75" customHeight="1" x14ac:dyDescent="0.2">
      <c r="A29" s="61"/>
      <c r="B29" s="120" t="s">
        <v>131</v>
      </c>
      <c r="C29" s="120" t="s">
        <v>149</v>
      </c>
      <c r="D29" s="126" t="s">
        <v>85</v>
      </c>
      <c r="E29" s="128" t="s">
        <v>168</v>
      </c>
      <c r="F29" s="138">
        <v>15</v>
      </c>
      <c r="G29" s="139">
        <f>H29/F29</f>
        <v>191.58800000000002</v>
      </c>
      <c r="H29" s="124">
        <v>2873.82</v>
      </c>
      <c r="I29" s="131">
        <v>0</v>
      </c>
      <c r="J29" s="132">
        <f>SUM(H29:I29)</f>
        <v>2873.82</v>
      </c>
      <c r="K29" s="133">
        <v>0</v>
      </c>
      <c r="L29" s="133">
        <f>H29+K29</f>
        <v>2873.82</v>
      </c>
      <c r="M29" s="133">
        <v>2422.81</v>
      </c>
      <c r="N29" s="133">
        <f>L29-M29</f>
        <v>451.01000000000022</v>
      </c>
      <c r="O29" s="134">
        <f>VLOOKUP(L29,Tarifa1,3)</f>
        <v>0.10879999999999999</v>
      </c>
      <c r="P29" s="133">
        <f>N29*O29</f>
        <v>49.06988800000002</v>
      </c>
      <c r="Q29" s="135">
        <v>142.19999999999999</v>
      </c>
      <c r="R29" s="133">
        <f>P29+Q29</f>
        <v>191.26988800000001</v>
      </c>
      <c r="S29" s="133">
        <v>145.35</v>
      </c>
      <c r="T29" s="133">
        <f>R29-S29</f>
        <v>45.919888000000014</v>
      </c>
      <c r="U29" s="132">
        <f>-IF(T29&gt;0,0,T29)</f>
        <v>0</v>
      </c>
      <c r="V29" s="132">
        <f>IF(T29&lt;0,0,T29)</f>
        <v>45.919888000000014</v>
      </c>
      <c r="W29" s="132">
        <f>SUM(V29:V29)</f>
        <v>45.919888000000014</v>
      </c>
      <c r="X29" s="132" t="e">
        <f>J29+U29-W29-#REF!</f>
        <v>#REF!</v>
      </c>
      <c r="Y29" s="127"/>
      <c r="AE29" s="199"/>
    </row>
    <row r="30" spans="1:31" s="4" customFormat="1" ht="75" customHeight="1" x14ac:dyDescent="0.2">
      <c r="A30" s="61" t="s">
        <v>105</v>
      </c>
      <c r="B30" s="208" t="s">
        <v>126</v>
      </c>
      <c r="C30" s="208" t="s">
        <v>166</v>
      </c>
      <c r="D30" s="204" t="s">
        <v>164</v>
      </c>
      <c r="E30" s="204" t="s">
        <v>64</v>
      </c>
      <c r="F30" s="204"/>
      <c r="G30" s="204"/>
      <c r="H30" s="205">
        <f>SUM(H31)</f>
        <v>2873.82</v>
      </c>
      <c r="I30" s="205">
        <f>SUM(I31)</f>
        <v>0</v>
      </c>
      <c r="J30" s="205">
        <f>SUM(J31)</f>
        <v>2873.82</v>
      </c>
      <c r="K30" s="204"/>
      <c r="L30" s="204"/>
      <c r="M30" s="204"/>
      <c r="N30" s="204"/>
      <c r="O30" s="204"/>
      <c r="P30" s="204"/>
      <c r="Q30" s="206"/>
      <c r="R30" s="204"/>
      <c r="S30" s="204"/>
      <c r="T30" s="204"/>
      <c r="U30" s="205">
        <f>SUM(U31)</f>
        <v>0</v>
      </c>
      <c r="V30" s="205">
        <f>SUM(V31)</f>
        <v>45.919888000000014</v>
      </c>
      <c r="W30" s="205">
        <f>SUM(W31)</f>
        <v>45.919888000000014</v>
      </c>
      <c r="X30" s="205" t="e">
        <f>SUM(X31)</f>
        <v>#REF!</v>
      </c>
      <c r="Y30" s="207"/>
    </row>
    <row r="31" spans="1:31" s="4" customFormat="1" ht="75" customHeight="1" x14ac:dyDescent="0.2">
      <c r="A31" s="61" t="s">
        <v>106</v>
      </c>
      <c r="B31" s="120" t="s">
        <v>130</v>
      </c>
      <c r="C31" s="120" t="s">
        <v>149</v>
      </c>
      <c r="D31" s="126" t="s">
        <v>84</v>
      </c>
      <c r="E31" s="128" t="s">
        <v>212</v>
      </c>
      <c r="F31" s="138">
        <v>15</v>
      </c>
      <c r="G31" s="139">
        <f>H31/F31</f>
        <v>191.58800000000002</v>
      </c>
      <c r="H31" s="124">
        <v>2873.82</v>
      </c>
      <c r="I31" s="131">
        <v>0</v>
      </c>
      <c r="J31" s="132">
        <f>SUM(H31:I31)</f>
        <v>2873.82</v>
      </c>
      <c r="K31" s="133">
        <v>0</v>
      </c>
      <c r="L31" s="133">
        <f>H31+K31</f>
        <v>2873.82</v>
      </c>
      <c r="M31" s="133">
        <v>2422.81</v>
      </c>
      <c r="N31" s="133">
        <f>L31-M31</f>
        <v>451.01000000000022</v>
      </c>
      <c r="O31" s="134">
        <f>VLOOKUP(L31,Tarifa1,3)</f>
        <v>0.10879999999999999</v>
      </c>
      <c r="P31" s="133">
        <f>N31*O31</f>
        <v>49.06988800000002</v>
      </c>
      <c r="Q31" s="135">
        <v>142.19999999999999</v>
      </c>
      <c r="R31" s="133">
        <f>P31+Q31</f>
        <v>191.26988800000001</v>
      </c>
      <c r="S31" s="133">
        <v>145.35</v>
      </c>
      <c r="T31" s="133">
        <f>R31-S31</f>
        <v>45.919888000000014</v>
      </c>
      <c r="U31" s="132">
        <f>-IF(T31&gt;0,0,T31)</f>
        <v>0</v>
      </c>
      <c r="V31" s="132">
        <f>IF(T31&lt;0,0,T31)</f>
        <v>45.919888000000014</v>
      </c>
      <c r="W31" s="132">
        <f>SUM(V31:V31)</f>
        <v>45.919888000000014</v>
      </c>
      <c r="X31" s="132" t="e">
        <f>J31+U31-W31-#REF!</f>
        <v>#REF!</v>
      </c>
      <c r="Y31" s="127"/>
      <c r="AE31" s="199"/>
    </row>
    <row r="32" spans="1:31" s="4" customFormat="1" ht="27" customHeight="1" x14ac:dyDescent="0.2">
      <c r="A32" s="58"/>
      <c r="B32" s="58"/>
      <c r="C32" s="58"/>
      <c r="D32" s="58"/>
      <c r="E32" s="58"/>
      <c r="F32" s="58"/>
      <c r="G32" s="58"/>
      <c r="H32" s="35"/>
      <c r="I32" s="35"/>
      <c r="J32" s="35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37" s="4" customFormat="1" ht="48" customHeight="1" thickBot="1" x14ac:dyDescent="0.25">
      <c r="A33" s="254" t="s">
        <v>45</v>
      </c>
      <c r="B33" s="255"/>
      <c r="C33" s="255"/>
      <c r="D33" s="255"/>
      <c r="E33" s="255"/>
      <c r="F33" s="255"/>
      <c r="G33" s="256"/>
      <c r="H33" s="171">
        <f>SUM(H9+H25+H28+H30)</f>
        <v>49097.61</v>
      </c>
      <c r="I33" s="171">
        <f>SUM(I9+I25+I28+I30)</f>
        <v>458.58000000000004</v>
      </c>
      <c r="J33" s="171">
        <f>SUM(J9+J25+J28+J30)</f>
        <v>49556.19</v>
      </c>
      <c r="K33" s="172">
        <f t="shared" ref="K33:T33" si="43">SUM(K10:K32)</f>
        <v>0</v>
      </c>
      <c r="L33" s="172">
        <f t="shared" si="43"/>
        <v>49097.610000000008</v>
      </c>
      <c r="M33" s="172">
        <f t="shared" si="43"/>
        <v>37875</v>
      </c>
      <c r="N33" s="172">
        <f t="shared" si="43"/>
        <v>11222.609999999999</v>
      </c>
      <c r="O33" s="172">
        <f t="shared" si="43"/>
        <v>1.6896</v>
      </c>
      <c r="P33" s="172">
        <f t="shared" si="43"/>
        <v>1175.8603519999999</v>
      </c>
      <c r="Q33" s="172">
        <f t="shared" si="43"/>
        <v>2395.6499999999996</v>
      </c>
      <c r="R33" s="172">
        <f t="shared" si="43"/>
        <v>3571.5103519999993</v>
      </c>
      <c r="S33" s="172">
        <f t="shared" si="43"/>
        <v>1666.0499999999995</v>
      </c>
      <c r="T33" s="172">
        <f t="shared" si="43"/>
        <v>1905.4603519999996</v>
      </c>
      <c r="U33" s="171">
        <f>SUM(U9+U25+U28+U30)</f>
        <v>76.881199999999993</v>
      </c>
      <c r="V33" s="171">
        <f>SUM(V9+V25+V28+V30)</f>
        <v>1982.3415519999999</v>
      </c>
      <c r="W33" s="171">
        <f>SUM(W9+W25+W28+W30)</f>
        <v>1982.3415519999999</v>
      </c>
      <c r="X33" s="171" t="e">
        <f>SUM(X9+X25+X28+X30)</f>
        <v>#REF!</v>
      </c>
    </row>
    <row r="34" spans="1:37" s="4" customFormat="1" ht="13.5" thickTop="1" x14ac:dyDescent="0.2"/>
    <row r="35" spans="1:37" s="4" customFormat="1" x14ac:dyDescent="0.2"/>
    <row r="36" spans="1:37" s="4" customFormat="1" x14ac:dyDescent="0.2"/>
    <row r="37" spans="1:37" s="4" customFormat="1" x14ac:dyDescent="0.2"/>
    <row r="38" spans="1:37" s="4" customFormat="1" x14ac:dyDescent="0.2">
      <c r="D38" s="4" t="s">
        <v>246</v>
      </c>
      <c r="V38" s="4" t="s">
        <v>247</v>
      </c>
    </row>
    <row r="39" spans="1:37" s="4" customFormat="1" x14ac:dyDescent="0.2">
      <c r="D39" s="51" t="s">
        <v>239</v>
      </c>
      <c r="V39" s="51" t="s">
        <v>241</v>
      </c>
    </row>
    <row r="40" spans="1:37" s="4" customFormat="1" x14ac:dyDescent="0.2">
      <c r="D40" s="51" t="s">
        <v>100</v>
      </c>
      <c r="E40" s="51"/>
      <c r="F40" s="51"/>
      <c r="G40" s="51"/>
      <c r="H40" s="51"/>
      <c r="I40" s="51"/>
      <c r="V40" s="51" t="s">
        <v>101</v>
      </c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J40" s="51"/>
      <c r="AK40" s="51"/>
    </row>
    <row r="41" spans="1:37" s="4" customFormat="1" x14ac:dyDescent="0.2"/>
    <row r="42" spans="1:37" s="4" customFormat="1" x14ac:dyDescent="0.2"/>
    <row r="43" spans="1:37" s="4" customFormat="1" x14ac:dyDescent="0.2"/>
  </sheetData>
  <mergeCells count="10">
    <mergeCell ref="A33:G33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7" zoomScale="86" zoomScaleNormal="86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31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31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5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71" customFormat="1" ht="12" x14ac:dyDescent="0.2">
      <c r="A6" s="67"/>
      <c r="B6" s="67"/>
      <c r="C6" s="67"/>
      <c r="D6" s="67"/>
      <c r="E6" s="67"/>
      <c r="F6" s="68" t="s">
        <v>23</v>
      </c>
      <c r="G6" s="68" t="s">
        <v>6</v>
      </c>
      <c r="H6" s="260" t="s">
        <v>1</v>
      </c>
      <c r="I6" s="261"/>
      <c r="J6" s="262"/>
      <c r="K6" s="69" t="s">
        <v>26</v>
      </c>
      <c r="L6" s="70"/>
      <c r="M6" s="263" t="s">
        <v>9</v>
      </c>
      <c r="N6" s="264"/>
      <c r="O6" s="264"/>
      <c r="P6" s="264"/>
      <c r="Q6" s="264"/>
      <c r="R6" s="265"/>
      <c r="S6" s="69" t="s">
        <v>30</v>
      </c>
      <c r="T6" s="69" t="s">
        <v>10</v>
      </c>
      <c r="U6" s="68" t="s">
        <v>54</v>
      </c>
      <c r="V6" s="266" t="s">
        <v>2</v>
      </c>
      <c r="W6" s="267"/>
      <c r="X6" s="68" t="s">
        <v>0</v>
      </c>
      <c r="Y6" s="67"/>
    </row>
    <row r="7" spans="1:31" s="71" customFormat="1" ht="24" x14ac:dyDescent="0.2">
      <c r="A7" s="72" t="s">
        <v>21</v>
      </c>
      <c r="B7" s="66" t="s">
        <v>126</v>
      </c>
      <c r="C7" s="66" t="s">
        <v>166</v>
      </c>
      <c r="D7" s="72" t="s">
        <v>22</v>
      </c>
      <c r="E7" s="72"/>
      <c r="F7" s="73" t="s">
        <v>24</v>
      </c>
      <c r="G7" s="72" t="s">
        <v>25</v>
      </c>
      <c r="H7" s="68" t="s">
        <v>6</v>
      </c>
      <c r="I7" s="68" t="s">
        <v>61</v>
      </c>
      <c r="J7" s="68" t="s">
        <v>28</v>
      </c>
      <c r="K7" s="74" t="s">
        <v>27</v>
      </c>
      <c r="L7" s="70" t="s">
        <v>32</v>
      </c>
      <c r="M7" s="70" t="s">
        <v>12</v>
      </c>
      <c r="N7" s="70" t="s">
        <v>34</v>
      </c>
      <c r="O7" s="70" t="s">
        <v>36</v>
      </c>
      <c r="P7" s="70" t="s">
        <v>37</v>
      </c>
      <c r="Q7" s="121" t="s">
        <v>14</v>
      </c>
      <c r="R7" s="70" t="s">
        <v>10</v>
      </c>
      <c r="S7" s="74" t="s">
        <v>40</v>
      </c>
      <c r="T7" s="74" t="s">
        <v>41</v>
      </c>
      <c r="U7" s="72" t="s">
        <v>31</v>
      </c>
      <c r="V7" s="68" t="s">
        <v>3</v>
      </c>
      <c r="W7" s="68" t="s">
        <v>7</v>
      </c>
      <c r="X7" s="72" t="s">
        <v>4</v>
      </c>
      <c r="Y7" s="72" t="s">
        <v>60</v>
      </c>
    </row>
    <row r="8" spans="1:31" s="71" customFormat="1" ht="12" x14ac:dyDescent="0.2">
      <c r="A8" s="72"/>
      <c r="B8" s="72"/>
      <c r="C8" s="72"/>
      <c r="D8" s="72"/>
      <c r="E8" s="72"/>
      <c r="F8" s="72"/>
      <c r="G8" s="72"/>
      <c r="H8" s="72" t="s">
        <v>47</v>
      </c>
      <c r="I8" s="72" t="s">
        <v>62</v>
      </c>
      <c r="J8" s="72" t="s">
        <v>29</v>
      </c>
      <c r="K8" s="74" t="s">
        <v>43</v>
      </c>
      <c r="L8" s="69" t="s">
        <v>33</v>
      </c>
      <c r="M8" s="69" t="s">
        <v>13</v>
      </c>
      <c r="N8" s="69" t="s">
        <v>35</v>
      </c>
      <c r="O8" s="69" t="s">
        <v>35</v>
      </c>
      <c r="P8" s="69" t="s">
        <v>38</v>
      </c>
      <c r="Q8" s="122" t="s">
        <v>15</v>
      </c>
      <c r="R8" s="69" t="s">
        <v>39</v>
      </c>
      <c r="S8" s="74" t="s">
        <v>19</v>
      </c>
      <c r="T8" s="75" t="s">
        <v>167</v>
      </c>
      <c r="U8" s="72" t="s">
        <v>53</v>
      </c>
      <c r="V8" s="72"/>
      <c r="W8" s="72" t="s">
        <v>44</v>
      </c>
      <c r="X8" s="72" t="s">
        <v>5</v>
      </c>
      <c r="Y8" s="76"/>
    </row>
    <row r="9" spans="1:31" s="71" customFormat="1" ht="50.25" customHeight="1" x14ac:dyDescent="0.25">
      <c r="A9" s="45"/>
      <c r="B9" s="213" t="s">
        <v>126</v>
      </c>
      <c r="C9" s="213" t="s">
        <v>166</v>
      </c>
      <c r="D9" s="45" t="s">
        <v>220</v>
      </c>
      <c r="E9" s="45" t="s">
        <v>64</v>
      </c>
      <c r="F9" s="45"/>
      <c r="G9" s="45"/>
      <c r="H9" s="209">
        <f>SUM(H10:H11)</f>
        <v>11907.34</v>
      </c>
      <c r="I9" s="209">
        <f>SUM(I10:I11)</f>
        <v>0</v>
      </c>
      <c r="J9" s="209">
        <f>SUM(J10:J11)</f>
        <v>11907.34</v>
      </c>
      <c r="K9" s="45"/>
      <c r="L9" s="45"/>
      <c r="M9" s="45"/>
      <c r="N9" s="45"/>
      <c r="O9" s="45"/>
      <c r="P9" s="45"/>
      <c r="Q9" s="210"/>
      <c r="R9" s="45"/>
      <c r="S9" s="45"/>
      <c r="T9" s="45"/>
      <c r="U9" s="209">
        <f>SUM(U10:U11)</f>
        <v>0</v>
      </c>
      <c r="V9" s="209">
        <f>SUM(V10:V11)</f>
        <v>1304.0027520000001</v>
      </c>
      <c r="W9" s="209">
        <f>SUM(W10:W11)</f>
        <v>1304.0027520000001</v>
      </c>
      <c r="X9" s="209">
        <f>SUM(X10:X11)</f>
        <v>10603.337248</v>
      </c>
      <c r="Y9" s="211"/>
    </row>
    <row r="10" spans="1:31" s="71" customFormat="1" ht="69.95" customHeight="1" x14ac:dyDescent="0.2">
      <c r="A10" s="64" t="s">
        <v>104</v>
      </c>
      <c r="B10" s="143" t="s">
        <v>274</v>
      </c>
      <c r="C10" s="64" t="s">
        <v>149</v>
      </c>
      <c r="D10" s="184" t="s">
        <v>263</v>
      </c>
      <c r="E10" s="184" t="s">
        <v>304</v>
      </c>
      <c r="F10" s="174">
        <v>15</v>
      </c>
      <c r="G10" s="175">
        <f t="shared" ref="G10:G29" si="0">H10/F10</f>
        <v>468.18199999999996</v>
      </c>
      <c r="H10" s="111">
        <v>7022.73</v>
      </c>
      <c r="I10" s="112">
        <v>0</v>
      </c>
      <c r="J10" s="113">
        <f t="shared" ref="J10" si="1">SUM(H10:I10)</f>
        <v>7022.73</v>
      </c>
      <c r="K10" s="114">
        <v>0</v>
      </c>
      <c r="L10" s="114">
        <f t="shared" ref="L10" si="2">H10+K10</f>
        <v>7022.73</v>
      </c>
      <c r="M10" s="114">
        <v>5925.91</v>
      </c>
      <c r="N10" s="114">
        <f t="shared" ref="N10" si="3">L10-M10</f>
        <v>1096.8199999999997</v>
      </c>
      <c r="O10" s="115">
        <f t="shared" ref="O10" si="4">VLOOKUP(L10,Tarifa1,3)</f>
        <v>0.21360000000000001</v>
      </c>
      <c r="P10" s="114">
        <f t="shared" ref="P10" si="5">N10*O10</f>
        <v>234.28075199999995</v>
      </c>
      <c r="Q10" s="114">
        <v>627.6</v>
      </c>
      <c r="R10" s="114">
        <f t="shared" ref="R10" si="6">P10+Q10</f>
        <v>861.88075200000003</v>
      </c>
      <c r="S10" s="114">
        <f t="shared" ref="S10" si="7">VLOOKUP(L10,Credito1,2)</f>
        <v>0</v>
      </c>
      <c r="T10" s="114">
        <f t="shared" ref="T10" si="8">R10-S10</f>
        <v>861.88075200000003</v>
      </c>
      <c r="U10" s="113">
        <f t="shared" ref="U10" si="9">-IF(T10&gt;0,0,T10)</f>
        <v>0</v>
      </c>
      <c r="V10" s="113">
        <f t="shared" ref="V10" si="10">IF(T10&lt;0,0,T10)</f>
        <v>861.88075200000003</v>
      </c>
      <c r="W10" s="113">
        <f>SUM(V10:V10)</f>
        <v>861.88075200000003</v>
      </c>
      <c r="X10" s="113">
        <f>J10+U10-W10</f>
        <v>6160.8492479999995</v>
      </c>
      <c r="Y10" s="196"/>
      <c r="AE10" s="79"/>
    </row>
    <row r="11" spans="1:31" s="71" customFormat="1" ht="69.95" customHeight="1" x14ac:dyDescent="0.2">
      <c r="A11" s="64" t="s">
        <v>105</v>
      </c>
      <c r="B11" s="64" t="s">
        <v>146</v>
      </c>
      <c r="C11" s="64" t="s">
        <v>149</v>
      </c>
      <c r="D11" s="173" t="s">
        <v>115</v>
      </c>
      <c r="E11" s="184" t="s">
        <v>215</v>
      </c>
      <c r="F11" s="174">
        <v>15</v>
      </c>
      <c r="G11" s="175">
        <f t="shared" si="0"/>
        <v>325.64066666666662</v>
      </c>
      <c r="H11" s="176">
        <v>4884.6099999999997</v>
      </c>
      <c r="I11" s="177">
        <v>0</v>
      </c>
      <c r="J11" s="178">
        <f>SUM(H11:I11)</f>
        <v>4884.6099999999997</v>
      </c>
      <c r="K11" s="179">
        <v>0</v>
      </c>
      <c r="L11" s="179">
        <f>H11+K11</f>
        <v>4884.6099999999997</v>
      </c>
      <c r="M11" s="179">
        <v>4257.91</v>
      </c>
      <c r="N11" s="179">
        <f>L11-M11</f>
        <v>626.69999999999982</v>
      </c>
      <c r="O11" s="180">
        <v>0.16</v>
      </c>
      <c r="P11" s="179">
        <f>N11*O11</f>
        <v>100.27199999999998</v>
      </c>
      <c r="Q11" s="181">
        <v>341.85</v>
      </c>
      <c r="R11" s="179">
        <f>P11+Q11</f>
        <v>442.12200000000001</v>
      </c>
      <c r="S11" s="179">
        <f>VLOOKUP(L11,Credito1,2)</f>
        <v>0</v>
      </c>
      <c r="T11" s="179">
        <f>R11-S11</f>
        <v>442.12200000000001</v>
      </c>
      <c r="U11" s="178">
        <f>-IF(T11&gt;0,0,T11)</f>
        <v>0</v>
      </c>
      <c r="V11" s="178">
        <f>IF(T11&lt;0,0,T11)</f>
        <v>442.12200000000001</v>
      </c>
      <c r="W11" s="178">
        <f>SUM(V11:V11)</f>
        <v>442.12200000000001</v>
      </c>
      <c r="X11" s="178">
        <f>J11+U11-W11</f>
        <v>4442.4879999999994</v>
      </c>
      <c r="Y11" s="196"/>
      <c r="AE11" s="79"/>
    </row>
    <row r="12" spans="1:31" s="71" customFormat="1" ht="42" customHeight="1" x14ac:dyDescent="0.25">
      <c r="A12" s="64"/>
      <c r="B12" s="213" t="s">
        <v>126</v>
      </c>
      <c r="C12" s="213" t="s">
        <v>166</v>
      </c>
      <c r="D12" s="45" t="s">
        <v>296</v>
      </c>
      <c r="E12" s="45" t="s">
        <v>64</v>
      </c>
      <c r="F12" s="45"/>
      <c r="G12" s="45"/>
      <c r="H12" s="209">
        <f>SUM(H13)</f>
        <v>6367.85</v>
      </c>
      <c r="I12" s="209">
        <f>SUM(I13)</f>
        <v>0</v>
      </c>
      <c r="J12" s="209">
        <f>SUM(J13)</f>
        <v>6367.85</v>
      </c>
      <c r="K12" s="45"/>
      <c r="L12" s="45"/>
      <c r="M12" s="45"/>
      <c r="N12" s="45"/>
      <c r="O12" s="45"/>
      <c r="P12" s="45"/>
      <c r="Q12" s="210"/>
      <c r="R12" s="45"/>
      <c r="S12" s="45"/>
      <c r="T12" s="45"/>
      <c r="U12" s="209">
        <f>SUM(U13)</f>
        <v>0</v>
      </c>
      <c r="V12" s="209">
        <f>SUM(V13)</f>
        <v>721.9983840000001</v>
      </c>
      <c r="W12" s="209">
        <f>SUM(W13)</f>
        <v>721.9983840000001</v>
      </c>
      <c r="X12" s="209">
        <f>SUM(X13)</f>
        <v>5645.8516159999999</v>
      </c>
      <c r="Y12" s="211"/>
      <c r="AE12" s="79"/>
    </row>
    <row r="13" spans="1:31" s="71" customFormat="1" ht="69.95" customHeight="1" x14ac:dyDescent="0.2">
      <c r="A13" s="64"/>
      <c r="B13" s="143" t="s">
        <v>294</v>
      </c>
      <c r="C13" s="64" t="s">
        <v>149</v>
      </c>
      <c r="D13" s="183" t="s">
        <v>295</v>
      </c>
      <c r="E13" s="184" t="s">
        <v>297</v>
      </c>
      <c r="F13" s="174">
        <v>15</v>
      </c>
      <c r="G13" s="175">
        <f>H13/F13</f>
        <v>424.52333333333337</v>
      </c>
      <c r="H13" s="176">
        <v>6367.85</v>
      </c>
      <c r="I13" s="177">
        <v>0</v>
      </c>
      <c r="J13" s="178">
        <f>SUM(H13:I13)</f>
        <v>6367.85</v>
      </c>
      <c r="K13" s="179">
        <v>0</v>
      </c>
      <c r="L13" s="179">
        <f>H13+K13</f>
        <v>6367.85</v>
      </c>
      <c r="M13" s="179">
        <v>5925.91</v>
      </c>
      <c r="N13" s="179">
        <f>L13-M13</f>
        <v>441.94000000000051</v>
      </c>
      <c r="O13" s="180">
        <f>VLOOKUP(L13,Tarifa1,3)</f>
        <v>0.21360000000000001</v>
      </c>
      <c r="P13" s="179">
        <f>N13*O13</f>
        <v>94.398384000000121</v>
      </c>
      <c r="Q13" s="181">
        <v>627.6</v>
      </c>
      <c r="R13" s="179">
        <f>P13+Q13</f>
        <v>721.9983840000001</v>
      </c>
      <c r="S13" s="179">
        <f>VLOOKUP(L13,Credito1,2)</f>
        <v>0</v>
      </c>
      <c r="T13" s="179">
        <f>R13-S13</f>
        <v>721.9983840000001</v>
      </c>
      <c r="U13" s="178">
        <f>-IF(T13&gt;0,0,T13)</f>
        <v>0</v>
      </c>
      <c r="V13" s="178">
        <f>IF(T13&lt;0,0,T13)</f>
        <v>721.9983840000001</v>
      </c>
      <c r="W13" s="178">
        <f>SUM(V13:V13)</f>
        <v>721.9983840000001</v>
      </c>
      <c r="X13" s="178">
        <f>J13+U13-W13</f>
        <v>5645.8516159999999</v>
      </c>
      <c r="Y13" s="196"/>
      <c r="AE13" s="79"/>
    </row>
    <row r="14" spans="1:31" s="71" customFormat="1" ht="69.95" customHeight="1" x14ac:dyDescent="0.25">
      <c r="A14" s="64"/>
      <c r="B14" s="213" t="s">
        <v>126</v>
      </c>
      <c r="C14" s="213" t="s">
        <v>166</v>
      </c>
      <c r="D14" s="45" t="s">
        <v>365</v>
      </c>
      <c r="E14" s="45" t="s">
        <v>64</v>
      </c>
      <c r="F14" s="45"/>
      <c r="G14" s="45"/>
      <c r="H14" s="209">
        <f>SUM(H15)</f>
        <v>6367.85</v>
      </c>
      <c r="I14" s="209">
        <f>SUM(I15)</f>
        <v>0</v>
      </c>
      <c r="J14" s="209">
        <f>SUM(J15)</f>
        <v>6367.85</v>
      </c>
      <c r="K14" s="45"/>
      <c r="L14" s="45"/>
      <c r="M14" s="45"/>
      <c r="N14" s="45"/>
      <c r="O14" s="45"/>
      <c r="P14" s="45"/>
      <c r="Q14" s="210"/>
      <c r="R14" s="45"/>
      <c r="S14" s="45"/>
      <c r="T14" s="45"/>
      <c r="U14" s="209">
        <f>SUM(U15)</f>
        <v>0</v>
      </c>
      <c r="V14" s="209">
        <f>SUM(V15)</f>
        <v>721.9983840000001</v>
      </c>
      <c r="W14" s="209">
        <f>SUM(W15)</f>
        <v>721.9983840000001</v>
      </c>
      <c r="X14" s="209">
        <f>SUM(X15)</f>
        <v>5645.8516159999999</v>
      </c>
      <c r="Y14" s="211"/>
      <c r="AE14" s="79"/>
    </row>
    <row r="15" spans="1:31" s="71" customFormat="1" ht="69.95" customHeight="1" x14ac:dyDescent="0.2">
      <c r="A15" s="64"/>
      <c r="B15" s="143" t="s">
        <v>366</v>
      </c>
      <c r="C15" s="64" t="s">
        <v>149</v>
      </c>
      <c r="D15" s="183" t="s">
        <v>363</v>
      </c>
      <c r="E15" s="184" t="s">
        <v>364</v>
      </c>
      <c r="F15" s="174">
        <v>15</v>
      </c>
      <c r="G15" s="175">
        <f>H15/F15</f>
        <v>424.52333333333337</v>
      </c>
      <c r="H15" s="176">
        <v>6367.85</v>
      </c>
      <c r="I15" s="177">
        <v>0</v>
      </c>
      <c r="J15" s="178">
        <f>SUM(H15:I15)</f>
        <v>6367.85</v>
      </c>
      <c r="K15" s="179">
        <v>0</v>
      </c>
      <c r="L15" s="179">
        <f>H15+K15</f>
        <v>6367.85</v>
      </c>
      <c r="M15" s="179">
        <v>5925.91</v>
      </c>
      <c r="N15" s="179">
        <f>L15-M15</f>
        <v>441.94000000000051</v>
      </c>
      <c r="O15" s="180">
        <f>VLOOKUP(L15,Tarifa1,3)</f>
        <v>0.21360000000000001</v>
      </c>
      <c r="P15" s="179">
        <f>N15*O15</f>
        <v>94.398384000000121</v>
      </c>
      <c r="Q15" s="181">
        <v>627.6</v>
      </c>
      <c r="R15" s="179">
        <f>P15+Q15</f>
        <v>721.9983840000001</v>
      </c>
      <c r="S15" s="179">
        <f>VLOOKUP(L15,Credito1,2)</f>
        <v>0</v>
      </c>
      <c r="T15" s="179">
        <f>R15-S15</f>
        <v>721.9983840000001</v>
      </c>
      <c r="U15" s="178">
        <f>-IF(T15&gt;0,0,T15)</f>
        <v>0</v>
      </c>
      <c r="V15" s="178">
        <f>IF(T15&lt;0,0,T15)</f>
        <v>721.9983840000001</v>
      </c>
      <c r="W15" s="178">
        <f>SUM(V15:V15)</f>
        <v>721.9983840000001</v>
      </c>
      <c r="X15" s="178">
        <f>J15+U15-W15</f>
        <v>5645.8516159999999</v>
      </c>
      <c r="Y15" s="196"/>
      <c r="AE15" s="79"/>
    </row>
    <row r="16" spans="1:31" s="71" customFormat="1" ht="41.25" customHeight="1" x14ac:dyDescent="0.25">
      <c r="A16" s="64"/>
      <c r="B16" s="213" t="s">
        <v>126</v>
      </c>
      <c r="C16" s="213" t="s">
        <v>166</v>
      </c>
      <c r="D16" s="45" t="s">
        <v>170</v>
      </c>
      <c r="E16" s="45" t="s">
        <v>64</v>
      </c>
      <c r="F16" s="45"/>
      <c r="G16" s="45"/>
      <c r="H16" s="209">
        <f>SUM(H17:H19)</f>
        <v>12323.06</v>
      </c>
      <c r="I16" s="209">
        <f>SUM(I17:I19)</f>
        <v>0</v>
      </c>
      <c r="J16" s="209">
        <f>SUM(J17:J19)</f>
        <v>12323.06</v>
      </c>
      <c r="K16" s="45"/>
      <c r="L16" s="45"/>
      <c r="M16" s="45"/>
      <c r="N16" s="45"/>
      <c r="O16" s="45"/>
      <c r="P16" s="45"/>
      <c r="Q16" s="210"/>
      <c r="R16" s="45"/>
      <c r="S16" s="45"/>
      <c r="T16" s="45"/>
      <c r="U16" s="209">
        <f>SUM(U17:U19)</f>
        <v>0</v>
      </c>
      <c r="V16" s="209">
        <f>SUM(V17:V19)</f>
        <v>834.01141599999994</v>
      </c>
      <c r="W16" s="209">
        <f>SUM(W17:W19)</f>
        <v>834.01141599999994</v>
      </c>
      <c r="X16" s="209">
        <f>SUM(X17:X19)</f>
        <v>11489.048584</v>
      </c>
      <c r="Y16" s="211"/>
      <c r="AE16" s="79"/>
    </row>
    <row r="17" spans="1:31" s="71" customFormat="1" ht="69.95" customHeight="1" x14ac:dyDescent="0.2">
      <c r="A17" s="64" t="s">
        <v>107</v>
      </c>
      <c r="B17" s="143" t="s">
        <v>276</v>
      </c>
      <c r="C17" s="64" t="s">
        <v>149</v>
      </c>
      <c r="D17" s="183" t="s">
        <v>216</v>
      </c>
      <c r="E17" s="184" t="s">
        <v>117</v>
      </c>
      <c r="F17" s="174">
        <v>15</v>
      </c>
      <c r="G17" s="175">
        <f t="shared" si="0"/>
        <v>397.22666666666663</v>
      </c>
      <c r="H17" s="176">
        <v>5958.4</v>
      </c>
      <c r="I17" s="177">
        <v>0</v>
      </c>
      <c r="J17" s="178">
        <f>H17</f>
        <v>5958.4</v>
      </c>
      <c r="K17" s="179">
        <v>0</v>
      </c>
      <c r="L17" s="179">
        <f>H17+K17</f>
        <v>5958.4</v>
      </c>
      <c r="M17" s="179">
        <v>5925.91</v>
      </c>
      <c r="N17" s="179">
        <f>L17-M17</f>
        <v>32.489999999999782</v>
      </c>
      <c r="O17" s="180">
        <v>0.21360000000000001</v>
      </c>
      <c r="P17" s="179">
        <f>N17*O17</f>
        <v>6.9398639999999538</v>
      </c>
      <c r="Q17" s="181">
        <v>627.6</v>
      </c>
      <c r="R17" s="179">
        <f>P17+Q17</f>
        <v>634.53986399999997</v>
      </c>
      <c r="S17" s="179">
        <f>VLOOKUP(L17,Credito1,2)</f>
        <v>0</v>
      </c>
      <c r="T17" s="179">
        <f>R17-S17</f>
        <v>634.53986399999997</v>
      </c>
      <c r="U17" s="178">
        <f>-IF(T17&gt;0,0,T17)</f>
        <v>0</v>
      </c>
      <c r="V17" s="178">
        <f>IF(T17&lt;0,0,T17)</f>
        <v>634.53986399999997</v>
      </c>
      <c r="W17" s="178">
        <f>SUM(V17:V17)</f>
        <v>634.53986399999997</v>
      </c>
      <c r="X17" s="178">
        <f>J17+U17-W17</f>
        <v>5323.8601359999993</v>
      </c>
      <c r="Y17" s="196"/>
      <c r="AE17" s="90"/>
    </row>
    <row r="18" spans="1:31" s="71" customFormat="1" ht="69.95" customHeight="1" x14ac:dyDescent="0.2">
      <c r="A18" s="64"/>
      <c r="B18" s="143" t="s">
        <v>334</v>
      </c>
      <c r="C18" s="64" t="s">
        <v>149</v>
      </c>
      <c r="D18" s="183" t="s">
        <v>312</v>
      </c>
      <c r="E18" s="184" t="s">
        <v>313</v>
      </c>
      <c r="F18" s="174"/>
      <c r="G18" s="175"/>
      <c r="H18" s="124">
        <v>3182.33</v>
      </c>
      <c r="I18" s="131">
        <v>0</v>
      </c>
      <c r="J18" s="132">
        <f t="shared" ref="J18" si="11">SUM(H18:I18)</f>
        <v>3182.33</v>
      </c>
      <c r="K18" s="133">
        <v>0</v>
      </c>
      <c r="L18" s="133">
        <f t="shared" ref="L18" si="12">H18+K18</f>
        <v>3182.33</v>
      </c>
      <c r="M18" s="133">
        <v>2422.81</v>
      </c>
      <c r="N18" s="133">
        <f t="shared" ref="N18" si="13">L18-M18</f>
        <v>759.52</v>
      </c>
      <c r="O18" s="134">
        <f>VLOOKUP(L18,Tarifa1,3)</f>
        <v>0.10879999999999999</v>
      </c>
      <c r="P18" s="133">
        <f t="shared" ref="P18" si="14">N18*O18</f>
        <v>82.635775999999993</v>
      </c>
      <c r="Q18" s="135">
        <v>142.19999999999999</v>
      </c>
      <c r="R18" s="133">
        <f t="shared" ref="R18" si="15">P18+Q18</f>
        <v>224.83577599999998</v>
      </c>
      <c r="S18" s="133">
        <v>125.1</v>
      </c>
      <c r="T18" s="133">
        <f t="shared" ref="T18" si="16">R18-S18</f>
        <v>99.735775999999987</v>
      </c>
      <c r="U18" s="132">
        <f t="shared" ref="U18" si="17">-IF(T18&gt;0,0,T18)</f>
        <v>0</v>
      </c>
      <c r="V18" s="132">
        <f t="shared" ref="V18" si="18">IF(T18&lt;0,0,T18)</f>
        <v>99.735775999999987</v>
      </c>
      <c r="W18" s="132">
        <f>SUM(V18:V18)</f>
        <v>99.735775999999987</v>
      </c>
      <c r="X18" s="132">
        <f>J18+U18-W18</f>
        <v>3082.5942239999999</v>
      </c>
      <c r="Y18" s="196"/>
      <c r="AE18" s="90"/>
    </row>
    <row r="19" spans="1:31" s="71" customFormat="1" ht="69.95" customHeight="1" x14ac:dyDescent="0.2">
      <c r="A19" s="64"/>
      <c r="B19" s="143" t="s">
        <v>372</v>
      </c>
      <c r="C19" s="64" t="s">
        <v>237</v>
      </c>
      <c r="D19" s="183" t="s">
        <v>367</v>
      </c>
      <c r="E19" s="184" t="s">
        <v>313</v>
      </c>
      <c r="F19" s="174"/>
      <c r="G19" s="175"/>
      <c r="H19" s="124">
        <v>3182.33</v>
      </c>
      <c r="I19" s="131">
        <v>0</v>
      </c>
      <c r="J19" s="132">
        <f t="shared" ref="J19" si="19">SUM(H19:I19)</f>
        <v>3182.33</v>
      </c>
      <c r="K19" s="133">
        <v>0</v>
      </c>
      <c r="L19" s="133">
        <f t="shared" ref="L19" si="20">H19+K19</f>
        <v>3182.33</v>
      </c>
      <c r="M19" s="133">
        <v>2422.81</v>
      </c>
      <c r="N19" s="133">
        <f t="shared" ref="N19" si="21">L19-M19</f>
        <v>759.52</v>
      </c>
      <c r="O19" s="134">
        <f>VLOOKUP(L19,Tarifa1,3)</f>
        <v>0.10879999999999999</v>
      </c>
      <c r="P19" s="133">
        <f t="shared" ref="P19" si="22">N19*O19</f>
        <v>82.635775999999993</v>
      </c>
      <c r="Q19" s="135">
        <v>142.19999999999999</v>
      </c>
      <c r="R19" s="133">
        <f t="shared" ref="R19" si="23">P19+Q19</f>
        <v>224.83577599999998</v>
      </c>
      <c r="S19" s="133">
        <v>125.1</v>
      </c>
      <c r="T19" s="133">
        <f t="shared" ref="T19" si="24">R19-S19</f>
        <v>99.735775999999987</v>
      </c>
      <c r="U19" s="132">
        <f t="shared" ref="U19" si="25">-IF(T19&gt;0,0,T19)</f>
        <v>0</v>
      </c>
      <c r="V19" s="132">
        <f t="shared" ref="V19" si="26">IF(T19&lt;0,0,T19)</f>
        <v>99.735775999999987</v>
      </c>
      <c r="W19" s="132">
        <f>SUM(V19:V19)</f>
        <v>99.735775999999987</v>
      </c>
      <c r="X19" s="132">
        <f>J19+U19-W19</f>
        <v>3082.5942239999999</v>
      </c>
      <c r="Y19" s="196"/>
      <c r="AE19" s="90"/>
    </row>
    <row r="20" spans="1:31" s="71" customFormat="1" ht="50.25" customHeight="1" x14ac:dyDescent="0.25">
      <c r="A20" s="64"/>
      <c r="B20" s="213" t="s">
        <v>126</v>
      </c>
      <c r="C20" s="213" t="s">
        <v>166</v>
      </c>
      <c r="D20" s="45" t="s">
        <v>171</v>
      </c>
      <c r="E20" s="45" t="s">
        <v>64</v>
      </c>
      <c r="F20" s="45"/>
      <c r="G20" s="45"/>
      <c r="H20" s="209">
        <f>SUM(H21:H27)</f>
        <v>15783.14</v>
      </c>
      <c r="I20" s="209">
        <f>SUM(I21:I27)</f>
        <v>0</v>
      </c>
      <c r="J20" s="209">
        <f>SUM(J21:J27)</f>
        <v>15783.14</v>
      </c>
      <c r="K20" s="45"/>
      <c r="L20" s="45"/>
      <c r="M20" s="45"/>
      <c r="N20" s="45"/>
      <c r="O20" s="45"/>
      <c r="P20" s="45"/>
      <c r="Q20" s="210"/>
      <c r="R20" s="45"/>
      <c r="S20" s="45"/>
      <c r="T20" s="45"/>
      <c r="U20" s="209">
        <f>SUM(U21:U27)</f>
        <v>0</v>
      </c>
      <c r="V20" s="209">
        <f>SUM(V21:V27)</f>
        <v>1578.6204480000004</v>
      </c>
      <c r="W20" s="209">
        <f>SUM(W21:W27)</f>
        <v>1578.6204480000004</v>
      </c>
      <c r="X20" s="209">
        <f>SUM(X21:X27)</f>
        <v>14204.519552</v>
      </c>
      <c r="Y20" s="211"/>
      <c r="AE20" s="90"/>
    </row>
    <row r="21" spans="1:31" s="71" customFormat="1" ht="69.95" customHeight="1" x14ac:dyDescent="0.2">
      <c r="A21" s="64" t="s">
        <v>108</v>
      </c>
      <c r="B21" s="64" t="s">
        <v>147</v>
      </c>
      <c r="C21" s="64" t="s">
        <v>149</v>
      </c>
      <c r="D21" s="183" t="s">
        <v>116</v>
      </c>
      <c r="E21" s="184" t="s">
        <v>118</v>
      </c>
      <c r="F21" s="174">
        <v>15</v>
      </c>
      <c r="G21" s="175">
        <f t="shared" si="0"/>
        <v>451.85400000000004</v>
      </c>
      <c r="H21" s="111">
        <v>6777.81</v>
      </c>
      <c r="I21" s="112">
        <v>0</v>
      </c>
      <c r="J21" s="113">
        <f t="shared" ref="J21" si="27">SUM(H21:I21)</f>
        <v>6777.81</v>
      </c>
      <c r="K21" s="114">
        <v>0</v>
      </c>
      <c r="L21" s="114">
        <f t="shared" ref="L21" si="28">H21+K21</f>
        <v>6777.81</v>
      </c>
      <c r="M21" s="114">
        <v>5925.91</v>
      </c>
      <c r="N21" s="114">
        <f t="shared" ref="N21" si="29">L21-M21</f>
        <v>851.90000000000055</v>
      </c>
      <c r="O21" s="115">
        <f t="shared" ref="O21" si="30">VLOOKUP(L21,Tarifa1,3)</f>
        <v>0.21360000000000001</v>
      </c>
      <c r="P21" s="114">
        <f t="shared" ref="P21" si="31">N21*O21</f>
        <v>181.96584000000013</v>
      </c>
      <c r="Q21" s="114">
        <v>627.6</v>
      </c>
      <c r="R21" s="114">
        <f t="shared" ref="R21" si="32">P21+Q21</f>
        <v>809.56584000000021</v>
      </c>
      <c r="S21" s="114">
        <f t="shared" ref="S21" si="33">VLOOKUP(L21,Credito1,2)</f>
        <v>0</v>
      </c>
      <c r="T21" s="114">
        <f t="shared" ref="T21" si="34">R21-S21</f>
        <v>809.56584000000021</v>
      </c>
      <c r="U21" s="113">
        <f t="shared" ref="U21" si="35">-IF(T21&gt;0,0,T21)</f>
        <v>0</v>
      </c>
      <c r="V21" s="113">
        <f t="shared" ref="V21" si="36">IF(T21&lt;0,0,T21)</f>
        <v>809.56584000000021</v>
      </c>
      <c r="W21" s="113">
        <f>SUM(V21:V21)</f>
        <v>809.56584000000021</v>
      </c>
      <c r="X21" s="113">
        <f>J21+U21-W21</f>
        <v>5968.2441600000002</v>
      </c>
      <c r="Y21" s="196"/>
      <c r="AE21" s="90"/>
    </row>
    <row r="22" spans="1:31" s="71" customFormat="1" ht="69.95" customHeight="1" x14ac:dyDescent="0.2">
      <c r="A22" s="64"/>
      <c r="B22" s="143" t="s">
        <v>277</v>
      </c>
      <c r="C22" s="64" t="s">
        <v>149</v>
      </c>
      <c r="D22" s="185" t="s">
        <v>218</v>
      </c>
      <c r="E22" s="184" t="s">
        <v>217</v>
      </c>
      <c r="F22" s="174">
        <v>15</v>
      </c>
      <c r="G22" s="175">
        <f>H22/F22</f>
        <v>325.64066666666662</v>
      </c>
      <c r="H22" s="176">
        <v>4884.6099999999997</v>
      </c>
      <c r="I22" s="177">
        <v>0</v>
      </c>
      <c r="J22" s="178">
        <f>SUM(H22:I22)</f>
        <v>4884.6099999999997</v>
      </c>
      <c r="K22" s="179">
        <v>0</v>
      </c>
      <c r="L22" s="179">
        <f>H22+K22</f>
        <v>4884.6099999999997</v>
      </c>
      <c r="M22" s="179">
        <v>4257.91</v>
      </c>
      <c r="N22" s="179">
        <f>L22-M22</f>
        <v>626.69999999999982</v>
      </c>
      <c r="O22" s="180">
        <v>0.16</v>
      </c>
      <c r="P22" s="179">
        <f>N22*O22</f>
        <v>100.27199999999998</v>
      </c>
      <c r="Q22" s="181">
        <v>341.85</v>
      </c>
      <c r="R22" s="179">
        <f>P22+Q22</f>
        <v>442.12200000000001</v>
      </c>
      <c r="S22" s="179">
        <f>VLOOKUP(L22,Credito1,2)</f>
        <v>0</v>
      </c>
      <c r="T22" s="179">
        <f>R22-S22</f>
        <v>442.12200000000001</v>
      </c>
      <c r="U22" s="178">
        <f>-IF(T22&gt;0,0,T22)</f>
        <v>0</v>
      </c>
      <c r="V22" s="178">
        <f>IF(T22&lt;0,0,T22)</f>
        <v>442.12200000000001</v>
      </c>
      <c r="W22" s="178">
        <f>SUM(V22:V22)</f>
        <v>442.12200000000001</v>
      </c>
      <c r="X22" s="178">
        <f>J22+U22-W22</f>
        <v>4442.4879999999994</v>
      </c>
      <c r="Y22" s="196"/>
      <c r="AE22" s="90"/>
    </row>
    <row r="23" spans="1:31" s="71" customFormat="1" ht="28.5" customHeight="1" x14ac:dyDescent="0.25">
      <c r="A23" s="242"/>
      <c r="B23" s="257" t="s">
        <v>96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E23" s="90"/>
    </row>
    <row r="24" spans="1:31" s="71" customFormat="1" ht="25.5" customHeight="1" x14ac:dyDescent="0.25">
      <c r="A24" s="242"/>
      <c r="B24" s="257" t="s">
        <v>68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E24" s="90"/>
    </row>
    <row r="25" spans="1:31" s="71" customFormat="1" ht="23.25" customHeight="1" x14ac:dyDescent="0.2">
      <c r="A25" s="242"/>
      <c r="B25" s="258" t="s">
        <v>375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E25" s="90"/>
    </row>
    <row r="26" spans="1:31" s="71" customFormat="1" ht="27" customHeight="1" x14ac:dyDescent="0.2">
      <c r="A26" s="64"/>
      <c r="B26" s="5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E26" s="90"/>
    </row>
    <row r="27" spans="1:31" s="71" customFormat="1" ht="69.95" customHeight="1" x14ac:dyDescent="0.2">
      <c r="A27" s="64"/>
      <c r="B27" s="143" t="s">
        <v>356</v>
      </c>
      <c r="C27" s="64" t="s">
        <v>149</v>
      </c>
      <c r="D27" s="185" t="s">
        <v>349</v>
      </c>
      <c r="E27" s="184" t="s">
        <v>350</v>
      </c>
      <c r="F27" s="174"/>
      <c r="G27" s="175"/>
      <c r="H27" s="176">
        <v>4120.72</v>
      </c>
      <c r="I27" s="177">
        <v>0</v>
      </c>
      <c r="J27" s="178">
        <f>SUM(H27:I27)</f>
        <v>4120.72</v>
      </c>
      <c r="K27" s="179">
        <v>0</v>
      </c>
      <c r="L27" s="179">
        <f>H27+K27</f>
        <v>4120.72</v>
      </c>
      <c r="M27" s="179">
        <v>2422.81</v>
      </c>
      <c r="N27" s="179">
        <f>L27-M27</f>
        <v>1697.9100000000003</v>
      </c>
      <c r="O27" s="180">
        <v>0.10879999999999999</v>
      </c>
      <c r="P27" s="179">
        <f>N27*O27</f>
        <v>184.73260800000003</v>
      </c>
      <c r="Q27" s="181">
        <v>142.19999999999999</v>
      </c>
      <c r="R27" s="179">
        <f>P27+Q27</f>
        <v>326.93260800000002</v>
      </c>
      <c r="S27" s="179">
        <f>VLOOKUP(L27,Credito1,2)</f>
        <v>0</v>
      </c>
      <c r="T27" s="179">
        <f>R27-S27</f>
        <v>326.93260800000002</v>
      </c>
      <c r="U27" s="178">
        <f>-IF(T27&gt;0,0,T27)</f>
        <v>0</v>
      </c>
      <c r="V27" s="178">
        <f>IF(T27&lt;0,0,T27)</f>
        <v>326.93260800000002</v>
      </c>
      <c r="W27" s="178">
        <f>SUM(V27:V27)</f>
        <v>326.93260800000002</v>
      </c>
      <c r="X27" s="178">
        <f>J27+U27-W27</f>
        <v>3793.7873920000002</v>
      </c>
      <c r="Y27" s="196"/>
      <c r="AE27" s="90"/>
    </row>
    <row r="28" spans="1:31" s="71" customFormat="1" ht="52.5" customHeight="1" x14ac:dyDescent="0.25">
      <c r="A28" s="64"/>
      <c r="B28" s="213" t="s">
        <v>126</v>
      </c>
      <c r="C28" s="213" t="s">
        <v>166</v>
      </c>
      <c r="D28" s="45" t="s">
        <v>172</v>
      </c>
      <c r="E28" s="45" t="s">
        <v>64</v>
      </c>
      <c r="F28" s="45"/>
      <c r="G28" s="45"/>
      <c r="H28" s="209">
        <f>SUM(H29)</f>
        <v>4488.57</v>
      </c>
      <c r="I28" s="209">
        <f>SUM(I29)</f>
        <v>0</v>
      </c>
      <c r="J28" s="209">
        <f>SUM(J29)</f>
        <v>4488.57</v>
      </c>
      <c r="K28" s="45"/>
      <c r="L28" s="45"/>
      <c r="M28" s="45"/>
      <c r="N28" s="45"/>
      <c r="O28" s="45"/>
      <c r="P28" s="45"/>
      <c r="Q28" s="210"/>
      <c r="R28" s="45"/>
      <c r="S28" s="45"/>
      <c r="T28" s="45"/>
      <c r="U28" s="209">
        <f>SUM(U29)</f>
        <v>0</v>
      </c>
      <c r="V28" s="209">
        <f>SUM(V29)</f>
        <v>378.75560000000002</v>
      </c>
      <c r="W28" s="209">
        <f>SUM(W29)</f>
        <v>378.75560000000002</v>
      </c>
      <c r="X28" s="209">
        <f>SUM(X29)</f>
        <v>4109.8143999999993</v>
      </c>
      <c r="Y28" s="211"/>
      <c r="AE28" s="90"/>
    </row>
    <row r="29" spans="1:31" s="71" customFormat="1" ht="69.95" customHeight="1" x14ac:dyDescent="0.2">
      <c r="A29" s="64" t="s">
        <v>109</v>
      </c>
      <c r="B29" s="64" t="s">
        <v>148</v>
      </c>
      <c r="C29" s="64" t="s">
        <v>149</v>
      </c>
      <c r="D29" s="185" t="s">
        <v>121</v>
      </c>
      <c r="E29" s="184" t="s">
        <v>125</v>
      </c>
      <c r="F29" s="174">
        <v>15</v>
      </c>
      <c r="G29" s="175">
        <f t="shared" si="0"/>
        <v>299.238</v>
      </c>
      <c r="H29" s="176">
        <v>4488.57</v>
      </c>
      <c r="I29" s="177">
        <v>0</v>
      </c>
      <c r="J29" s="178">
        <f>SUM(H29:I29)</f>
        <v>4488.57</v>
      </c>
      <c r="K29" s="179">
        <v>0</v>
      </c>
      <c r="L29" s="179">
        <f>H29+K29</f>
        <v>4488.57</v>
      </c>
      <c r="M29" s="179">
        <v>4257.91</v>
      </c>
      <c r="N29" s="179">
        <f>L29-M29</f>
        <v>230.65999999999985</v>
      </c>
      <c r="O29" s="180">
        <v>0.16</v>
      </c>
      <c r="P29" s="179">
        <f>N29*O29</f>
        <v>36.905599999999978</v>
      </c>
      <c r="Q29" s="181">
        <v>341.85</v>
      </c>
      <c r="R29" s="179">
        <f>P29+Q29</f>
        <v>378.75560000000002</v>
      </c>
      <c r="S29" s="179">
        <f>VLOOKUP(L29,Credito1,2)</f>
        <v>0</v>
      </c>
      <c r="T29" s="179">
        <f>R29-S29</f>
        <v>378.75560000000002</v>
      </c>
      <c r="U29" s="178">
        <f>-IF(T29&gt;0,0,T29)</f>
        <v>0</v>
      </c>
      <c r="V29" s="178">
        <f>IF(T29&lt;0,0,T29)</f>
        <v>378.75560000000002</v>
      </c>
      <c r="W29" s="178">
        <f>SUM(V29:V29)</f>
        <v>378.75560000000002</v>
      </c>
      <c r="X29" s="178">
        <f>J29+U29-W29</f>
        <v>4109.8143999999993</v>
      </c>
      <c r="Y29" s="196"/>
      <c r="AE29" s="90"/>
    </row>
    <row r="30" spans="1:31" s="71" customFormat="1" ht="69.95" customHeight="1" x14ac:dyDescent="0.25">
      <c r="A30" s="214"/>
      <c r="B30" s="213" t="s">
        <v>126</v>
      </c>
      <c r="C30" s="213" t="s">
        <v>166</v>
      </c>
      <c r="D30" s="45" t="s">
        <v>176</v>
      </c>
      <c r="E30" s="45" t="s">
        <v>64</v>
      </c>
      <c r="F30" s="45"/>
      <c r="G30" s="45"/>
      <c r="H30" s="209">
        <f>SUM(H31)</f>
        <v>5575.5</v>
      </c>
      <c r="I30" s="209">
        <f>SUM(I31)</f>
        <v>0</v>
      </c>
      <c r="J30" s="209">
        <f>SUM(J31)</f>
        <v>5575.5</v>
      </c>
      <c r="K30" s="45"/>
      <c r="L30" s="45"/>
      <c r="M30" s="45"/>
      <c r="N30" s="45"/>
      <c r="O30" s="45"/>
      <c r="P30" s="45"/>
      <c r="Q30" s="210"/>
      <c r="R30" s="45"/>
      <c r="S30" s="45"/>
      <c r="T30" s="45"/>
      <c r="U30" s="209">
        <f>SUM(U31)</f>
        <v>0</v>
      </c>
      <c r="V30" s="209">
        <f>SUM(V31)</f>
        <v>564.71844799999997</v>
      </c>
      <c r="W30" s="209">
        <f>SUM(W31)</f>
        <v>564.71844799999997</v>
      </c>
      <c r="X30" s="209">
        <f>SUM(X31)</f>
        <v>5010.7815520000004</v>
      </c>
      <c r="Y30" s="211"/>
    </row>
    <row r="31" spans="1:31" s="71" customFormat="1" ht="69.95" customHeight="1" x14ac:dyDescent="0.2">
      <c r="A31" s="214"/>
      <c r="B31" s="64" t="s">
        <v>182</v>
      </c>
      <c r="C31" s="64" t="s">
        <v>149</v>
      </c>
      <c r="D31" s="173" t="s">
        <v>177</v>
      </c>
      <c r="E31" s="184" t="s">
        <v>178</v>
      </c>
      <c r="F31" s="174">
        <v>15</v>
      </c>
      <c r="G31" s="175">
        <f>H31/F31</f>
        <v>371.7</v>
      </c>
      <c r="H31" s="176">
        <v>5575.5</v>
      </c>
      <c r="I31" s="177">
        <v>0</v>
      </c>
      <c r="J31" s="178">
        <f>SUM(H31:I31)</f>
        <v>5575.5</v>
      </c>
      <c r="K31" s="179">
        <v>0</v>
      </c>
      <c r="L31" s="179">
        <f>H31+K31</f>
        <v>5575.5</v>
      </c>
      <c r="M31" s="179">
        <v>4949.5600000000004</v>
      </c>
      <c r="N31" s="179">
        <f>L31-M31</f>
        <v>625.9399999999996</v>
      </c>
      <c r="O31" s="180">
        <v>0.1792</v>
      </c>
      <c r="P31" s="179">
        <f>N31*O31</f>
        <v>112.16844799999993</v>
      </c>
      <c r="Q31" s="181">
        <v>452.55</v>
      </c>
      <c r="R31" s="179">
        <f>P31+Q31</f>
        <v>564.71844799999997</v>
      </c>
      <c r="S31" s="179">
        <f>VLOOKUP(L31,Credito1,2)</f>
        <v>0</v>
      </c>
      <c r="T31" s="179">
        <f>R31-S31</f>
        <v>564.71844799999997</v>
      </c>
      <c r="U31" s="178">
        <f>-IF(T31&gt;0,0,T31)</f>
        <v>0</v>
      </c>
      <c r="V31" s="178">
        <f>IF(T31&lt;0,0,T31)</f>
        <v>564.71844799999997</v>
      </c>
      <c r="W31" s="178">
        <f>SUM(V31:V31)</f>
        <v>564.71844799999997</v>
      </c>
      <c r="X31" s="178">
        <f>J31+U31-W31</f>
        <v>5010.7815520000004</v>
      </c>
      <c r="Y31" s="196"/>
    </row>
    <row r="32" spans="1:31" s="71" customFormat="1" ht="69.95" customHeight="1" x14ac:dyDescent="0.25">
      <c r="A32" s="214"/>
      <c r="B32" s="213" t="s">
        <v>126</v>
      </c>
      <c r="C32" s="213" t="s">
        <v>166</v>
      </c>
      <c r="D32" s="45" t="s">
        <v>219</v>
      </c>
      <c r="E32" s="45" t="s">
        <v>64</v>
      </c>
      <c r="F32" s="45"/>
      <c r="G32" s="45"/>
      <c r="H32" s="209">
        <f>SUM(H33)</f>
        <v>4317.28</v>
      </c>
      <c r="I32" s="209">
        <f>SUM(I33)</f>
        <v>0</v>
      </c>
      <c r="J32" s="209">
        <f>SUM(J33)</f>
        <v>4317.28</v>
      </c>
      <c r="K32" s="45"/>
      <c r="L32" s="45"/>
      <c r="M32" s="45"/>
      <c r="N32" s="45"/>
      <c r="O32" s="45"/>
      <c r="P32" s="45"/>
      <c r="Q32" s="210"/>
      <c r="R32" s="45"/>
      <c r="S32" s="45"/>
      <c r="T32" s="45"/>
      <c r="U32" s="209">
        <f>SUM(U33)</f>
        <v>0</v>
      </c>
      <c r="V32" s="209">
        <f>SUM(V33)</f>
        <v>348.31833599999993</v>
      </c>
      <c r="W32" s="209">
        <f>SUM(W33)</f>
        <v>348.31833599999993</v>
      </c>
      <c r="X32" s="209">
        <f>SUM(X33)</f>
        <v>3968.9616639999999</v>
      </c>
      <c r="Y32" s="211"/>
    </row>
    <row r="33" spans="1:37" s="71" customFormat="1" ht="69.95" customHeight="1" x14ac:dyDescent="0.2">
      <c r="A33" s="214"/>
      <c r="B33" s="143" t="s">
        <v>278</v>
      </c>
      <c r="C33" s="64" t="s">
        <v>149</v>
      </c>
      <c r="D33" s="173" t="s">
        <v>222</v>
      </c>
      <c r="E33" s="184" t="s">
        <v>223</v>
      </c>
      <c r="F33" s="174">
        <v>15</v>
      </c>
      <c r="G33" s="175">
        <f>H33/F33</f>
        <v>287.81866666666667</v>
      </c>
      <c r="H33" s="176">
        <v>4317.28</v>
      </c>
      <c r="I33" s="177">
        <v>0</v>
      </c>
      <c r="J33" s="178">
        <f>SUM(H33:I33)</f>
        <v>4317.28</v>
      </c>
      <c r="K33" s="179">
        <v>0</v>
      </c>
      <c r="L33" s="179">
        <f t="shared" ref="L33" si="37">H33+K33</f>
        <v>4317.28</v>
      </c>
      <c r="M33" s="179">
        <v>2422.81</v>
      </c>
      <c r="N33" s="179">
        <f t="shared" ref="N33" si="38">L33-M33</f>
        <v>1894.4699999999998</v>
      </c>
      <c r="O33" s="180">
        <v>0.10879999999999999</v>
      </c>
      <c r="P33" s="179">
        <f t="shared" ref="P33" si="39">N33*O33</f>
        <v>206.11833599999997</v>
      </c>
      <c r="Q33" s="179">
        <v>142.19999999999999</v>
      </c>
      <c r="R33" s="179">
        <f t="shared" ref="R33" si="40">P33+Q33</f>
        <v>348.31833599999993</v>
      </c>
      <c r="S33" s="179"/>
      <c r="T33" s="179">
        <f t="shared" ref="T33" si="41">R33-S33</f>
        <v>348.31833599999993</v>
      </c>
      <c r="U33" s="178">
        <f t="shared" ref="U33" si="42">-IF(T33&gt;0,0,T33)</f>
        <v>0</v>
      </c>
      <c r="V33" s="178">
        <f>IF(T33&lt;0,0,T33)</f>
        <v>348.31833599999993</v>
      </c>
      <c r="W33" s="178">
        <f>SUM(V33:V33)</f>
        <v>348.31833599999993</v>
      </c>
      <c r="X33" s="178">
        <f>J33+U33-W33</f>
        <v>3968.9616639999999</v>
      </c>
      <c r="Y33" s="196"/>
    </row>
    <row r="34" spans="1:37" s="71" customFormat="1" ht="15" x14ac:dyDescent="0.25">
      <c r="A34" s="214"/>
      <c r="B34" s="214"/>
      <c r="C34" s="214"/>
      <c r="D34" s="214"/>
      <c r="E34" s="214"/>
      <c r="F34" s="214"/>
      <c r="G34" s="214"/>
      <c r="H34" s="215"/>
      <c r="I34" s="215"/>
      <c r="J34" s="215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196"/>
    </row>
    <row r="35" spans="1:37" s="71" customFormat="1" ht="45.75" customHeight="1" x14ac:dyDescent="0.25">
      <c r="A35" s="279" t="s">
        <v>45</v>
      </c>
      <c r="B35" s="279"/>
      <c r="C35" s="279"/>
      <c r="D35" s="279"/>
      <c r="E35" s="279"/>
      <c r="F35" s="279"/>
      <c r="G35" s="279"/>
      <c r="H35" s="217">
        <f>H9+H12+H16+H20+H28+H30+H32+H14</f>
        <v>67130.59</v>
      </c>
      <c r="I35" s="217">
        <f>I9+I12+I16+I20+I28+I30+I32+I14</f>
        <v>0</v>
      </c>
      <c r="J35" s="217">
        <f>J9+J12+J16+J20+J28+J30+J32+J14</f>
        <v>67130.59</v>
      </c>
      <c r="K35" s="218">
        <f t="shared" ref="K35:T35" si="43">SUM(K10:K34)</f>
        <v>0</v>
      </c>
      <c r="L35" s="218">
        <f t="shared" si="43"/>
        <v>67130.590000000011</v>
      </c>
      <c r="M35" s="218">
        <f t="shared" si="43"/>
        <v>57044.08</v>
      </c>
      <c r="N35" s="218">
        <f t="shared" si="43"/>
        <v>10086.51</v>
      </c>
      <c r="O35" s="218">
        <f t="shared" si="43"/>
        <v>2.1623999999999999</v>
      </c>
      <c r="P35" s="218">
        <f t="shared" si="43"/>
        <v>1517.7237680000001</v>
      </c>
      <c r="Q35" s="218">
        <f t="shared" si="43"/>
        <v>5184.8999999999996</v>
      </c>
      <c r="R35" s="218">
        <f t="shared" si="43"/>
        <v>6702.6237680000013</v>
      </c>
      <c r="S35" s="218">
        <f t="shared" si="43"/>
        <v>250.2</v>
      </c>
      <c r="T35" s="218">
        <f t="shared" si="43"/>
        <v>6452.4237680000006</v>
      </c>
      <c r="U35" s="217">
        <f>U9+U12+U16+U20+U28+U30+U32+U14</f>
        <v>0</v>
      </c>
      <c r="V35" s="217">
        <f>V9+V12+V16+V20+V28+V30+V32+V14</f>
        <v>6452.4237680000015</v>
      </c>
      <c r="W35" s="217">
        <f>W9+W12+W16+W20+W28+W30+W32+W14</f>
        <v>6452.4237680000015</v>
      </c>
      <c r="X35" s="217">
        <f>X9+X12+X16+X20+X28+X30+X32+X14</f>
        <v>60678.166232000003</v>
      </c>
      <c r="Y35" s="196"/>
    </row>
    <row r="36" spans="1:37" s="71" customFormat="1" ht="12" x14ac:dyDescent="0.2"/>
    <row r="37" spans="1:37" s="71" customFormat="1" ht="12" x14ac:dyDescent="0.2"/>
    <row r="38" spans="1:37" s="71" customFormat="1" ht="12" x14ac:dyDescent="0.2"/>
    <row r="39" spans="1:37" s="71" customFormat="1" ht="12" x14ac:dyDescent="0.2"/>
    <row r="40" spans="1:37" s="71" customFormat="1" ht="12" x14ac:dyDescent="0.2"/>
    <row r="41" spans="1:37" s="71" customFormat="1" ht="12" x14ac:dyDescent="0.2"/>
    <row r="42" spans="1:37" s="71" customFormat="1" ht="12" x14ac:dyDescent="0.2"/>
    <row r="43" spans="1:37" s="71" customFormat="1" ht="12" x14ac:dyDescent="0.2"/>
    <row r="44" spans="1:37" s="71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71" customFormat="1" x14ac:dyDescent="0.2">
      <c r="D45" s="4" t="s">
        <v>246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248</v>
      </c>
      <c r="W45" s="4"/>
      <c r="X45" s="4"/>
    </row>
    <row r="46" spans="1:37" s="71" customFormat="1" x14ac:dyDescent="0.2">
      <c r="D46" s="51" t="s">
        <v>239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241</v>
      </c>
      <c r="W46" s="4"/>
      <c r="X46" s="4"/>
    </row>
    <row r="47" spans="1:37" s="71" customFormat="1" x14ac:dyDescent="0.2">
      <c r="D47" s="51" t="s">
        <v>100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101</v>
      </c>
      <c r="W47" s="51"/>
      <c r="X47" s="51"/>
      <c r="Y47" s="80"/>
      <c r="Z47" s="80"/>
      <c r="AA47" s="80"/>
      <c r="AB47" s="80"/>
      <c r="AC47" s="80"/>
      <c r="AD47" s="80"/>
      <c r="AE47" s="80"/>
      <c r="AF47" s="80"/>
      <c r="AG47" s="80"/>
      <c r="AJ47" s="80"/>
      <c r="AK47" s="80"/>
    </row>
    <row r="48" spans="1:37" s="71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71" customFormat="1" ht="12" x14ac:dyDescent="0.2"/>
    <row r="50" s="71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3" t="s">
        <v>0</v>
      </c>
      <c r="Y6" s="42"/>
    </row>
    <row r="7" spans="1:25" ht="33.7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7"/>
      <c r="B9" s="147"/>
      <c r="C9" s="147"/>
      <c r="D9" s="146" t="s">
        <v>142</v>
      </c>
      <c r="E9" s="147" t="s">
        <v>64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9"/>
      <c r="U9" s="147"/>
      <c r="V9" s="147"/>
      <c r="W9" s="147"/>
      <c r="X9" s="147"/>
      <c r="Y9" s="219"/>
    </row>
    <row r="10" spans="1:25" s="4" customFormat="1" ht="75" customHeight="1" x14ac:dyDescent="0.2">
      <c r="A10" s="61" t="s">
        <v>103</v>
      </c>
      <c r="B10" s="120" t="s">
        <v>140</v>
      </c>
      <c r="C10" s="120" t="s">
        <v>149</v>
      </c>
      <c r="D10" s="126" t="s">
        <v>124</v>
      </c>
      <c r="E10" s="126" t="s">
        <v>87</v>
      </c>
      <c r="F10" s="138">
        <v>15</v>
      </c>
      <c r="G10" s="139">
        <f>H10/F10</f>
        <v>1008.0306666666667</v>
      </c>
      <c r="H10" s="124">
        <v>15120.46</v>
      </c>
      <c r="I10" s="131">
        <v>0</v>
      </c>
      <c r="J10" s="132">
        <f>SUM(H10:I10)</f>
        <v>15120.46</v>
      </c>
      <c r="K10" s="133">
        <v>0</v>
      </c>
      <c r="L10" s="133">
        <f>H10+K10</f>
        <v>15120.46</v>
      </c>
      <c r="M10" s="133">
        <v>11951.86</v>
      </c>
      <c r="N10" s="133">
        <f>L10-M10</f>
        <v>3168.5999999999985</v>
      </c>
      <c r="O10" s="134">
        <v>0.23519999999999999</v>
      </c>
      <c r="P10" s="133">
        <f>N10*O10</f>
        <v>745.25471999999968</v>
      </c>
      <c r="Q10" s="133">
        <v>1914.75</v>
      </c>
      <c r="R10" s="133">
        <f>P10+Q10</f>
        <v>2660.0047199999999</v>
      </c>
      <c r="S10" s="133">
        <f>VLOOKUP(L10,Credito1,2)</f>
        <v>0</v>
      </c>
      <c r="T10" s="133">
        <f>R10-S10</f>
        <v>2660.0047199999999</v>
      </c>
      <c r="U10" s="132">
        <f>-IF(T10&gt;0,0,T10)</f>
        <v>0</v>
      </c>
      <c r="V10" s="140">
        <f>IF(T10&lt;0,0,T10)</f>
        <v>2660.0047199999999</v>
      </c>
      <c r="W10" s="132">
        <f>SUM(V10:V10)</f>
        <v>2660.0047199999999</v>
      </c>
      <c r="X10" s="132">
        <f>J10+U10-W10</f>
        <v>12460.455279999998</v>
      </c>
      <c r="Y10" s="127"/>
    </row>
    <row r="11" spans="1:25" s="4" customFormat="1" ht="75" customHeight="1" x14ac:dyDescent="0.2">
      <c r="A11" s="61" t="s">
        <v>105</v>
      </c>
      <c r="B11" s="120" t="s">
        <v>129</v>
      </c>
      <c r="C11" s="120" t="s">
        <v>149</v>
      </c>
      <c r="D11" s="126" t="s">
        <v>88</v>
      </c>
      <c r="E11" s="126" t="s">
        <v>93</v>
      </c>
      <c r="F11" s="138">
        <v>15</v>
      </c>
      <c r="G11" s="139">
        <f>H11/F11</f>
        <v>609.85</v>
      </c>
      <c r="H11" s="124">
        <v>9147.75</v>
      </c>
      <c r="I11" s="131">
        <v>0</v>
      </c>
      <c r="J11" s="132">
        <f>H11</f>
        <v>9147.75</v>
      </c>
      <c r="K11" s="133">
        <v>0</v>
      </c>
      <c r="L11" s="133">
        <f>H11+K11</f>
        <v>9147.75</v>
      </c>
      <c r="M11" s="133">
        <v>5925.91</v>
      </c>
      <c r="N11" s="133">
        <f>L11-M11</f>
        <v>3221.84</v>
      </c>
      <c r="O11" s="134">
        <f>VLOOKUP(L11,Tarifa1,3)</f>
        <v>0.21360000000000001</v>
      </c>
      <c r="P11" s="133">
        <f>N11*O11</f>
        <v>688.18502400000011</v>
      </c>
      <c r="Q11" s="133">
        <v>627.6</v>
      </c>
      <c r="R11" s="133">
        <f>P11+Q11</f>
        <v>1315.7850240000002</v>
      </c>
      <c r="S11" s="133">
        <f>VLOOKUP(L11,Credito1,2)</f>
        <v>0</v>
      </c>
      <c r="T11" s="133">
        <f>R11-S11</f>
        <v>1315.7850240000002</v>
      </c>
      <c r="U11" s="132">
        <f>-IF(T11&gt;0,0,T11)</f>
        <v>0</v>
      </c>
      <c r="V11" s="132">
        <f>IF(T11&lt;0,0,T11)</f>
        <v>1315.7850240000002</v>
      </c>
      <c r="W11" s="132">
        <f>SUM(V11:V11)</f>
        <v>1315.7850240000002</v>
      </c>
      <c r="X11" s="132">
        <f>J11+U11-W11+I11</f>
        <v>7831.9649759999993</v>
      </c>
      <c r="Y11" s="127"/>
    </row>
    <row r="12" spans="1:25" s="4" customFormat="1" ht="75" customHeight="1" x14ac:dyDescent="0.2">
      <c r="A12" s="61" t="s">
        <v>106</v>
      </c>
      <c r="B12" s="120" t="s">
        <v>141</v>
      </c>
      <c r="C12" s="120" t="s">
        <v>149</v>
      </c>
      <c r="D12" s="126" t="s">
        <v>119</v>
      </c>
      <c r="E12" s="126" t="s">
        <v>93</v>
      </c>
      <c r="F12" s="138">
        <v>15</v>
      </c>
      <c r="G12" s="139">
        <f>H12/F12</f>
        <v>373.85733333333332</v>
      </c>
      <c r="H12" s="124">
        <v>5607.86</v>
      </c>
      <c r="I12" s="131">
        <v>0</v>
      </c>
      <c r="J12" s="132">
        <f>SUM(H12:I12)</f>
        <v>5607.86</v>
      </c>
      <c r="K12" s="133">
        <v>0</v>
      </c>
      <c r="L12" s="133">
        <f>H12+K12</f>
        <v>5607.86</v>
      </c>
      <c r="M12" s="133">
        <v>4949.5600000000004</v>
      </c>
      <c r="N12" s="133">
        <f>L12-M12</f>
        <v>658.29999999999927</v>
      </c>
      <c r="O12" s="134">
        <v>0.1792</v>
      </c>
      <c r="P12" s="133">
        <f>N12*O12</f>
        <v>117.96735999999987</v>
      </c>
      <c r="Q12" s="133">
        <v>452.55</v>
      </c>
      <c r="R12" s="133">
        <f>P12+Q12</f>
        <v>570.51735999999983</v>
      </c>
      <c r="S12" s="133">
        <v>0</v>
      </c>
      <c r="T12" s="133">
        <f>R12-S12</f>
        <v>570.51735999999983</v>
      </c>
      <c r="U12" s="132">
        <f>-IF(T12&gt;0,0,T12)</f>
        <v>0</v>
      </c>
      <c r="V12" s="132">
        <f>IF(T12&lt;0,0,T12)</f>
        <v>570.51735999999983</v>
      </c>
      <c r="W12" s="132">
        <f>SUM(V12:V12)</f>
        <v>570.51735999999983</v>
      </c>
      <c r="X12" s="132">
        <f>J12+U12-W12</f>
        <v>5037.3426399999998</v>
      </c>
      <c r="Y12" s="127"/>
    </row>
    <row r="13" spans="1:25" s="4" customFormat="1" ht="36" customHeight="1" x14ac:dyDescent="0.2">
      <c r="A13" s="58"/>
      <c r="B13" s="58"/>
      <c r="C13" s="58"/>
      <c r="D13" s="58"/>
      <c r="E13" s="58"/>
      <c r="F13" s="58"/>
      <c r="G13" s="58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54" t="s">
        <v>45</v>
      </c>
      <c r="B14" s="255"/>
      <c r="C14" s="255"/>
      <c r="D14" s="255"/>
      <c r="E14" s="255"/>
      <c r="F14" s="255"/>
      <c r="G14" s="256"/>
      <c r="H14" s="171">
        <f>SUM(H10:H13)</f>
        <v>29876.07</v>
      </c>
      <c r="I14" s="171">
        <f>SUM(I10:I13)</f>
        <v>0</v>
      </c>
      <c r="J14" s="171">
        <f>SUM(J10:J13)</f>
        <v>29876.07</v>
      </c>
      <c r="K14" s="172">
        <f t="shared" ref="K14:T14" si="0">SUM(K10:K13)</f>
        <v>0</v>
      </c>
      <c r="L14" s="172">
        <f t="shared" si="0"/>
        <v>29876.07</v>
      </c>
      <c r="M14" s="172">
        <f t="shared" si="0"/>
        <v>22827.33</v>
      </c>
      <c r="N14" s="172">
        <f t="shared" si="0"/>
        <v>7048.739999999998</v>
      </c>
      <c r="O14" s="172">
        <f t="shared" si="0"/>
        <v>0.628</v>
      </c>
      <c r="P14" s="172">
        <f t="shared" si="0"/>
        <v>1551.4071039999997</v>
      </c>
      <c r="Q14" s="172">
        <f t="shared" si="0"/>
        <v>2994.9</v>
      </c>
      <c r="R14" s="172">
        <f t="shared" si="0"/>
        <v>4546.3071039999995</v>
      </c>
      <c r="S14" s="172">
        <f t="shared" si="0"/>
        <v>0</v>
      </c>
      <c r="T14" s="172">
        <f t="shared" si="0"/>
        <v>4546.3071039999995</v>
      </c>
      <c r="U14" s="171">
        <f>SUM(U10:U13)</f>
        <v>0</v>
      </c>
      <c r="V14" s="171">
        <f>SUM(V10:V13)</f>
        <v>4546.3071039999995</v>
      </c>
      <c r="W14" s="171">
        <f>SUM(W10:W13)</f>
        <v>4546.3071039999995</v>
      </c>
      <c r="X14" s="171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60"/>
    </row>
    <row r="21" spans="4:37" x14ac:dyDescent="0.2">
      <c r="D21" s="4" t="s">
        <v>250</v>
      </c>
      <c r="V21" t="s">
        <v>114</v>
      </c>
    </row>
    <row r="22" spans="4:37" x14ac:dyDescent="0.2">
      <c r="D22" s="80" t="s">
        <v>239</v>
      </c>
      <c r="H22" s="4"/>
      <c r="V22" s="80" t="s">
        <v>251</v>
      </c>
    </row>
    <row r="23" spans="4:37" x14ac:dyDescent="0.2">
      <c r="D23" s="51" t="s">
        <v>249</v>
      </c>
      <c r="E23" s="51"/>
      <c r="F23" s="51"/>
      <c r="G23" s="51"/>
      <c r="H23" s="51"/>
      <c r="I23" s="51"/>
      <c r="V23" s="51" t="s">
        <v>252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10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5" ht="18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ht="15" x14ac:dyDescent="0.2">
      <c r="A3" s="258" t="s">
        <v>375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70"/>
      <c r="J6" s="24" t="s">
        <v>26</v>
      </c>
      <c r="K6" s="25"/>
      <c r="L6" s="271" t="s">
        <v>9</v>
      </c>
      <c r="M6" s="272"/>
      <c r="N6" s="272"/>
      <c r="O6" s="272"/>
      <c r="P6" s="272"/>
      <c r="Q6" s="273"/>
      <c r="R6" s="24" t="s">
        <v>30</v>
      </c>
      <c r="S6" s="24" t="s">
        <v>10</v>
      </c>
      <c r="T6" s="23" t="s">
        <v>54</v>
      </c>
      <c r="U6" s="274" t="s">
        <v>2</v>
      </c>
      <c r="V6" s="275"/>
      <c r="W6" s="23" t="s">
        <v>0</v>
      </c>
      <c r="X6" s="42"/>
    </row>
    <row r="7" spans="1:25" ht="33.75" customHeight="1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6" t="s">
        <v>63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7"/>
    </row>
    <row r="10" spans="1:25" ht="60" customHeight="1" x14ac:dyDescent="0.2">
      <c r="A10" s="61" t="s">
        <v>103</v>
      </c>
      <c r="B10" s="144" t="s">
        <v>279</v>
      </c>
      <c r="C10" s="120" t="s">
        <v>149</v>
      </c>
      <c r="D10" s="126" t="s">
        <v>229</v>
      </c>
      <c r="E10" s="126" t="s">
        <v>90</v>
      </c>
      <c r="F10" s="138">
        <v>15</v>
      </c>
      <c r="G10" s="142">
        <f>H10/F10</f>
        <v>535.76200000000006</v>
      </c>
      <c r="H10" s="124">
        <v>8036.43</v>
      </c>
      <c r="I10" s="132">
        <f t="shared" ref="I10:I18" si="0">SUM(H10:H10)</f>
        <v>8036.43</v>
      </c>
      <c r="J10" s="133">
        <v>0</v>
      </c>
      <c r="K10" s="133">
        <f t="shared" ref="K10:K18" si="1">H10+J10</f>
        <v>8036.43</v>
      </c>
      <c r="L10" s="133">
        <v>5925.91</v>
      </c>
      <c r="M10" s="133">
        <f t="shared" ref="M10:M18" si="2">K10-L10</f>
        <v>2110.5200000000004</v>
      </c>
      <c r="N10" s="134">
        <f t="shared" ref="N10:N18" si="3">VLOOKUP(K10,Tarifa1,3)</f>
        <v>0.21360000000000001</v>
      </c>
      <c r="O10" s="133">
        <f t="shared" ref="O10:O18" si="4">M10*N10</f>
        <v>450.80707200000012</v>
      </c>
      <c r="P10" s="133">
        <v>627.6</v>
      </c>
      <c r="Q10" s="133">
        <f t="shared" ref="Q10:Q18" si="5">O10+P10</f>
        <v>1078.4070720000002</v>
      </c>
      <c r="R10" s="133">
        <f t="shared" ref="R10" si="6">VLOOKUP(K10,Credito1,2)</f>
        <v>0</v>
      </c>
      <c r="S10" s="133">
        <f t="shared" ref="S10:S18" si="7">Q10-R10</f>
        <v>1078.4070720000002</v>
      </c>
      <c r="T10" s="132">
        <f t="shared" ref="T10:T18" si="8">-IF(S10&gt;0,0,S10)</f>
        <v>0</v>
      </c>
      <c r="U10" s="132">
        <f t="shared" ref="U10:U18" si="9">IF(S10&lt;0,0,S10)</f>
        <v>1078.4070720000002</v>
      </c>
      <c r="V10" s="132">
        <f>SUM(U10:U10)</f>
        <v>1078.4070720000002</v>
      </c>
      <c r="W10" s="132">
        <f>I10+T10-V10</f>
        <v>6958.0229280000003</v>
      </c>
      <c r="X10" s="41"/>
    </row>
    <row r="11" spans="1:25" ht="60" customHeight="1" x14ac:dyDescent="0.2">
      <c r="A11" s="61" t="s">
        <v>104</v>
      </c>
      <c r="B11" s="144" t="s">
        <v>280</v>
      </c>
      <c r="C11" s="120" t="s">
        <v>149</v>
      </c>
      <c r="D11" s="126" t="s">
        <v>224</v>
      </c>
      <c r="E11" s="126" t="s">
        <v>90</v>
      </c>
      <c r="F11" s="138">
        <v>15</v>
      </c>
      <c r="G11" s="142">
        <f t="shared" ref="G11:G18" si="10">H11/F11</f>
        <v>535.76200000000006</v>
      </c>
      <c r="H11" s="124">
        <v>8036.43</v>
      </c>
      <c r="I11" s="132">
        <f t="shared" si="0"/>
        <v>8036.43</v>
      </c>
      <c r="J11" s="133">
        <v>0</v>
      </c>
      <c r="K11" s="133">
        <f t="shared" si="1"/>
        <v>8036.43</v>
      </c>
      <c r="L11" s="133">
        <v>5925.91</v>
      </c>
      <c r="M11" s="133">
        <f t="shared" si="2"/>
        <v>2110.5200000000004</v>
      </c>
      <c r="N11" s="134">
        <f t="shared" si="3"/>
        <v>0.21360000000000001</v>
      </c>
      <c r="O11" s="133">
        <f t="shared" si="4"/>
        <v>450.80707200000012</v>
      </c>
      <c r="P11" s="133">
        <v>627.6</v>
      </c>
      <c r="Q11" s="133">
        <f t="shared" si="5"/>
        <v>1078.4070720000002</v>
      </c>
      <c r="R11" s="133">
        <f t="shared" ref="R11:R18" si="11">VLOOKUP(K11,Credito1,2)</f>
        <v>0</v>
      </c>
      <c r="S11" s="133">
        <f t="shared" si="7"/>
        <v>1078.4070720000002</v>
      </c>
      <c r="T11" s="132">
        <f t="shared" si="8"/>
        <v>0</v>
      </c>
      <c r="U11" s="132">
        <f t="shared" si="9"/>
        <v>1078.4070720000002</v>
      </c>
      <c r="V11" s="132">
        <f>SUM(U11:U11)</f>
        <v>1078.4070720000002</v>
      </c>
      <c r="W11" s="132">
        <f>I11+T11-V11</f>
        <v>6958.0229280000003</v>
      </c>
      <c r="X11" s="41"/>
    </row>
    <row r="12" spans="1:25" ht="60" customHeight="1" x14ac:dyDescent="0.2">
      <c r="A12" s="61" t="s">
        <v>105</v>
      </c>
      <c r="B12" s="144" t="s">
        <v>281</v>
      </c>
      <c r="C12" s="120" t="s">
        <v>149</v>
      </c>
      <c r="D12" s="126" t="s">
        <v>228</v>
      </c>
      <c r="E12" s="126" t="s">
        <v>90</v>
      </c>
      <c r="F12" s="138">
        <v>15</v>
      </c>
      <c r="G12" s="142">
        <f t="shared" si="10"/>
        <v>535.76200000000006</v>
      </c>
      <c r="H12" s="124">
        <v>8036.43</v>
      </c>
      <c r="I12" s="132">
        <f t="shared" si="0"/>
        <v>8036.43</v>
      </c>
      <c r="J12" s="133">
        <v>0</v>
      </c>
      <c r="K12" s="133">
        <f t="shared" si="1"/>
        <v>8036.43</v>
      </c>
      <c r="L12" s="133">
        <v>5925.91</v>
      </c>
      <c r="M12" s="133">
        <f t="shared" si="2"/>
        <v>2110.5200000000004</v>
      </c>
      <c r="N12" s="134">
        <f t="shared" si="3"/>
        <v>0.21360000000000001</v>
      </c>
      <c r="O12" s="133">
        <f t="shared" si="4"/>
        <v>450.80707200000012</v>
      </c>
      <c r="P12" s="133">
        <v>627.6</v>
      </c>
      <c r="Q12" s="133">
        <f t="shared" si="5"/>
        <v>1078.4070720000002</v>
      </c>
      <c r="R12" s="133">
        <f t="shared" si="11"/>
        <v>0</v>
      </c>
      <c r="S12" s="133">
        <f t="shared" si="7"/>
        <v>1078.4070720000002</v>
      </c>
      <c r="T12" s="132">
        <f t="shared" si="8"/>
        <v>0</v>
      </c>
      <c r="U12" s="132">
        <f t="shared" si="9"/>
        <v>1078.4070720000002</v>
      </c>
      <c r="V12" s="132">
        <f>SUM(U12:U12)</f>
        <v>1078.4070720000002</v>
      </c>
      <c r="W12" s="132">
        <f>I12+T12-V12</f>
        <v>6958.0229280000003</v>
      </c>
      <c r="X12" s="41"/>
    </row>
    <row r="13" spans="1:25" ht="60" customHeight="1" x14ac:dyDescent="0.2">
      <c r="A13" s="61" t="s">
        <v>106</v>
      </c>
      <c r="B13" s="144" t="s">
        <v>282</v>
      </c>
      <c r="C13" s="120" t="s">
        <v>149</v>
      </c>
      <c r="D13" s="126" t="s">
        <v>225</v>
      </c>
      <c r="E13" s="126" t="s">
        <v>90</v>
      </c>
      <c r="F13" s="138">
        <v>15</v>
      </c>
      <c r="G13" s="142">
        <f t="shared" si="10"/>
        <v>535.76200000000006</v>
      </c>
      <c r="H13" s="124">
        <v>8036.43</v>
      </c>
      <c r="I13" s="132">
        <f t="shared" si="0"/>
        <v>8036.43</v>
      </c>
      <c r="J13" s="133">
        <v>0</v>
      </c>
      <c r="K13" s="133">
        <f t="shared" si="1"/>
        <v>8036.43</v>
      </c>
      <c r="L13" s="133">
        <v>5925.91</v>
      </c>
      <c r="M13" s="133">
        <f t="shared" si="2"/>
        <v>2110.5200000000004</v>
      </c>
      <c r="N13" s="134">
        <f t="shared" si="3"/>
        <v>0.21360000000000001</v>
      </c>
      <c r="O13" s="133">
        <f t="shared" si="4"/>
        <v>450.80707200000012</v>
      </c>
      <c r="P13" s="133">
        <v>627.6</v>
      </c>
      <c r="Q13" s="133">
        <f t="shared" si="5"/>
        <v>1078.4070720000002</v>
      </c>
      <c r="R13" s="133">
        <f t="shared" si="11"/>
        <v>0</v>
      </c>
      <c r="S13" s="133">
        <f t="shared" si="7"/>
        <v>1078.4070720000002</v>
      </c>
      <c r="T13" s="132">
        <f t="shared" si="8"/>
        <v>0</v>
      </c>
      <c r="U13" s="132">
        <f t="shared" si="9"/>
        <v>1078.4070720000002</v>
      </c>
      <c r="V13" s="132">
        <f>SUM(U13:U13)</f>
        <v>1078.4070720000002</v>
      </c>
      <c r="W13" s="132">
        <f>I13+T13-V13</f>
        <v>6958.0229280000003</v>
      </c>
      <c r="X13" s="41"/>
    </row>
    <row r="14" spans="1:25" ht="60" customHeight="1" x14ac:dyDescent="0.2">
      <c r="A14" s="61" t="s">
        <v>107</v>
      </c>
      <c r="B14" s="144" t="s">
        <v>303</v>
      </c>
      <c r="C14" s="120" t="s">
        <v>149</v>
      </c>
      <c r="D14" s="126" t="s">
        <v>231</v>
      </c>
      <c r="E14" s="126" t="s">
        <v>90</v>
      </c>
      <c r="F14" s="138">
        <v>15</v>
      </c>
      <c r="G14" s="142">
        <f t="shared" si="10"/>
        <v>535.76200000000006</v>
      </c>
      <c r="H14" s="124">
        <v>8036.43</v>
      </c>
      <c r="I14" s="132">
        <f t="shared" si="0"/>
        <v>8036.43</v>
      </c>
      <c r="J14" s="133">
        <v>0</v>
      </c>
      <c r="K14" s="133">
        <f t="shared" si="1"/>
        <v>8036.43</v>
      </c>
      <c r="L14" s="133">
        <v>5925.91</v>
      </c>
      <c r="M14" s="133">
        <f t="shared" si="2"/>
        <v>2110.5200000000004</v>
      </c>
      <c r="N14" s="134">
        <f t="shared" si="3"/>
        <v>0.21360000000000001</v>
      </c>
      <c r="O14" s="133">
        <f t="shared" si="4"/>
        <v>450.80707200000012</v>
      </c>
      <c r="P14" s="133">
        <v>627.6</v>
      </c>
      <c r="Q14" s="133">
        <f t="shared" si="5"/>
        <v>1078.4070720000002</v>
      </c>
      <c r="R14" s="133">
        <f t="shared" si="11"/>
        <v>0</v>
      </c>
      <c r="S14" s="133">
        <f t="shared" si="7"/>
        <v>1078.4070720000002</v>
      </c>
      <c r="T14" s="132">
        <f t="shared" si="8"/>
        <v>0</v>
      </c>
      <c r="U14" s="132">
        <f t="shared" si="9"/>
        <v>1078.4070720000002</v>
      </c>
      <c r="V14" s="132">
        <f>SUM(U14:U14)</f>
        <v>1078.4070720000002</v>
      </c>
      <c r="W14" s="132">
        <f>I14+T14-V14</f>
        <v>6958.0229280000003</v>
      </c>
      <c r="X14" s="41"/>
    </row>
    <row r="15" spans="1:25" ht="60" customHeight="1" x14ac:dyDescent="0.2">
      <c r="A15" s="61" t="s">
        <v>108</v>
      </c>
      <c r="B15" s="144" t="s">
        <v>283</v>
      </c>
      <c r="C15" s="120" t="s">
        <v>149</v>
      </c>
      <c r="D15" s="126" t="s">
        <v>226</v>
      </c>
      <c r="E15" s="126" t="s">
        <v>90</v>
      </c>
      <c r="F15" s="138">
        <v>15</v>
      </c>
      <c r="G15" s="142">
        <f t="shared" si="10"/>
        <v>535.76200000000006</v>
      </c>
      <c r="H15" s="124">
        <v>8036.43</v>
      </c>
      <c r="I15" s="132">
        <f t="shared" si="0"/>
        <v>8036.43</v>
      </c>
      <c r="J15" s="133">
        <v>0</v>
      </c>
      <c r="K15" s="133">
        <f t="shared" si="1"/>
        <v>8036.43</v>
      </c>
      <c r="L15" s="133">
        <v>5925.91</v>
      </c>
      <c r="M15" s="133">
        <f t="shared" si="2"/>
        <v>2110.5200000000004</v>
      </c>
      <c r="N15" s="134">
        <f t="shared" si="3"/>
        <v>0.21360000000000001</v>
      </c>
      <c r="O15" s="133">
        <f t="shared" si="4"/>
        <v>450.80707200000012</v>
      </c>
      <c r="P15" s="133">
        <v>627.6</v>
      </c>
      <c r="Q15" s="133">
        <f t="shared" si="5"/>
        <v>1078.4070720000002</v>
      </c>
      <c r="R15" s="133">
        <f t="shared" si="11"/>
        <v>0</v>
      </c>
      <c r="S15" s="133">
        <f t="shared" si="7"/>
        <v>1078.4070720000002</v>
      </c>
      <c r="T15" s="132">
        <f t="shared" si="8"/>
        <v>0</v>
      </c>
      <c r="U15" s="132">
        <f t="shared" si="9"/>
        <v>1078.4070720000002</v>
      </c>
      <c r="V15" s="132">
        <f>SUM(U15:U15)</f>
        <v>1078.4070720000002</v>
      </c>
      <c r="W15" s="132">
        <f>I15+T15-V15</f>
        <v>6958.0229280000003</v>
      </c>
      <c r="X15" s="41"/>
    </row>
    <row r="16" spans="1:25" ht="60" customHeight="1" x14ac:dyDescent="0.2">
      <c r="A16" s="61" t="s">
        <v>109</v>
      </c>
      <c r="B16" s="144" t="s">
        <v>284</v>
      </c>
      <c r="C16" s="120" t="s">
        <v>149</v>
      </c>
      <c r="D16" s="126" t="s">
        <v>227</v>
      </c>
      <c r="E16" s="126" t="s">
        <v>90</v>
      </c>
      <c r="F16" s="138">
        <v>15</v>
      </c>
      <c r="G16" s="142">
        <f t="shared" si="10"/>
        <v>535.76200000000006</v>
      </c>
      <c r="H16" s="124">
        <v>8036.43</v>
      </c>
      <c r="I16" s="132">
        <f t="shared" si="0"/>
        <v>8036.43</v>
      </c>
      <c r="J16" s="133">
        <v>0</v>
      </c>
      <c r="K16" s="133">
        <f t="shared" si="1"/>
        <v>8036.43</v>
      </c>
      <c r="L16" s="133">
        <v>5925.91</v>
      </c>
      <c r="M16" s="133">
        <f t="shared" si="2"/>
        <v>2110.5200000000004</v>
      </c>
      <c r="N16" s="134">
        <f t="shared" si="3"/>
        <v>0.21360000000000001</v>
      </c>
      <c r="O16" s="133">
        <f t="shared" si="4"/>
        <v>450.80707200000012</v>
      </c>
      <c r="P16" s="133">
        <v>627.6</v>
      </c>
      <c r="Q16" s="133">
        <f t="shared" si="5"/>
        <v>1078.4070720000002</v>
      </c>
      <c r="R16" s="133">
        <f t="shared" si="11"/>
        <v>0</v>
      </c>
      <c r="S16" s="133">
        <f t="shared" si="7"/>
        <v>1078.4070720000002</v>
      </c>
      <c r="T16" s="132">
        <f t="shared" si="8"/>
        <v>0</v>
      </c>
      <c r="U16" s="132">
        <f t="shared" si="9"/>
        <v>1078.4070720000002</v>
      </c>
      <c r="V16" s="132">
        <f>SUM(U16:U16)</f>
        <v>1078.4070720000002</v>
      </c>
      <c r="W16" s="132">
        <f>I16+T16-V16</f>
        <v>6958.0229280000003</v>
      </c>
      <c r="X16" s="41"/>
    </row>
    <row r="17" spans="1:37" ht="60" customHeight="1" x14ac:dyDescent="0.2">
      <c r="A17" s="61" t="s">
        <v>110</v>
      </c>
      <c r="B17" s="144" t="s">
        <v>285</v>
      </c>
      <c r="C17" s="120" t="s">
        <v>149</v>
      </c>
      <c r="D17" s="126" t="s">
        <v>230</v>
      </c>
      <c r="E17" s="126" t="s">
        <v>90</v>
      </c>
      <c r="F17" s="138">
        <v>15</v>
      </c>
      <c r="G17" s="142">
        <f t="shared" si="10"/>
        <v>535.76200000000006</v>
      </c>
      <c r="H17" s="124">
        <v>8036.43</v>
      </c>
      <c r="I17" s="132">
        <f t="shared" si="0"/>
        <v>8036.43</v>
      </c>
      <c r="J17" s="133">
        <v>0</v>
      </c>
      <c r="K17" s="133">
        <f t="shared" si="1"/>
        <v>8036.43</v>
      </c>
      <c r="L17" s="133">
        <v>5925.91</v>
      </c>
      <c r="M17" s="133">
        <f t="shared" si="2"/>
        <v>2110.5200000000004</v>
      </c>
      <c r="N17" s="134">
        <f t="shared" si="3"/>
        <v>0.21360000000000001</v>
      </c>
      <c r="O17" s="133">
        <f t="shared" si="4"/>
        <v>450.80707200000012</v>
      </c>
      <c r="P17" s="133">
        <v>627.6</v>
      </c>
      <c r="Q17" s="133">
        <f t="shared" si="5"/>
        <v>1078.4070720000002</v>
      </c>
      <c r="R17" s="133">
        <f t="shared" si="11"/>
        <v>0</v>
      </c>
      <c r="S17" s="133">
        <f t="shared" si="7"/>
        <v>1078.4070720000002</v>
      </c>
      <c r="T17" s="132">
        <f t="shared" si="8"/>
        <v>0</v>
      </c>
      <c r="U17" s="132">
        <f t="shared" si="9"/>
        <v>1078.4070720000002</v>
      </c>
      <c r="V17" s="132">
        <f>SUM(U17:U17)</f>
        <v>1078.4070720000002</v>
      </c>
      <c r="W17" s="132">
        <f>I17+T17-V17</f>
        <v>6958.0229280000003</v>
      </c>
      <c r="X17" s="41"/>
    </row>
    <row r="18" spans="1:37" ht="60" customHeight="1" x14ac:dyDescent="0.2">
      <c r="A18" s="61" t="s">
        <v>111</v>
      </c>
      <c r="B18" s="144" t="s">
        <v>286</v>
      </c>
      <c r="C18" s="120" t="s">
        <v>149</v>
      </c>
      <c r="D18" s="126" t="s">
        <v>232</v>
      </c>
      <c r="E18" s="126" t="s">
        <v>90</v>
      </c>
      <c r="F18" s="138">
        <v>15</v>
      </c>
      <c r="G18" s="142">
        <f t="shared" si="10"/>
        <v>535.76200000000006</v>
      </c>
      <c r="H18" s="124">
        <v>8036.43</v>
      </c>
      <c r="I18" s="132">
        <f t="shared" si="0"/>
        <v>8036.43</v>
      </c>
      <c r="J18" s="133">
        <v>0</v>
      </c>
      <c r="K18" s="133">
        <f t="shared" si="1"/>
        <v>8036.43</v>
      </c>
      <c r="L18" s="133">
        <v>5925.91</v>
      </c>
      <c r="M18" s="133">
        <f t="shared" si="2"/>
        <v>2110.5200000000004</v>
      </c>
      <c r="N18" s="134">
        <f t="shared" si="3"/>
        <v>0.21360000000000001</v>
      </c>
      <c r="O18" s="133">
        <f t="shared" si="4"/>
        <v>450.80707200000012</v>
      </c>
      <c r="P18" s="133">
        <v>627.6</v>
      </c>
      <c r="Q18" s="133">
        <f t="shared" si="5"/>
        <v>1078.4070720000002</v>
      </c>
      <c r="R18" s="133">
        <f t="shared" si="11"/>
        <v>0</v>
      </c>
      <c r="S18" s="133">
        <f t="shared" si="7"/>
        <v>1078.4070720000002</v>
      </c>
      <c r="T18" s="132">
        <f t="shared" si="8"/>
        <v>0</v>
      </c>
      <c r="U18" s="132">
        <f t="shared" si="9"/>
        <v>1078.4070720000002</v>
      </c>
      <c r="V18" s="132">
        <f>SUM(U18:U18)</f>
        <v>1078.4070720000002</v>
      </c>
      <c r="W18" s="132">
        <f>I18+T18-V18</f>
        <v>6958.0229280000003</v>
      </c>
      <c r="X18" s="41"/>
    </row>
    <row r="19" spans="1:37" ht="35.1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54" t="s">
        <v>45</v>
      </c>
      <c r="B20" s="255"/>
      <c r="C20" s="255"/>
      <c r="D20" s="255"/>
      <c r="E20" s="255"/>
      <c r="F20" s="255"/>
      <c r="G20" s="256"/>
      <c r="H20" s="39">
        <f>SUM(H10:H19)</f>
        <v>72327.87</v>
      </c>
      <c r="I20" s="39">
        <f>SUM(I10:I19)</f>
        <v>72327.87</v>
      </c>
      <c r="J20" s="40">
        <f t="shared" ref="J20:S20" si="12">SUM(J10:J19)</f>
        <v>0</v>
      </c>
      <c r="K20" s="40">
        <f t="shared" si="12"/>
        <v>72327.87</v>
      </c>
      <c r="L20" s="40">
        <f t="shared" si="12"/>
        <v>53333.19</v>
      </c>
      <c r="M20" s="40">
        <f t="shared" si="12"/>
        <v>18994.680000000004</v>
      </c>
      <c r="N20" s="40">
        <f t="shared" si="12"/>
        <v>1.9224000000000001</v>
      </c>
      <c r="O20" s="40">
        <f t="shared" si="12"/>
        <v>4057.263648000001</v>
      </c>
      <c r="P20" s="40">
        <f t="shared" si="12"/>
        <v>5648.4000000000005</v>
      </c>
      <c r="Q20" s="40">
        <f t="shared" si="12"/>
        <v>9705.6636480000016</v>
      </c>
      <c r="R20" s="40">
        <f t="shared" si="12"/>
        <v>0</v>
      </c>
      <c r="S20" s="40">
        <f t="shared" si="12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35.1" customHeight="1" thickTop="1" x14ac:dyDescent="0.2"/>
    <row r="24" spans="1:37" x14ac:dyDescent="0.2">
      <c r="X24" s="60"/>
    </row>
    <row r="26" spans="1:37" x14ac:dyDescent="0.2">
      <c r="D26" s="4" t="s">
        <v>254</v>
      </c>
    </row>
    <row r="27" spans="1:37" x14ac:dyDescent="0.2">
      <c r="D27" s="80" t="s">
        <v>239</v>
      </c>
      <c r="H27" s="4"/>
    </row>
    <row r="28" spans="1:37" x14ac:dyDescent="0.2">
      <c r="D28" s="51" t="s">
        <v>253</v>
      </c>
      <c r="E28" s="51"/>
      <c r="F28" s="51"/>
      <c r="G28" s="51"/>
      <c r="H28" s="51"/>
      <c r="I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2020-01-28T20:11:36Z</cp:lastPrinted>
  <dcterms:created xsi:type="dcterms:W3CDTF">2000-05-05T04:08:27Z</dcterms:created>
  <dcterms:modified xsi:type="dcterms:W3CDTF">2023-09-14T19:30:53Z</dcterms:modified>
</cp:coreProperties>
</file>