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SINDICO!$1:$25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33" l="1"/>
  <c r="N16" i="133" s="1"/>
  <c r="L16" i="133"/>
  <c r="M15" i="133"/>
  <c r="N15" i="133" s="1"/>
  <c r="L15" i="133"/>
  <c r="M14" i="133"/>
  <c r="N14" i="133" s="1"/>
  <c r="L14" i="133"/>
  <c r="M13" i="133"/>
  <c r="N13" i="133" s="1"/>
  <c r="L13" i="133"/>
  <c r="M12" i="133"/>
  <c r="N12" i="133" s="1"/>
  <c r="L12" i="133"/>
  <c r="X15" i="121"/>
  <c r="Z15" i="121" s="1"/>
  <c r="M15" i="121"/>
  <c r="N15" i="121" s="1"/>
  <c r="L15" i="121"/>
  <c r="I21" i="135"/>
  <c r="J21" i="135" s="1"/>
  <c r="H21" i="135"/>
  <c r="M10" i="132"/>
  <c r="N10" i="132" s="1"/>
  <c r="L10" i="132"/>
  <c r="M10" i="118"/>
  <c r="N10" i="118" s="1"/>
  <c r="U10" i="118" s="1"/>
  <c r="L10" i="118"/>
  <c r="M10" i="119"/>
  <c r="N10" i="119" s="1"/>
  <c r="L10" i="119"/>
  <c r="L11" i="136"/>
  <c r="M11" i="136" s="1"/>
  <c r="K11" i="136"/>
  <c r="M17" i="123"/>
  <c r="N17" i="123" s="1"/>
  <c r="L17" i="123"/>
  <c r="U16" i="133" l="1"/>
  <c r="S16" i="133"/>
  <c r="O16" i="133"/>
  <c r="P16" i="133" s="1"/>
  <c r="Q16" i="133"/>
  <c r="S15" i="133"/>
  <c r="U15" i="133"/>
  <c r="Q15" i="133"/>
  <c r="O15" i="133"/>
  <c r="P15" i="133" s="1"/>
  <c r="U14" i="133"/>
  <c r="S14" i="133"/>
  <c r="O14" i="133"/>
  <c r="P14" i="133" s="1"/>
  <c r="Q14" i="133"/>
  <c r="Q13" i="133"/>
  <c r="S13" i="133"/>
  <c r="O13" i="133"/>
  <c r="P13" i="133" s="1"/>
  <c r="U13" i="133"/>
  <c r="U12" i="133"/>
  <c r="Q12" i="133"/>
  <c r="S12" i="133"/>
  <c r="O12" i="133"/>
  <c r="P12" i="133" s="1"/>
  <c r="U15" i="121"/>
  <c r="Q15" i="121"/>
  <c r="S15" i="121"/>
  <c r="O15" i="121"/>
  <c r="P15" i="121" s="1"/>
  <c r="Q21" i="135"/>
  <c r="M21" i="135"/>
  <c r="L21" i="135"/>
  <c r="N21" i="135" s="1"/>
  <c r="O21" i="135"/>
  <c r="K21" i="135"/>
  <c r="Q10" i="132"/>
  <c r="U10" i="132"/>
  <c r="S10" i="132"/>
  <c r="O10" i="132"/>
  <c r="P10" i="132" s="1"/>
  <c r="O10" i="118"/>
  <c r="P10" i="118" s="1"/>
  <c r="S10" i="118"/>
  <c r="Q10" i="118"/>
  <c r="U10" i="119"/>
  <c r="S10" i="119"/>
  <c r="O10" i="119"/>
  <c r="P10" i="119" s="1"/>
  <c r="Q10" i="119"/>
  <c r="T11" i="136"/>
  <c r="P11" i="136"/>
  <c r="R11" i="136"/>
  <c r="N11" i="136"/>
  <c r="O11" i="136" s="1"/>
  <c r="Q11" i="136" s="1"/>
  <c r="S11" i="136" s="1"/>
  <c r="U11" i="136" s="1"/>
  <c r="U17" i="123"/>
  <c r="Q17" i="123"/>
  <c r="S17" i="123"/>
  <c r="O17" i="123"/>
  <c r="P17" i="123" s="1"/>
  <c r="R17" i="123" s="1"/>
  <c r="R10" i="119" l="1"/>
  <c r="T10" i="119" s="1"/>
  <c r="V10" i="119" s="1"/>
  <c r="W10" i="119" s="1"/>
  <c r="R15" i="133"/>
  <c r="T15" i="133" s="1"/>
  <c r="V15" i="133" s="1"/>
  <c r="X15" i="133" s="1"/>
  <c r="Z15" i="133" s="1"/>
  <c r="R16" i="133"/>
  <c r="T16" i="133" s="1"/>
  <c r="V16" i="133" s="1"/>
  <c r="X16" i="133" s="1"/>
  <c r="Z16" i="133" s="1"/>
  <c r="R14" i="133"/>
  <c r="R15" i="121"/>
  <c r="T15" i="121" s="1"/>
  <c r="V15" i="121" s="1"/>
  <c r="W15" i="121" s="1"/>
  <c r="AA15" i="121" s="1"/>
  <c r="W16" i="133"/>
  <c r="R13" i="133"/>
  <c r="T13" i="133" s="1"/>
  <c r="V13" i="133" s="1"/>
  <c r="T14" i="133"/>
  <c r="V14" i="133" s="1"/>
  <c r="R12" i="133"/>
  <c r="T12" i="133" s="1"/>
  <c r="V12" i="133" s="1"/>
  <c r="X12" i="133" s="1"/>
  <c r="Z12" i="133" s="1"/>
  <c r="P21" i="135"/>
  <c r="R21" i="135" s="1"/>
  <c r="R10" i="132"/>
  <c r="T10" i="132" s="1"/>
  <c r="V10" i="132" s="1"/>
  <c r="X10" i="132" s="1"/>
  <c r="Z10" i="132" s="1"/>
  <c r="R10" i="118"/>
  <c r="T10" i="118" s="1"/>
  <c r="V10" i="118" s="1"/>
  <c r="W11" i="136"/>
  <c r="Y11" i="136" s="1"/>
  <c r="V11" i="136"/>
  <c r="T17" i="123"/>
  <c r="V17" i="123" s="1"/>
  <c r="X10" i="119" l="1"/>
  <c r="Z10" i="119" s="1"/>
  <c r="AA10" i="119" s="1"/>
  <c r="Z11" i="136"/>
  <c r="W15" i="133"/>
  <c r="AA15" i="133" s="1"/>
  <c r="AA16" i="133"/>
  <c r="W14" i="133"/>
  <c r="X14" i="133"/>
  <c r="Z14" i="133" s="1"/>
  <c r="X13" i="133"/>
  <c r="Z13" i="133" s="1"/>
  <c r="W13" i="133"/>
  <c r="W12" i="133"/>
  <c r="AA12" i="133" s="1"/>
  <c r="T21" i="135"/>
  <c r="V21" i="135" s="1"/>
  <c r="S21" i="135"/>
  <c r="W10" i="132"/>
  <c r="AA10" i="132" s="1"/>
  <c r="X10" i="118"/>
  <c r="Z10" i="118" s="1"/>
  <c r="W10" i="118"/>
  <c r="X17" i="123"/>
  <c r="Z17" i="123" s="1"/>
  <c r="W17" i="123"/>
  <c r="AA13" i="133" l="1"/>
  <c r="AA14" i="133"/>
  <c r="AA10" i="118"/>
  <c r="W21" i="135"/>
  <c r="AA17" i="123"/>
  <c r="M14" i="123"/>
  <c r="N14" i="123" s="1"/>
  <c r="L14" i="123"/>
  <c r="M33" i="123"/>
  <c r="N33" i="123" s="1"/>
  <c r="L33" i="123"/>
  <c r="M12" i="134"/>
  <c r="N12" i="134" s="1"/>
  <c r="L12" i="134"/>
  <c r="M9" i="120"/>
  <c r="N9" i="120" s="1"/>
  <c r="L9" i="120"/>
  <c r="M10" i="134"/>
  <c r="N10" i="134" s="1"/>
  <c r="L10" i="134"/>
  <c r="M17" i="119"/>
  <c r="N17" i="119" s="1"/>
  <c r="L17" i="119"/>
  <c r="M15" i="119"/>
  <c r="N15" i="119" s="1"/>
  <c r="L15" i="119"/>
  <c r="X14" i="121"/>
  <c r="X20" i="119"/>
  <c r="U14" i="123" l="1"/>
  <c r="Q14" i="123"/>
  <c r="S14" i="123"/>
  <c r="O14" i="123"/>
  <c r="P14" i="123" s="1"/>
  <c r="S33" i="123"/>
  <c r="O33" i="123"/>
  <c r="P33" i="123" s="1"/>
  <c r="U33" i="123"/>
  <c r="Q33" i="123"/>
  <c r="U12" i="134"/>
  <c r="Q12" i="134"/>
  <c r="S12" i="134"/>
  <c r="O12" i="134"/>
  <c r="P12" i="134" s="1"/>
  <c r="U9" i="120"/>
  <c r="Q9" i="120"/>
  <c r="S9" i="120"/>
  <c r="O9" i="120"/>
  <c r="P9" i="120" s="1"/>
  <c r="R9" i="120" s="1"/>
  <c r="U10" i="134"/>
  <c r="Q10" i="134"/>
  <c r="P10" i="134"/>
  <c r="R10" i="134" s="1"/>
  <c r="S10" i="134"/>
  <c r="O10" i="134"/>
  <c r="U17" i="119"/>
  <c r="Q17" i="119"/>
  <c r="S17" i="119"/>
  <c r="O17" i="119"/>
  <c r="P17" i="119" s="1"/>
  <c r="U15" i="119"/>
  <c r="Q15" i="119"/>
  <c r="P15" i="119"/>
  <c r="R15" i="119" s="1"/>
  <c r="T15" i="119" s="1"/>
  <c r="V15" i="119" s="1"/>
  <c r="S15" i="119"/>
  <c r="O15" i="119"/>
  <c r="M29" i="120"/>
  <c r="N29" i="120" s="1"/>
  <c r="L29" i="120"/>
  <c r="Y13" i="134"/>
  <c r="K13" i="134"/>
  <c r="J13" i="134"/>
  <c r="M14" i="134"/>
  <c r="N14" i="134" s="1"/>
  <c r="L14" i="134"/>
  <c r="L13" i="134" s="1"/>
  <c r="I14" i="134"/>
  <c r="R14" i="123" l="1"/>
  <c r="T14" i="123" s="1"/>
  <c r="V14" i="123" s="1"/>
  <c r="X14" i="123" s="1"/>
  <c r="Z14" i="123" s="1"/>
  <c r="R33" i="123"/>
  <c r="T33" i="123" s="1"/>
  <c r="V33" i="123" s="1"/>
  <c r="X33" i="123" s="1"/>
  <c r="Z33" i="123" s="1"/>
  <c r="T9" i="120"/>
  <c r="V9" i="120" s="1"/>
  <c r="R12" i="134"/>
  <c r="T12" i="134" s="1"/>
  <c r="V12" i="134" s="1"/>
  <c r="X12" i="134" s="1"/>
  <c r="Z12" i="134" s="1"/>
  <c r="X9" i="120"/>
  <c r="Z9" i="120" s="1"/>
  <c r="W9" i="120"/>
  <c r="T10" i="134"/>
  <c r="V10" i="134" s="1"/>
  <c r="R17" i="119"/>
  <c r="T17" i="119" s="1"/>
  <c r="V17" i="119" s="1"/>
  <c r="X17" i="119" s="1"/>
  <c r="Z17" i="119" s="1"/>
  <c r="X15" i="119"/>
  <c r="Z15" i="119" s="1"/>
  <c r="W15" i="119"/>
  <c r="S14" i="134"/>
  <c r="O14" i="134"/>
  <c r="P14" i="134" s="1"/>
  <c r="R14" i="134" s="1"/>
  <c r="T14" i="134" s="1"/>
  <c r="Q14" i="134"/>
  <c r="U14" i="134"/>
  <c r="O29" i="120"/>
  <c r="P29" i="120" s="1"/>
  <c r="U29" i="120"/>
  <c r="S29" i="120"/>
  <c r="Q29" i="120"/>
  <c r="M15" i="123"/>
  <c r="N15" i="123" s="1"/>
  <c r="L15" i="123"/>
  <c r="M26" i="120"/>
  <c r="N26" i="120" s="1"/>
  <c r="L26" i="120"/>
  <c r="M13" i="120"/>
  <c r="N13" i="120" s="1"/>
  <c r="L13" i="120"/>
  <c r="M11" i="120"/>
  <c r="N11" i="120" s="1"/>
  <c r="L11" i="120"/>
  <c r="W33" i="123" l="1"/>
  <c r="AA33" i="123" s="1"/>
  <c r="W14" i="123"/>
  <c r="AA14" i="123" s="1"/>
  <c r="W12" i="134"/>
  <c r="AA12" i="134" s="1"/>
  <c r="AA9" i="120"/>
  <c r="X10" i="134"/>
  <c r="Z10" i="134" s="1"/>
  <c r="W10" i="134"/>
  <c r="W17" i="119"/>
  <c r="AA17" i="119" s="1"/>
  <c r="AA15" i="119"/>
  <c r="S11" i="120"/>
  <c r="Q11" i="120"/>
  <c r="O11" i="120"/>
  <c r="P11" i="120" s="1"/>
  <c r="U11" i="120"/>
  <c r="U26" i="120"/>
  <c r="O26" i="120"/>
  <c r="P26" i="120" s="1"/>
  <c r="S26" i="120"/>
  <c r="Q26" i="120"/>
  <c r="V14" i="134"/>
  <c r="U13" i="120"/>
  <c r="S13" i="120"/>
  <c r="Q13" i="120"/>
  <c r="O13" i="120"/>
  <c r="P13" i="120" s="1"/>
  <c r="R13" i="120" s="1"/>
  <c r="O15" i="123"/>
  <c r="P15" i="123" s="1"/>
  <c r="S15" i="123"/>
  <c r="Q15" i="123"/>
  <c r="U15" i="123"/>
  <c r="R29" i="120"/>
  <c r="T29" i="120" s="1"/>
  <c r="V29" i="120" s="1"/>
  <c r="R11" i="120" l="1"/>
  <c r="T11" i="120" s="1"/>
  <c r="V11" i="120"/>
  <c r="W11" i="120" s="1"/>
  <c r="AA10" i="134"/>
  <c r="W29" i="120"/>
  <c r="X29" i="120"/>
  <c r="Z29" i="120" s="1"/>
  <c r="R15" i="123"/>
  <c r="T15" i="123" s="1"/>
  <c r="V15" i="123" s="1"/>
  <c r="R26" i="120"/>
  <c r="T26" i="120" s="1"/>
  <c r="V26" i="120" s="1"/>
  <c r="T13" i="120"/>
  <c r="V13" i="120" s="1"/>
  <c r="W14" i="134"/>
  <c r="X14" i="134"/>
  <c r="W13" i="134"/>
  <c r="X11" i="120" l="1"/>
  <c r="Z11" i="120" s="1"/>
  <c r="AA11" i="120" s="1"/>
  <c r="AA29" i="120"/>
  <c r="W13" i="120"/>
  <c r="X13" i="120"/>
  <c r="Z13" i="120" s="1"/>
  <c r="AA13" i="120" s="1"/>
  <c r="X15" i="123"/>
  <c r="Z15" i="123" s="1"/>
  <c r="W15" i="123"/>
  <c r="Z14" i="134"/>
  <c r="X13" i="134"/>
  <c r="X26" i="120"/>
  <c r="Z26" i="120" s="1"/>
  <c r="W26" i="120"/>
  <c r="AA26" i="120" l="1"/>
  <c r="AA15" i="123"/>
  <c r="Z13" i="134"/>
  <c r="AA14" i="134"/>
  <c r="AA13" i="134" s="1"/>
  <c r="M12" i="121"/>
  <c r="N12" i="121" s="1"/>
  <c r="L12" i="121"/>
  <c r="M17" i="121"/>
  <c r="N17" i="121" s="1"/>
  <c r="L17" i="121"/>
  <c r="Y20" i="123"/>
  <c r="K20" i="123"/>
  <c r="J20" i="123"/>
  <c r="M21" i="123"/>
  <c r="N21" i="123" s="1"/>
  <c r="L21" i="123"/>
  <c r="L20" i="123" s="1"/>
  <c r="Q21" i="123" l="1"/>
  <c r="S21" i="123"/>
  <c r="U21" i="123"/>
  <c r="O21" i="123"/>
  <c r="P21" i="123" s="1"/>
  <c r="O12" i="121"/>
  <c r="P12" i="121" s="1"/>
  <c r="S12" i="121"/>
  <c r="U12" i="121"/>
  <c r="Q12" i="121"/>
  <c r="O17" i="121"/>
  <c r="P17" i="121" s="1"/>
  <c r="S17" i="121"/>
  <c r="Q17" i="121"/>
  <c r="U17" i="121"/>
  <c r="M10" i="133"/>
  <c r="N10" i="133" s="1"/>
  <c r="L10" i="133"/>
  <c r="Y19" i="133"/>
  <c r="K19" i="133"/>
  <c r="J19" i="133"/>
  <c r="I22" i="135"/>
  <c r="J22" i="135" s="1"/>
  <c r="H22" i="135"/>
  <c r="M28" i="120"/>
  <c r="N28" i="120" s="1"/>
  <c r="L28" i="120"/>
  <c r="M13" i="132"/>
  <c r="N13" i="132" s="1"/>
  <c r="L13" i="132"/>
  <c r="R21" i="123" l="1"/>
  <c r="T21" i="123" s="1"/>
  <c r="V21" i="123" s="1"/>
  <c r="X21" i="123" s="1"/>
  <c r="S28" i="120"/>
  <c r="Q28" i="120"/>
  <c r="U28" i="120"/>
  <c r="O28" i="120"/>
  <c r="P28" i="120" s="1"/>
  <c r="R28" i="120" s="1"/>
  <c r="T28" i="120" s="1"/>
  <c r="O13" i="132"/>
  <c r="P13" i="132" s="1"/>
  <c r="U13" i="132"/>
  <c r="Q13" i="132"/>
  <c r="S13" i="132"/>
  <c r="M22" i="135"/>
  <c r="O22" i="135"/>
  <c r="K22" i="135"/>
  <c r="L22" i="135" s="1"/>
  <c r="N22" i="135" s="1"/>
  <c r="P22" i="135" s="1"/>
  <c r="R22" i="135" s="1"/>
  <c r="Q22" i="135"/>
  <c r="O10" i="133"/>
  <c r="P10" i="133" s="1"/>
  <c r="U10" i="133"/>
  <c r="S10" i="133"/>
  <c r="Q10" i="133"/>
  <c r="R17" i="121"/>
  <c r="T17" i="121" s="1"/>
  <c r="V17" i="121" s="1"/>
  <c r="R12" i="121"/>
  <c r="T12" i="121" s="1"/>
  <c r="V12" i="121" s="1"/>
  <c r="R10" i="133" l="1"/>
  <c r="T10" i="133" s="1"/>
  <c r="V10" i="133" s="1"/>
  <c r="W21" i="123"/>
  <c r="W20" i="123" s="1"/>
  <c r="S22" i="135"/>
  <c r="T22" i="135"/>
  <c r="V22" i="135" s="1"/>
  <c r="W17" i="121"/>
  <c r="X17" i="121"/>
  <c r="Z17" i="121" s="1"/>
  <c r="R13" i="132"/>
  <c r="T13" i="132" s="1"/>
  <c r="V13" i="132" s="1"/>
  <c r="X12" i="121"/>
  <c r="Z12" i="121" s="1"/>
  <c r="W12" i="121"/>
  <c r="V28" i="120"/>
  <c r="Z21" i="123"/>
  <c r="Z20" i="123" s="1"/>
  <c r="X20" i="123"/>
  <c r="AA12" i="121" l="1"/>
  <c r="AA17" i="121"/>
  <c r="W28" i="120"/>
  <c r="X28" i="120"/>
  <c r="Z28" i="120" s="1"/>
  <c r="AA28" i="120" s="1"/>
  <c r="X10" i="133"/>
  <c r="Z10" i="133" s="1"/>
  <c r="W10" i="133"/>
  <c r="W13" i="132"/>
  <c r="X13" i="132"/>
  <c r="Z13" i="132" s="1"/>
  <c r="AA21" i="123"/>
  <c r="AA20" i="123" s="1"/>
  <c r="W22" i="135"/>
  <c r="AA13" i="132" l="1"/>
  <c r="AA10" i="133"/>
  <c r="M37" i="123"/>
  <c r="N37" i="123" s="1"/>
  <c r="L37" i="123"/>
  <c r="M16" i="121"/>
  <c r="N16" i="121" s="1"/>
  <c r="L16" i="121"/>
  <c r="S37" i="123" l="1"/>
  <c r="Q37" i="123"/>
  <c r="U37" i="123"/>
  <c r="O37" i="123"/>
  <c r="P37" i="123" s="1"/>
  <c r="R37" i="123" s="1"/>
  <c r="T37" i="123" s="1"/>
  <c r="O16" i="121"/>
  <c r="P16" i="121" s="1"/>
  <c r="U16" i="121"/>
  <c r="Q16" i="121"/>
  <c r="S16" i="121"/>
  <c r="V37" i="123" l="1"/>
  <c r="X37" i="123"/>
  <c r="Z37" i="123" s="1"/>
  <c r="W37" i="123"/>
  <c r="R16" i="121"/>
  <c r="T16" i="121" s="1"/>
  <c r="V16" i="121" s="1"/>
  <c r="AA37" i="123" l="1"/>
  <c r="X16" i="121"/>
  <c r="Z16" i="121" s="1"/>
  <c r="W16" i="121"/>
  <c r="M10" i="123"/>
  <c r="N10" i="123" s="1"/>
  <c r="L10" i="123"/>
  <c r="M35" i="123"/>
  <c r="N35" i="123" s="1"/>
  <c r="L35" i="123"/>
  <c r="J34" i="123"/>
  <c r="U10" i="123" l="1"/>
  <c r="Q10" i="123"/>
  <c r="S10" i="123"/>
  <c r="O10" i="123"/>
  <c r="P10" i="123" s="1"/>
  <c r="R10" i="123" s="1"/>
  <c r="T10" i="123" s="1"/>
  <c r="V10" i="123" s="1"/>
  <c r="AA16" i="121"/>
  <c r="U35" i="123"/>
  <c r="S35" i="123"/>
  <c r="O35" i="123"/>
  <c r="P35" i="123" s="1"/>
  <c r="R35" i="123" s="1"/>
  <c r="T35" i="123" s="1"/>
  <c r="V35" i="123" s="1"/>
  <c r="Q35" i="123"/>
  <c r="K34" i="123"/>
  <c r="L34" i="123"/>
  <c r="W10" i="123" l="1"/>
  <c r="X10" i="123"/>
  <c r="Z10" i="123" s="1"/>
  <c r="W35" i="123"/>
  <c r="X35" i="123"/>
  <c r="X34" i="123" l="1"/>
  <c r="AA10" i="123"/>
  <c r="W34" i="123"/>
  <c r="Y34" i="123"/>
  <c r="Z35" i="123" l="1"/>
  <c r="AA35" i="123" s="1"/>
  <c r="AA34" i="123" s="1"/>
  <c r="Z34" i="123" l="1"/>
  <c r="I20" i="135"/>
  <c r="J20" i="135" s="1"/>
  <c r="H20" i="135"/>
  <c r="I13" i="135"/>
  <c r="J13" i="135" s="1"/>
  <c r="H13" i="135"/>
  <c r="I11" i="135"/>
  <c r="J11" i="135" s="1"/>
  <c r="H11" i="135"/>
  <c r="M30" i="120"/>
  <c r="N30" i="120" s="1"/>
  <c r="L30" i="120"/>
  <c r="O13" i="135" l="1"/>
  <c r="K13" i="135"/>
  <c r="L13" i="135" s="1"/>
  <c r="Q13" i="135"/>
  <c r="M13" i="135"/>
  <c r="M20" i="135"/>
  <c r="O20" i="135"/>
  <c r="Q20" i="135"/>
  <c r="K20" i="135"/>
  <c r="L20" i="135" s="1"/>
  <c r="U30" i="120"/>
  <c r="S30" i="120"/>
  <c r="O30" i="120"/>
  <c r="P30" i="120" s="1"/>
  <c r="Q30" i="120"/>
  <c r="Q11" i="135"/>
  <c r="K11" i="135"/>
  <c r="L11" i="135" s="1"/>
  <c r="M11" i="135"/>
  <c r="O11" i="135"/>
  <c r="M11" i="132"/>
  <c r="N11" i="132" s="1"/>
  <c r="L11" i="132"/>
  <c r="I12" i="135"/>
  <c r="J12" i="135" s="1"/>
  <c r="H12" i="135"/>
  <c r="F23" i="135"/>
  <c r="G23" i="135"/>
  <c r="I19" i="135"/>
  <c r="J19" i="135" s="1"/>
  <c r="H19" i="135"/>
  <c r="M12" i="120"/>
  <c r="N12" i="120" s="1"/>
  <c r="L12" i="120"/>
  <c r="M10" i="120"/>
  <c r="N10" i="120" s="1"/>
  <c r="L10" i="120"/>
  <c r="I10" i="120"/>
  <c r="M20" i="119"/>
  <c r="N20" i="119" s="1"/>
  <c r="L20" i="119"/>
  <c r="N13" i="135" l="1"/>
  <c r="P13" i="135" s="1"/>
  <c r="R13" i="135" s="1"/>
  <c r="S13" i="135" s="1"/>
  <c r="R30" i="120"/>
  <c r="T30" i="120" s="1"/>
  <c r="N20" i="135"/>
  <c r="P20" i="135" s="1"/>
  <c r="V30" i="120"/>
  <c r="W30" i="120" s="1"/>
  <c r="T13" i="135"/>
  <c r="N11" i="135"/>
  <c r="P11" i="135" s="1"/>
  <c r="R11" i="135" s="1"/>
  <c r="M19" i="135"/>
  <c r="O19" i="135"/>
  <c r="Q19" i="135"/>
  <c r="K19" i="135"/>
  <c r="L19" i="135" s="1"/>
  <c r="Q12" i="135"/>
  <c r="K12" i="135"/>
  <c r="L12" i="135" s="1"/>
  <c r="M12" i="135"/>
  <c r="O12" i="135"/>
  <c r="U20" i="119"/>
  <c r="O20" i="119"/>
  <c r="P20" i="119" s="1"/>
  <c r="Q20" i="119"/>
  <c r="S20" i="119"/>
  <c r="O12" i="120"/>
  <c r="P12" i="120" s="1"/>
  <c r="S12" i="120"/>
  <c r="Q12" i="120"/>
  <c r="U12" i="120"/>
  <c r="S11" i="132"/>
  <c r="U11" i="132"/>
  <c r="O11" i="132"/>
  <c r="P11" i="132" s="1"/>
  <c r="Q11" i="132"/>
  <c r="S10" i="120"/>
  <c r="O10" i="120"/>
  <c r="P10" i="120" s="1"/>
  <c r="Q10" i="120"/>
  <c r="U10" i="120"/>
  <c r="R20" i="135"/>
  <c r="I18" i="135"/>
  <c r="J18" i="135" s="1"/>
  <c r="H18" i="135"/>
  <c r="R20" i="119" l="1"/>
  <c r="T20" i="119" s="1"/>
  <c r="V20" i="119" s="1"/>
  <c r="X30" i="120"/>
  <c r="Z30" i="120" s="1"/>
  <c r="R11" i="132"/>
  <c r="T11" i="132" s="1"/>
  <c r="V11" i="132" s="1"/>
  <c r="N19" i="135"/>
  <c r="R10" i="120"/>
  <c r="T10" i="120" s="1"/>
  <c r="V10" i="120" s="1"/>
  <c r="T20" i="135"/>
  <c r="V20" i="135" s="1"/>
  <c r="S20" i="135"/>
  <c r="N12" i="135"/>
  <c r="P12" i="135" s="1"/>
  <c r="R12" i="135" s="1"/>
  <c r="W10" i="120"/>
  <c r="X10" i="120"/>
  <c r="M18" i="135"/>
  <c r="O18" i="135"/>
  <c r="Q18" i="135"/>
  <c r="K18" i="135"/>
  <c r="L18" i="135" s="1"/>
  <c r="R12" i="120"/>
  <c r="T12" i="120" s="1"/>
  <c r="V12" i="120" s="1"/>
  <c r="P19" i="135"/>
  <c r="R19" i="135" s="1"/>
  <c r="S11" i="135"/>
  <c r="T11" i="135"/>
  <c r="V11" i="135" s="1"/>
  <c r="V13" i="135"/>
  <c r="W13" i="135" s="1"/>
  <c r="Z20" i="119"/>
  <c r="W20" i="135" l="1"/>
  <c r="W11" i="132"/>
  <c r="X11" i="132"/>
  <c r="Z11" i="132" s="1"/>
  <c r="N18" i="135"/>
  <c r="P18" i="135" s="1"/>
  <c r="R18" i="135" s="1"/>
  <c r="S19" i="135"/>
  <c r="T19" i="135"/>
  <c r="V19" i="135" s="1"/>
  <c r="X12" i="120"/>
  <c r="Z12" i="120" s="1"/>
  <c r="W12" i="120"/>
  <c r="S12" i="135"/>
  <c r="T12" i="135"/>
  <c r="V12" i="135" s="1"/>
  <c r="W11" i="135"/>
  <c r="AA30" i="120"/>
  <c r="Z10" i="120"/>
  <c r="AA10" i="120" s="1"/>
  <c r="W20" i="119"/>
  <c r="AA11" i="132" l="1"/>
  <c r="W12" i="135"/>
  <c r="W19" i="135"/>
  <c r="S18" i="135"/>
  <c r="T18" i="135"/>
  <c r="V18" i="135" s="1"/>
  <c r="AA12" i="120"/>
  <c r="W18" i="135" l="1"/>
  <c r="I10" i="134"/>
  <c r="Y9" i="134"/>
  <c r="K9" i="134"/>
  <c r="J9" i="134"/>
  <c r="Y16" i="119"/>
  <c r="K16" i="119"/>
  <c r="J16" i="119"/>
  <c r="L9" i="134" l="1"/>
  <c r="W9" i="134" l="1"/>
  <c r="Z9" i="134"/>
  <c r="X9" i="134"/>
  <c r="AA9" i="134" l="1"/>
  <c r="M18" i="119" l="1"/>
  <c r="N18" i="119" s="1"/>
  <c r="L18" i="119"/>
  <c r="S18" i="119" l="1"/>
  <c r="O18" i="119"/>
  <c r="P18" i="119" s="1"/>
  <c r="Q18" i="119"/>
  <c r="U18" i="119"/>
  <c r="R18" i="119" l="1"/>
  <c r="T18" i="119" s="1"/>
  <c r="V18" i="119" s="1"/>
  <c r="X18" i="119" s="1"/>
  <c r="Z18" i="119" s="1"/>
  <c r="W18" i="119" l="1"/>
  <c r="AA18" i="119" s="1"/>
  <c r="M20" i="121"/>
  <c r="N20" i="121" s="1"/>
  <c r="L20" i="121"/>
  <c r="M19" i="123"/>
  <c r="N19" i="123" s="1"/>
  <c r="L19" i="123"/>
  <c r="M9" i="123"/>
  <c r="N9" i="123" s="1"/>
  <c r="L9" i="123"/>
  <c r="M12" i="132"/>
  <c r="N12" i="132" s="1"/>
  <c r="L12" i="132"/>
  <c r="Y11" i="134"/>
  <c r="Y15" i="134" s="1"/>
  <c r="K11" i="134"/>
  <c r="K15" i="134" s="1"/>
  <c r="J11" i="134"/>
  <c r="J15" i="134" s="1"/>
  <c r="I12" i="134"/>
  <c r="U19" i="123" l="1"/>
  <c r="S19" i="123"/>
  <c r="Q19" i="123"/>
  <c r="O19" i="123"/>
  <c r="P19" i="123" s="1"/>
  <c r="S12" i="132"/>
  <c r="Q12" i="132"/>
  <c r="U12" i="132"/>
  <c r="O12" i="132"/>
  <c r="P12" i="132" s="1"/>
  <c r="S9" i="123"/>
  <c r="Q9" i="123"/>
  <c r="O9" i="123"/>
  <c r="P9" i="123" s="1"/>
  <c r="R9" i="123" s="1"/>
  <c r="T9" i="123" s="1"/>
  <c r="U9" i="123"/>
  <c r="S20" i="121"/>
  <c r="U20" i="121"/>
  <c r="Q20" i="121"/>
  <c r="O20" i="121"/>
  <c r="P20" i="121" s="1"/>
  <c r="L11" i="134"/>
  <c r="L15" i="134" s="1"/>
  <c r="R20" i="121" l="1"/>
  <c r="T20" i="121" s="1"/>
  <c r="V20" i="121" s="1"/>
  <c r="W20" i="121" s="1"/>
  <c r="R19" i="123"/>
  <c r="T19" i="123" s="1"/>
  <c r="V19" i="123" s="1"/>
  <c r="X19" i="123" s="1"/>
  <c r="Z19" i="123" s="1"/>
  <c r="R12" i="132"/>
  <c r="T12" i="132" s="1"/>
  <c r="V12" i="132" s="1"/>
  <c r="W12" i="132" s="1"/>
  <c r="V9" i="123"/>
  <c r="X20" i="121" l="1"/>
  <c r="Z20" i="121" s="1"/>
  <c r="W19" i="123"/>
  <c r="X12" i="132"/>
  <c r="Z12" i="132" s="1"/>
  <c r="AA12" i="132" s="1"/>
  <c r="W9" i="123"/>
  <c r="X9" i="123"/>
  <c r="Z9" i="123" s="1"/>
  <c r="AA9" i="123" s="1"/>
  <c r="AA20" i="121"/>
  <c r="AA19" i="123"/>
  <c r="X11" i="134"/>
  <c r="X15" i="134" s="1"/>
  <c r="W11" i="134" l="1"/>
  <c r="W15" i="134" s="1"/>
  <c r="Z11" i="134"/>
  <c r="Z15" i="134" s="1"/>
  <c r="AA11" i="134" l="1"/>
  <c r="AA15" i="134" s="1"/>
  <c r="M11" i="133" l="1"/>
  <c r="N11" i="133" s="1"/>
  <c r="L11" i="133"/>
  <c r="O11" i="133" l="1"/>
  <c r="P11" i="133" s="1"/>
  <c r="Q11" i="133"/>
  <c r="S11" i="133"/>
  <c r="U11" i="133"/>
  <c r="R11" i="133" l="1"/>
  <c r="T11" i="133" s="1"/>
  <c r="V11" i="133" s="1"/>
  <c r="X11" i="133" l="1"/>
  <c r="Z11" i="133" s="1"/>
  <c r="W11" i="133"/>
  <c r="M14" i="121"/>
  <c r="N14" i="121" s="1"/>
  <c r="L14" i="121"/>
  <c r="AA11" i="133" l="1"/>
  <c r="S14" i="121"/>
  <c r="O14" i="121"/>
  <c r="P14" i="121" s="1"/>
  <c r="Q14" i="121"/>
  <c r="U14" i="121"/>
  <c r="Z14" i="121"/>
  <c r="R14" i="121" l="1"/>
  <c r="T14" i="121" s="1"/>
  <c r="V14" i="121" s="1"/>
  <c r="W14" i="121" s="1"/>
  <c r="AA14" i="121" s="1"/>
  <c r="M19" i="121" l="1"/>
  <c r="N19" i="121" s="1"/>
  <c r="L19" i="121"/>
  <c r="Q19" i="121" l="1"/>
  <c r="O19" i="121"/>
  <c r="P19" i="121" s="1"/>
  <c r="R19" i="121" s="1"/>
  <c r="T19" i="121" s="1"/>
  <c r="S19" i="121"/>
  <c r="U19" i="121"/>
  <c r="Y8" i="123"/>
  <c r="K8" i="123"/>
  <c r="J8" i="123"/>
  <c r="L8" i="123"/>
  <c r="V19" i="121" l="1"/>
  <c r="W19" i="121" s="1"/>
  <c r="X19" i="121"/>
  <c r="Z19" i="121" s="1"/>
  <c r="AA19" i="121" l="1"/>
  <c r="W8" i="123" l="1"/>
  <c r="Z8" i="123"/>
  <c r="X8" i="123"/>
  <c r="AA8" i="123" l="1"/>
  <c r="I17" i="135" l="1"/>
  <c r="J17" i="135" s="1"/>
  <c r="H17" i="135"/>
  <c r="M17" i="135" l="1"/>
  <c r="O17" i="135"/>
  <c r="K17" i="135"/>
  <c r="L17" i="135" s="1"/>
  <c r="Q17" i="135"/>
  <c r="N17" i="135" l="1"/>
  <c r="P17" i="135" s="1"/>
  <c r="R17" i="135" s="1"/>
  <c r="S17" i="135" s="1"/>
  <c r="T17" i="135"/>
  <c r="V17" i="135" s="1"/>
  <c r="W17" i="135" l="1"/>
  <c r="X13" i="136"/>
  <c r="J13" i="136"/>
  <c r="I13" i="136"/>
  <c r="L13" i="136"/>
  <c r="H11" i="136"/>
  <c r="K13" i="136" l="1"/>
  <c r="T13" i="136" l="1"/>
  <c r="R13" i="136"/>
  <c r="P13" i="136"/>
  <c r="M13" i="136"/>
  <c r="N13" i="136" l="1"/>
  <c r="O13" i="136"/>
  <c r="Q13" i="136" l="1"/>
  <c r="S13" i="136" l="1"/>
  <c r="U13" i="136" l="1"/>
  <c r="Y13" i="136" l="1"/>
  <c r="W13" i="136"/>
  <c r="V13" i="136"/>
  <c r="Z13" i="136" l="1"/>
  <c r="K13" i="131" l="1"/>
  <c r="M13" i="131" l="1"/>
  <c r="M9" i="119"/>
  <c r="N9" i="119" s="1"/>
  <c r="L9" i="119"/>
  <c r="N13" i="131" l="1"/>
  <c r="R13" i="131"/>
  <c r="P13" i="131"/>
  <c r="O13" i="131"/>
  <c r="Q13" i="131" s="1"/>
  <c r="S13" i="131" s="1"/>
  <c r="S9" i="119"/>
  <c r="O9" i="119"/>
  <c r="P9" i="119" s="1"/>
  <c r="T13" i="131"/>
  <c r="U9" i="119"/>
  <c r="Q9" i="119"/>
  <c r="U13" i="131" l="1"/>
  <c r="R9" i="119"/>
  <c r="T9" i="119" s="1"/>
  <c r="V9" i="119" s="1"/>
  <c r="X9" i="119" l="1"/>
  <c r="Z9" i="119" s="1"/>
  <c r="V13" i="131"/>
  <c r="W13" i="131"/>
  <c r="Y13" i="131" s="1"/>
  <c r="Z13" i="131" s="1"/>
  <c r="W9" i="119"/>
  <c r="AA9" i="119" l="1"/>
  <c r="M27" i="120"/>
  <c r="N27" i="120" s="1"/>
  <c r="L27" i="120"/>
  <c r="O27" i="120" l="1"/>
  <c r="P27" i="120" s="1"/>
  <c r="S27" i="120"/>
  <c r="U27" i="120"/>
  <c r="Q27" i="120"/>
  <c r="R27" i="120" l="1"/>
  <c r="T27" i="120" s="1"/>
  <c r="V27" i="120" s="1"/>
  <c r="M17" i="133"/>
  <c r="N17" i="133" s="1"/>
  <c r="M18" i="133"/>
  <c r="N18" i="133" s="1"/>
  <c r="I10" i="135"/>
  <c r="J10" i="135" s="1"/>
  <c r="I14" i="135"/>
  <c r="J14" i="135" s="1"/>
  <c r="I15" i="135"/>
  <c r="J15" i="135" s="1"/>
  <c r="I16" i="135"/>
  <c r="J16" i="135" s="1"/>
  <c r="I9" i="135"/>
  <c r="J9" i="135" s="1"/>
  <c r="M11" i="118"/>
  <c r="N11" i="118" s="1"/>
  <c r="M12" i="118"/>
  <c r="N12" i="118" s="1"/>
  <c r="M18" i="123"/>
  <c r="N18" i="123" s="1"/>
  <c r="M12" i="123"/>
  <c r="N12" i="123" s="1"/>
  <c r="M29" i="121"/>
  <c r="N29" i="121" s="1"/>
  <c r="M28" i="121"/>
  <c r="N28" i="121" s="1"/>
  <c r="M18" i="121"/>
  <c r="N18" i="121" s="1"/>
  <c r="M10" i="121"/>
  <c r="N10" i="121" s="1"/>
  <c r="M11" i="121"/>
  <c r="N11" i="121" s="1"/>
  <c r="M13" i="121"/>
  <c r="N13" i="121" s="1"/>
  <c r="M9" i="121"/>
  <c r="N9" i="121" s="1"/>
  <c r="M31" i="120"/>
  <c r="N31" i="120" s="1"/>
  <c r="M14" i="120"/>
  <c r="N14" i="120" s="1"/>
  <c r="M15" i="120"/>
  <c r="N15" i="120" s="1"/>
  <c r="M13" i="119"/>
  <c r="N13" i="119" s="1"/>
  <c r="M11" i="119"/>
  <c r="N11" i="119" s="1"/>
  <c r="Q9" i="121" l="1"/>
  <c r="S9" i="121"/>
  <c r="O9" i="121"/>
  <c r="P9" i="121" s="1"/>
  <c r="R9" i="121" s="1"/>
  <c r="T9" i="121" s="1"/>
  <c r="U9" i="121"/>
  <c r="O16" i="135"/>
  <c r="Q16" i="135"/>
  <c r="K16" i="135"/>
  <c r="L16" i="135" s="1"/>
  <c r="M16" i="135"/>
  <c r="S31" i="120"/>
  <c r="O31" i="120"/>
  <c r="P31" i="120" s="1"/>
  <c r="U31" i="120"/>
  <c r="Q31" i="120"/>
  <c r="Q10" i="121"/>
  <c r="S10" i="121"/>
  <c r="U10" i="121"/>
  <c r="O10" i="121"/>
  <c r="P10" i="121" s="1"/>
  <c r="U12" i="123"/>
  <c r="O12" i="123"/>
  <c r="P12" i="123" s="1"/>
  <c r="Q12" i="123"/>
  <c r="S12" i="123"/>
  <c r="Q9" i="135"/>
  <c r="K9" i="135"/>
  <c r="L9" i="135" s="1"/>
  <c r="O9" i="135"/>
  <c r="M9" i="135"/>
  <c r="Q10" i="135"/>
  <c r="K10" i="135"/>
  <c r="L10" i="135" s="1"/>
  <c r="M10" i="135"/>
  <c r="O10" i="135"/>
  <c r="Q11" i="119"/>
  <c r="O11" i="119"/>
  <c r="P11" i="119" s="1"/>
  <c r="R11" i="119" s="1"/>
  <c r="U11" i="119"/>
  <c r="S11" i="119"/>
  <c r="O15" i="120"/>
  <c r="P15" i="120" s="1"/>
  <c r="S15" i="120"/>
  <c r="Q15" i="120"/>
  <c r="U15" i="120"/>
  <c r="U13" i="121"/>
  <c r="Q13" i="121"/>
  <c r="S13" i="121"/>
  <c r="O13" i="121"/>
  <c r="P13" i="121" s="1"/>
  <c r="R13" i="121" s="1"/>
  <c r="T13" i="121" s="1"/>
  <c r="O28" i="121"/>
  <c r="P28" i="121" s="1"/>
  <c r="Q28" i="121"/>
  <c r="U28" i="121"/>
  <c r="S28" i="121"/>
  <c r="U12" i="118"/>
  <c r="Q12" i="118"/>
  <c r="S12" i="118"/>
  <c r="O12" i="118"/>
  <c r="P12" i="118" s="1"/>
  <c r="R12" i="118" s="1"/>
  <c r="T12" i="118" s="1"/>
  <c r="O15" i="135"/>
  <c r="Q15" i="135"/>
  <c r="K15" i="135"/>
  <c r="L15" i="135" s="1"/>
  <c r="M15" i="135"/>
  <c r="O17" i="133"/>
  <c r="P17" i="133" s="1"/>
  <c r="U17" i="133"/>
  <c r="Q17" i="133"/>
  <c r="S17" i="133"/>
  <c r="Q18" i="121"/>
  <c r="O18" i="121"/>
  <c r="U18" i="121"/>
  <c r="P18" i="121"/>
  <c r="R18" i="121" s="1"/>
  <c r="T18" i="121" s="1"/>
  <c r="V18" i="121" s="1"/>
  <c r="S18" i="121"/>
  <c r="U18" i="133"/>
  <c r="O18" i="133"/>
  <c r="P18" i="133" s="1"/>
  <c r="Q18" i="133"/>
  <c r="S18" i="133"/>
  <c r="U13" i="119"/>
  <c r="O13" i="119"/>
  <c r="P13" i="119" s="1"/>
  <c r="R13" i="119" s="1"/>
  <c r="S13" i="119"/>
  <c r="Q13" i="119"/>
  <c r="S14" i="120"/>
  <c r="Q14" i="120"/>
  <c r="O14" i="120"/>
  <c r="P14" i="120" s="1"/>
  <c r="U14" i="120"/>
  <c r="S11" i="121"/>
  <c r="P11" i="121"/>
  <c r="R11" i="121" s="1"/>
  <c r="U11" i="121"/>
  <c r="O11" i="121"/>
  <c r="Q11" i="121"/>
  <c r="O29" i="121"/>
  <c r="P29" i="121" s="1"/>
  <c r="Q29" i="121"/>
  <c r="S29" i="121"/>
  <c r="U29" i="121"/>
  <c r="S18" i="123"/>
  <c r="O18" i="123"/>
  <c r="P18" i="123" s="1"/>
  <c r="Q18" i="123"/>
  <c r="U18" i="123"/>
  <c r="Q11" i="118"/>
  <c r="O11" i="118"/>
  <c r="P11" i="118" s="1"/>
  <c r="R11" i="118" s="1"/>
  <c r="T11" i="118" s="1"/>
  <c r="V11" i="118" s="1"/>
  <c r="S11" i="118"/>
  <c r="U11" i="118"/>
  <c r="O14" i="135"/>
  <c r="Q14" i="135"/>
  <c r="K14" i="135"/>
  <c r="L14" i="135" s="1"/>
  <c r="M14" i="135"/>
  <c r="W27" i="120"/>
  <c r="X27" i="120"/>
  <c r="Z27" i="120" s="1"/>
  <c r="T11" i="119" l="1"/>
  <c r="V11" i="119" s="1"/>
  <c r="X11" i="119" s="1"/>
  <c r="Z11" i="119" s="1"/>
  <c r="N10" i="135"/>
  <c r="P10" i="135"/>
  <c r="R10" i="135" s="1"/>
  <c r="R28" i="121"/>
  <c r="T28" i="121" s="1"/>
  <c r="V28" i="121" s="1"/>
  <c r="R17" i="133"/>
  <c r="T17" i="133" s="1"/>
  <c r="V17" i="133" s="1"/>
  <c r="W17" i="133" s="1"/>
  <c r="R29" i="121"/>
  <c r="T29" i="121" s="1"/>
  <c r="V29" i="121" s="1"/>
  <c r="W29" i="121" s="1"/>
  <c r="T11" i="121"/>
  <c r="V11" i="121" s="1"/>
  <c r="W11" i="121" s="1"/>
  <c r="R15" i="120"/>
  <c r="T15" i="120" s="1"/>
  <c r="V15" i="120" s="1"/>
  <c r="X15" i="120" s="1"/>
  <c r="N9" i="135"/>
  <c r="P9" i="135" s="1"/>
  <c r="R9" i="135" s="1"/>
  <c r="T9" i="135" s="1"/>
  <c r="AA27" i="120"/>
  <c r="R31" i="120"/>
  <c r="T31" i="120" s="1"/>
  <c r="V31" i="120" s="1"/>
  <c r="W31" i="120" s="1"/>
  <c r="X31" i="120"/>
  <c r="W11" i="118"/>
  <c r="X11" i="118"/>
  <c r="W18" i="121"/>
  <c r="X18" i="121"/>
  <c r="T13" i="119"/>
  <c r="V13" i="119" s="1"/>
  <c r="X13" i="119" s="1"/>
  <c r="R18" i="133"/>
  <c r="T18" i="133" s="1"/>
  <c r="V18" i="133" s="1"/>
  <c r="V12" i="118"/>
  <c r="V13" i="121"/>
  <c r="R12" i="123"/>
  <c r="T12" i="123" s="1"/>
  <c r="V12" i="123" s="1"/>
  <c r="N16" i="135"/>
  <c r="P16" i="135" s="1"/>
  <c r="R16" i="135" s="1"/>
  <c r="V9" i="121"/>
  <c r="R14" i="120"/>
  <c r="T14" i="120" s="1"/>
  <c r="V14" i="120" s="1"/>
  <c r="N15" i="135"/>
  <c r="P15" i="135" s="1"/>
  <c r="R15" i="135" s="1"/>
  <c r="X29" i="121"/>
  <c r="T10" i="135"/>
  <c r="S10" i="135"/>
  <c r="N14" i="135"/>
  <c r="P14" i="135" s="1"/>
  <c r="R14" i="135" s="1"/>
  <c r="R18" i="123"/>
  <c r="T18" i="123" s="1"/>
  <c r="V18" i="123" s="1"/>
  <c r="R10" i="121"/>
  <c r="T10" i="121" s="1"/>
  <c r="V10" i="121" s="1"/>
  <c r="K14" i="131"/>
  <c r="M14" i="131" s="1"/>
  <c r="W28" i="121" l="1"/>
  <c r="X28" i="121"/>
  <c r="X17" i="133"/>
  <c r="X11" i="121"/>
  <c r="W15" i="120"/>
  <c r="S9" i="135"/>
  <c r="W18" i="123"/>
  <c r="X18" i="123"/>
  <c r="X9" i="121"/>
  <c r="W9" i="121"/>
  <c r="S14" i="135"/>
  <c r="T14" i="135"/>
  <c r="W14" i="120"/>
  <c r="X14" i="120"/>
  <c r="S16" i="135"/>
  <c r="T16" i="135"/>
  <c r="W13" i="121"/>
  <c r="X13" i="121"/>
  <c r="W12" i="123"/>
  <c r="X12" i="123"/>
  <c r="W12" i="118"/>
  <c r="X12" i="118"/>
  <c r="S15" i="135"/>
  <c r="T15" i="135"/>
  <c r="R14" i="131"/>
  <c r="N14" i="131"/>
  <c r="O14" i="131" s="1"/>
  <c r="Q14" i="131" s="1"/>
  <c r="P14" i="131"/>
  <c r="X10" i="121"/>
  <c r="W10" i="121"/>
  <c r="X18" i="133"/>
  <c r="W18" i="133"/>
  <c r="T14" i="131"/>
  <c r="S14" i="131" l="1"/>
  <c r="U14" i="131" s="1"/>
  <c r="I14" i="131"/>
  <c r="W14" i="131" l="1"/>
  <c r="Y14" i="131" s="1"/>
  <c r="V14" i="131"/>
  <c r="Z14" i="131" l="1"/>
  <c r="L15" i="120"/>
  <c r="Z15" i="120" l="1"/>
  <c r="AA15" i="120" l="1"/>
  <c r="L18" i="133" l="1"/>
  <c r="I18" i="133"/>
  <c r="Z18" i="133" l="1"/>
  <c r="AA18" i="133" l="1"/>
  <c r="L13" i="121"/>
  <c r="Z13" i="121" l="1"/>
  <c r="AA13" i="121" l="1"/>
  <c r="L11" i="121"/>
  <c r="Z11" i="121" l="1"/>
  <c r="AA11" i="121" s="1"/>
  <c r="H16" i="135" l="1"/>
  <c r="V16" i="135" l="1"/>
  <c r="W16" i="135" l="1"/>
  <c r="U23" i="135" l="1"/>
  <c r="H15" i="135" l="1"/>
  <c r="L17" i="133" l="1"/>
  <c r="L12" i="123" l="1"/>
  <c r="Y13" i="123" l="1"/>
  <c r="K13" i="123"/>
  <c r="O23" i="135" l="1"/>
  <c r="K23" i="135"/>
  <c r="I23" i="135"/>
  <c r="H14" i="135"/>
  <c r="H9" i="135"/>
  <c r="H10" i="135" l="1"/>
  <c r="L11" i="123"/>
  <c r="I12" i="123"/>
  <c r="Y11" i="123"/>
  <c r="K11" i="123"/>
  <c r="J11" i="123"/>
  <c r="H23" i="135" l="1"/>
  <c r="J23" i="135"/>
  <c r="L23" i="135" l="1"/>
  <c r="K18" i="131" l="1"/>
  <c r="M18" i="131" s="1"/>
  <c r="K17" i="131"/>
  <c r="M17" i="131" s="1"/>
  <c r="K16" i="131"/>
  <c r="M16" i="131" s="1"/>
  <c r="K15" i="131"/>
  <c r="M15" i="131" s="1"/>
  <c r="K12" i="131"/>
  <c r="M12" i="131" s="1"/>
  <c r="K11" i="131"/>
  <c r="M11" i="131" s="1"/>
  <c r="K10" i="131"/>
  <c r="M10" i="131" s="1"/>
  <c r="N15" i="131" l="1"/>
  <c r="O15" i="131" s="1"/>
  <c r="R15" i="131"/>
  <c r="P15" i="131"/>
  <c r="R16" i="131"/>
  <c r="N16" i="131"/>
  <c r="P16" i="131"/>
  <c r="O16" i="131"/>
  <c r="Q16" i="131" s="1"/>
  <c r="N17" i="131"/>
  <c r="O17" i="131" s="1"/>
  <c r="Q17" i="131" s="1"/>
  <c r="R17" i="131"/>
  <c r="P17" i="131"/>
  <c r="P10" i="131"/>
  <c r="N10" i="131"/>
  <c r="O10" i="131" s="1"/>
  <c r="T10" i="131"/>
  <c r="R10" i="131"/>
  <c r="N11" i="131"/>
  <c r="O11" i="131" s="1"/>
  <c r="Q11" i="131" s="1"/>
  <c r="R11" i="131"/>
  <c r="R12" i="131"/>
  <c r="N12" i="131"/>
  <c r="O12" i="131" s="1"/>
  <c r="P12" i="131"/>
  <c r="R18" i="131"/>
  <c r="N18" i="131"/>
  <c r="O18" i="131" s="1"/>
  <c r="P18" i="131"/>
  <c r="T17" i="131"/>
  <c r="P11" i="131"/>
  <c r="T11" i="131"/>
  <c r="T12" i="131"/>
  <c r="T18" i="131"/>
  <c r="T16" i="131"/>
  <c r="T15" i="131"/>
  <c r="Y32" i="120"/>
  <c r="K32" i="120"/>
  <c r="Q10" i="131" l="1"/>
  <c r="S10" i="131" s="1"/>
  <c r="U10" i="131" s="1"/>
  <c r="Q15" i="131"/>
  <c r="W10" i="131"/>
  <c r="V10" i="131"/>
  <c r="Q18" i="131"/>
  <c r="Q12" i="131"/>
  <c r="S12" i="131" s="1"/>
  <c r="U12" i="131" s="1"/>
  <c r="W12" i="131" s="1"/>
  <c r="S15" i="131"/>
  <c r="U15" i="131" s="1"/>
  <c r="W15" i="131" s="1"/>
  <c r="S16" i="131"/>
  <c r="U16" i="131" s="1"/>
  <c r="W16" i="131" s="1"/>
  <c r="S18" i="131"/>
  <c r="U18" i="131" s="1"/>
  <c r="W18" i="131" s="1"/>
  <c r="S11" i="131"/>
  <c r="U11" i="131" s="1"/>
  <c r="W11" i="131" s="1"/>
  <c r="S17" i="131"/>
  <c r="U17" i="131" s="1"/>
  <c r="W17" i="131" s="1"/>
  <c r="Y8" i="121" l="1"/>
  <c r="K8" i="121"/>
  <c r="Y19" i="119"/>
  <c r="K19" i="119"/>
  <c r="J19" i="119"/>
  <c r="Y16" i="123" l="1"/>
  <c r="K16" i="123"/>
  <c r="L9" i="121" l="1"/>
  <c r="S15" i="134" l="1"/>
  <c r="O15" i="134"/>
  <c r="M15" i="134"/>
  <c r="N15" i="134" l="1"/>
  <c r="Q15" i="134" l="1"/>
  <c r="P15" i="134"/>
  <c r="Y27" i="121" l="1"/>
  <c r="Y31" i="121" s="1"/>
  <c r="K27" i="121"/>
  <c r="K31" i="121" s="1"/>
  <c r="R15" i="134" l="1"/>
  <c r="T15" i="134"/>
  <c r="I10" i="121" l="1"/>
  <c r="L29" i="121"/>
  <c r="L31" i="120"/>
  <c r="I31" i="120"/>
  <c r="L10" i="121" l="1"/>
  <c r="L16" i="119" l="1"/>
  <c r="L13" i="119" l="1"/>
  <c r="J27" i="121" l="1"/>
  <c r="J16" i="123"/>
  <c r="J13" i="123"/>
  <c r="J8" i="121" l="1"/>
  <c r="J31" i="121" s="1"/>
  <c r="L28" i="121" l="1"/>
  <c r="L27" i="121" s="1"/>
  <c r="I14" i="120" l="1"/>
  <c r="L14" i="120" l="1"/>
  <c r="L13" i="123" l="1"/>
  <c r="L18" i="123" l="1"/>
  <c r="L16" i="123" s="1"/>
  <c r="L18" i="121" l="1"/>
  <c r="I37" i="123" l="1"/>
  <c r="Y36" i="123"/>
  <c r="K36" i="123"/>
  <c r="J36" i="123"/>
  <c r="I17" i="133" l="1"/>
  <c r="S19" i="133"/>
  <c r="O19" i="133"/>
  <c r="M19" i="133"/>
  <c r="W36" i="123" l="1"/>
  <c r="L36" i="123"/>
  <c r="P19" i="133" l="1"/>
  <c r="X36" i="123"/>
  <c r="L19" i="133"/>
  <c r="N19" i="133" l="1"/>
  <c r="Z36" i="123"/>
  <c r="AA36" i="123"/>
  <c r="L11" i="118" l="1"/>
  <c r="Y14" i="118" l="1"/>
  <c r="K14" i="118"/>
  <c r="Y8" i="119" l="1"/>
  <c r="K8" i="119"/>
  <c r="J8" i="119"/>
  <c r="Y32" i="123" l="1"/>
  <c r="Y39" i="123" s="1"/>
  <c r="L32" i="123"/>
  <c r="L39" i="123" s="1"/>
  <c r="K32" i="123"/>
  <c r="K39" i="123" s="1"/>
  <c r="J32" i="123"/>
  <c r="J39" i="123" s="1"/>
  <c r="I18" i="123"/>
  <c r="I18" i="121" l="1"/>
  <c r="L8" i="121"/>
  <c r="L31" i="121" s="1"/>
  <c r="I16" i="121"/>
  <c r="I12" i="121"/>
  <c r="I9" i="121"/>
  <c r="Y14" i="119" l="1"/>
  <c r="K14" i="119"/>
  <c r="Y12" i="119"/>
  <c r="K12" i="119"/>
  <c r="J12" i="119"/>
  <c r="L11" i="119"/>
  <c r="Y22" i="119" l="1"/>
  <c r="J22" i="119"/>
  <c r="K22" i="119"/>
  <c r="Y15" i="132"/>
  <c r="S15" i="132"/>
  <c r="O15" i="132"/>
  <c r="M15" i="132"/>
  <c r="K15" i="132"/>
  <c r="J15" i="132" l="1"/>
  <c r="L15" i="132" l="1"/>
  <c r="U15" i="132"/>
  <c r="P15" i="132"/>
  <c r="N15" i="132"/>
  <c r="L12" i="119" l="1"/>
  <c r="I11" i="131" l="1"/>
  <c r="I12" i="131"/>
  <c r="I13" i="131"/>
  <c r="I15" i="131"/>
  <c r="I16" i="131"/>
  <c r="I17" i="131"/>
  <c r="I18" i="131"/>
  <c r="I10" i="131"/>
  <c r="I11" i="118"/>
  <c r="I12" i="118"/>
  <c r="I10" i="118"/>
  <c r="I33" i="123"/>
  <c r="I17" i="123"/>
  <c r="I14" i="123"/>
  <c r="I28" i="121"/>
  <c r="X20" i="131" l="1"/>
  <c r="L20" i="131"/>
  <c r="J20" i="131"/>
  <c r="M20" i="131" l="1"/>
  <c r="K20" i="131"/>
  <c r="N20" i="131" l="1"/>
  <c r="R20" i="131"/>
  <c r="O20" i="131" l="1"/>
  <c r="L12" i="118" l="1"/>
  <c r="L14" i="118" l="1"/>
  <c r="M14" i="118"/>
  <c r="M39" i="123"/>
  <c r="M31" i="121"/>
  <c r="M32" i="120"/>
  <c r="J14" i="118" l="1"/>
  <c r="N39" i="123"/>
  <c r="N31" i="121"/>
  <c r="N14" i="118" l="1"/>
  <c r="M22" i="119" l="1"/>
  <c r="L19" i="119"/>
  <c r="L14" i="119" l="1"/>
  <c r="L8" i="119"/>
  <c r="L22" i="119" l="1"/>
  <c r="N22" i="119"/>
  <c r="Y18" i="131" l="1"/>
  <c r="Q23" i="135"/>
  <c r="Z18" i="123"/>
  <c r="Z31" i="120"/>
  <c r="U15" i="134"/>
  <c r="Y12" i="131"/>
  <c r="Z13" i="119"/>
  <c r="W13" i="119"/>
  <c r="Z29" i="121"/>
  <c r="V15" i="131"/>
  <c r="V15" i="135"/>
  <c r="W16" i="119"/>
  <c r="Y11" i="131"/>
  <c r="V11" i="131"/>
  <c r="M23" i="135"/>
  <c r="Z14" i="120"/>
  <c r="Y10" i="131"/>
  <c r="Y16" i="131"/>
  <c r="V16" i="131"/>
  <c r="V17" i="131"/>
  <c r="Y17" i="131"/>
  <c r="Z9" i="121"/>
  <c r="Q31" i="121"/>
  <c r="Z18" i="121"/>
  <c r="Z10" i="121"/>
  <c r="U19" i="133"/>
  <c r="Q19" i="133"/>
  <c r="Q15" i="132"/>
  <c r="W11" i="119"/>
  <c r="T20" i="131"/>
  <c r="P20" i="131"/>
  <c r="S32" i="120"/>
  <c r="Q39" i="123"/>
  <c r="U22" i="119"/>
  <c r="U39" i="123"/>
  <c r="S31" i="121"/>
  <c r="O32" i="120"/>
  <c r="O39" i="123"/>
  <c r="U14" i="118"/>
  <c r="Q22" i="119"/>
  <c r="S14" i="118"/>
  <c r="S39" i="123"/>
  <c r="U31" i="121"/>
  <c r="O22" i="119"/>
  <c r="S22" i="119"/>
  <c r="Q14" i="118"/>
  <c r="O14" i="118"/>
  <c r="O31" i="121"/>
  <c r="Z17" i="133" l="1"/>
  <c r="Z19" i="133" s="1"/>
  <c r="X19" i="133"/>
  <c r="Z16" i="119"/>
  <c r="X16" i="119"/>
  <c r="Z16" i="123"/>
  <c r="Y15" i="131"/>
  <c r="Z15" i="131" s="1"/>
  <c r="V18" i="131"/>
  <c r="Z18" i="131" s="1"/>
  <c r="V14" i="135"/>
  <c r="W14" i="135" s="1"/>
  <c r="V10" i="135"/>
  <c r="W10" i="135" s="1"/>
  <c r="V12" i="131"/>
  <c r="Z12" i="131" s="1"/>
  <c r="AA31" i="120"/>
  <c r="AA18" i="123"/>
  <c r="AA10" i="121"/>
  <c r="AA18" i="121"/>
  <c r="AA9" i="121"/>
  <c r="Z16" i="131"/>
  <c r="Z10" i="131"/>
  <c r="AA14" i="120"/>
  <c r="Z11" i="131"/>
  <c r="AA29" i="121"/>
  <c r="W27" i="121"/>
  <c r="V15" i="134"/>
  <c r="Z28" i="121"/>
  <c r="Z27" i="121" s="1"/>
  <c r="X27" i="121"/>
  <c r="AA13" i="119"/>
  <c r="Z17" i="131"/>
  <c r="W11" i="123"/>
  <c r="W16" i="123"/>
  <c r="W15" i="135"/>
  <c r="Z12" i="123"/>
  <c r="Z11" i="123" s="1"/>
  <c r="X11" i="123"/>
  <c r="N23" i="135"/>
  <c r="W13" i="123"/>
  <c r="Z13" i="123"/>
  <c r="X13" i="123"/>
  <c r="X8" i="121"/>
  <c r="W8" i="121"/>
  <c r="Z11" i="118"/>
  <c r="AA11" i="118" s="1"/>
  <c r="R19" i="133"/>
  <c r="AA11" i="119"/>
  <c r="Z32" i="123"/>
  <c r="X32" i="123"/>
  <c r="Q20" i="131"/>
  <c r="T15" i="132"/>
  <c r="R15" i="132"/>
  <c r="W32" i="123"/>
  <c r="Z12" i="118"/>
  <c r="AA12" i="118" s="1"/>
  <c r="P39" i="123"/>
  <c r="P22" i="119"/>
  <c r="W14" i="119"/>
  <c r="P31" i="121"/>
  <c r="W19" i="119"/>
  <c r="X19" i="119"/>
  <c r="P14" i="118"/>
  <c r="AA17" i="133" l="1"/>
  <c r="AA19" i="133" s="1"/>
  <c r="W39" i="123"/>
  <c r="Z39" i="123"/>
  <c r="AA16" i="119"/>
  <c r="X31" i="121"/>
  <c r="W31" i="121"/>
  <c r="X16" i="123"/>
  <c r="X39" i="123" s="1"/>
  <c r="AA28" i="121"/>
  <c r="AA27" i="121" s="1"/>
  <c r="AA16" i="123"/>
  <c r="AA12" i="123"/>
  <c r="AA11" i="123" s="1"/>
  <c r="P23" i="135"/>
  <c r="AA13" i="123"/>
  <c r="Z8" i="121"/>
  <c r="Z31" i="121" s="1"/>
  <c r="AA8" i="121"/>
  <c r="T19" i="133"/>
  <c r="AA32" i="123"/>
  <c r="W12" i="119"/>
  <c r="V15" i="132"/>
  <c r="S20" i="131"/>
  <c r="Z12" i="119"/>
  <c r="X12" i="119"/>
  <c r="Z14" i="119"/>
  <c r="X14" i="119"/>
  <c r="Z19" i="119"/>
  <c r="R14" i="118"/>
  <c r="R31" i="121"/>
  <c r="R39" i="123"/>
  <c r="R22" i="119"/>
  <c r="AA39" i="123" l="1"/>
  <c r="AA31" i="121"/>
  <c r="R23" i="135"/>
  <c r="V19" i="133"/>
  <c r="X15" i="132"/>
  <c r="Z15" i="132"/>
  <c r="W15" i="132"/>
  <c r="U20" i="131"/>
  <c r="AA12" i="119"/>
  <c r="AA14" i="119"/>
  <c r="AA20" i="119"/>
  <c r="AA19" i="119" s="1"/>
  <c r="T31" i="121"/>
  <c r="T39" i="123"/>
  <c r="T14" i="118"/>
  <c r="T22" i="119"/>
  <c r="S23" i="135" l="1"/>
  <c r="T23" i="135"/>
  <c r="V9" i="135"/>
  <c r="W19" i="133"/>
  <c r="AA15" i="132"/>
  <c r="Y20" i="131"/>
  <c r="W20" i="131"/>
  <c r="V20" i="131"/>
  <c r="X8" i="119"/>
  <c r="X22" i="119" s="1"/>
  <c r="V22" i="119"/>
  <c r="W8" i="119"/>
  <c r="W22" i="119" s="1"/>
  <c r="W14" i="118"/>
  <c r="X14" i="118"/>
  <c r="V14" i="118"/>
  <c r="V39" i="123"/>
  <c r="V31" i="121"/>
  <c r="V23" i="135" l="1"/>
  <c r="W9" i="135"/>
  <c r="W23" i="135" s="1"/>
  <c r="Z20" i="131"/>
  <c r="Z8" i="119"/>
  <c r="Z22" i="119" s="1"/>
  <c r="Z14" i="118"/>
  <c r="AA8" i="119" l="1"/>
  <c r="AA22" i="119" s="1"/>
  <c r="AA14" i="118"/>
  <c r="J32" i="120"/>
  <c r="I9" i="120"/>
  <c r="U32" i="120" l="1"/>
  <c r="Q32" i="120"/>
  <c r="N32" i="120"/>
  <c r="P32" i="120"/>
  <c r="L32" i="120"/>
  <c r="R32" i="120" l="1"/>
  <c r="T32" i="120" l="1"/>
  <c r="V32" i="120" l="1"/>
  <c r="W32" i="120" l="1"/>
  <c r="Z32" i="120"/>
  <c r="X32" i="120" l="1"/>
  <c r="AA32" i="120"/>
</calcChain>
</file>

<file path=xl/sharedStrings.xml><?xml version="1.0" encoding="utf-8"?>
<sst xmlns="http://schemas.openxmlformats.org/spreadsheetml/2006/main" count="1282" uniqueCount="487">
  <si>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</si>
  <si>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</si>
  <si>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</si>
  <si>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</si>
  <si>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</si>
  <si>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</si>
  <si>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</si>
  <si>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</si>
  <si>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</si>
  <si>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</si>
  <si>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</si>
  <si>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</si>
  <si>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</si>
  <si>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</si>
  <si>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</si>
  <si>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</si>
  <si>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</si>
  <si>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</si>
  <si>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</si>
  <si>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</si>
  <si>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</si>
  <si>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</si>
  <si>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</si>
  <si>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</si>
  <si>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</si>
  <si>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</si>
  <si>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</si>
  <si>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</si>
  <si>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</si>
  <si>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</si>
  <si>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</si>
  <si>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</si>
  <si>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</si>
  <si>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</si>
  <si>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</si>
  <si>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</si>
  <si>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</si>
  <si>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</si>
  <si>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</si>
  <si>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</si>
  <si>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</si>
  <si>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</si>
  <si>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</si>
  <si>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</si>
  <si>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</si>
  <si>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</si>
  <si>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</si>
  <si>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</si>
  <si>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</si>
  <si>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</si>
  <si>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</si>
  <si>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</si>
  <si>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</si>
  <si>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</si>
  <si>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</si>
  <si>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</si>
  <si>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</si>
  <si>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</si>
  <si>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</si>
  <si>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</si>
  <si>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</si>
  <si>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</si>
  <si>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</si>
  <si>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</si>
  <si>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</si>
  <si>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</si>
  <si>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</si>
  <si>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</si>
  <si>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ROBERTO GUZMAN CASTRO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</si>
  <si>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</si>
  <si>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</si>
  <si>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</si>
  <si>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</si>
  <si>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</si>
  <si>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</si>
  <si>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</si>
  <si>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</si>
  <si>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</si>
  <si>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</si>
  <si>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</si>
  <si>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</si>
  <si>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</si>
  <si>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</si>
  <si>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</si>
  <si>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</si>
  <si>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</si>
  <si>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</si>
  <si>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</si>
  <si>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</si>
  <si>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</si>
  <si>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</si>
  <si>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</si>
  <si>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</si>
  <si>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</si>
  <si>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</si>
  <si>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</si>
  <si>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</si>
  <si>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</si>
  <si>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</si>
  <si>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</si>
  <si>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</si>
  <si>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</si>
  <si>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</si>
  <si>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RFC</t>
  </si>
  <si>
    <t>AFANADOR PARQUE LA ISLA</t>
  </si>
  <si>
    <t>052</t>
  </si>
  <si>
    <t>002</t>
  </si>
  <si>
    <t>ROAE8305268D9</t>
  </si>
  <si>
    <t>088</t>
  </si>
  <si>
    <t>N°</t>
  </si>
  <si>
    <t>007</t>
  </si>
  <si>
    <t>PELG8902233V7</t>
  </si>
  <si>
    <t>009</t>
  </si>
  <si>
    <t>SASS90022203B3</t>
  </si>
  <si>
    <t>CACG8412204R1</t>
  </si>
  <si>
    <t>096</t>
  </si>
  <si>
    <t>OOVL880419UZ9</t>
  </si>
  <si>
    <t>102</t>
  </si>
  <si>
    <t>LAMC910610LB9</t>
  </si>
  <si>
    <t>PECI880515LKA</t>
  </si>
  <si>
    <t>105</t>
  </si>
  <si>
    <t>CAAS900829JN3</t>
  </si>
  <si>
    <t>HACIENDA PÚBLICA MPAL</t>
  </si>
  <si>
    <t>028</t>
  </si>
  <si>
    <t>GUCR7710036Z1</t>
  </si>
  <si>
    <t>111</t>
  </si>
  <si>
    <t>UUAJ620306516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</si>
  <si>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</si>
  <si>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</si>
  <si>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</si>
  <si>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</si>
  <si>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</si>
  <si>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</si>
  <si>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</si>
  <si>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</si>
  <si>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</si>
  <si>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</si>
  <si>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</si>
  <si>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</si>
  <si>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</si>
  <si>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</si>
  <si>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</si>
  <si>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</si>
  <si>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</si>
  <si>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</si>
  <si>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IARM881208T31</t>
  </si>
  <si>
    <t>FRANCISCO JAVIER MERIN SOTO</t>
  </si>
  <si>
    <t>SAUL CASTRO CASTAÑEDA</t>
  </si>
  <si>
    <t>PARAMÉDICO</t>
  </si>
  <si>
    <t>CHOFER AMBULANCIA</t>
  </si>
  <si>
    <t>SERVICIOS MÉDICOS MUNICIPALES</t>
  </si>
  <si>
    <t>146</t>
  </si>
  <si>
    <t>153</t>
  </si>
  <si>
    <t>154</t>
  </si>
  <si>
    <t>CACS7103203Q9</t>
  </si>
  <si>
    <t>MESF850913II3</t>
  </si>
  <si>
    <t>MARIA GUADALUPE SOLIS CASILLAS</t>
  </si>
  <si>
    <t>FRED DE JESUS VILLALOBOS CASTILLO</t>
  </si>
  <si>
    <t>OPERADOR MOTOCONFORMADORA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</si>
  <si>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</si>
  <si>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</si>
  <si>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</si>
  <si>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</si>
  <si>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</si>
  <si>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</si>
  <si>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</si>
  <si>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</si>
  <si>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</si>
  <si>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</si>
  <si>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</si>
  <si>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</si>
  <si>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</si>
  <si>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SOCG8710244C0</t>
  </si>
  <si>
    <t>VICF940917FW7</t>
  </si>
  <si>
    <t>CAAM750115HV3</t>
  </si>
  <si>
    <t>CASE8710163P8</t>
  </si>
  <si>
    <t>GACG750625B70</t>
  </si>
  <si>
    <t>CACX8112279U5</t>
  </si>
  <si>
    <t>ROCE781126IN0</t>
  </si>
  <si>
    <t>GACS7702262M3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</si>
  <si>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</si>
  <si>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</si>
  <si>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</si>
  <si>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</si>
  <si>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</si>
  <si>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</si>
  <si>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</si>
  <si>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</si>
  <si>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</si>
  <si>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NUSM8008193D2</t>
  </si>
  <si>
    <t>ENRIQUE GARCIA ROJAS</t>
  </si>
  <si>
    <t>INDALECIO LLAMAS ESPARZA</t>
  </si>
  <si>
    <t>AUXILIAR BASICO DE PROTECCION CIVIL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</si>
  <si>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</si>
  <si>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</si>
  <si>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</si>
  <si>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</si>
  <si>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</si>
  <si>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</si>
  <si>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</si>
  <si>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CASJ6506143H0</t>
  </si>
  <si>
    <t>GARE510603JR0</t>
  </si>
  <si>
    <t>CARD630626GL5</t>
  </si>
  <si>
    <t>LAEI990815JE7</t>
  </si>
  <si>
    <t>SOCS710314EB3</t>
  </si>
  <si>
    <t>AOGA8509167A4</t>
  </si>
  <si>
    <t>191</t>
  </si>
  <si>
    <t>190</t>
  </si>
  <si>
    <t>193</t>
  </si>
  <si>
    <t>195</t>
  </si>
  <si>
    <t>198</t>
  </si>
  <si>
    <t>201</t>
  </si>
  <si>
    <t>210</t>
  </si>
  <si>
    <t>216</t>
  </si>
  <si>
    <t>JULIAN MADERA CASTRO</t>
  </si>
  <si>
    <t>MACJ900422JF8</t>
  </si>
  <si>
    <t>ENCARGADA DEL COMEDOR ESCOLAR</t>
  </si>
  <si>
    <t>MARIO AVILA AVILA</t>
  </si>
  <si>
    <t>CHOFER DE DESARROLLO SOCIAL</t>
  </si>
  <si>
    <t>AIAM870428GG7</t>
  </si>
  <si>
    <t>221</t>
  </si>
  <si>
    <t>220</t>
  </si>
  <si>
    <t>226</t>
  </si>
  <si>
    <t>HERIBERTA AVILA VEGA</t>
  </si>
  <si>
    <t>AIVH7703037R6</t>
  </si>
  <si>
    <t>228</t>
  </si>
  <si>
    <t>SUELDO  DEL 16 AL 31 DE OCTUBRE DE 2019</t>
  </si>
  <si>
    <t>ADRIAN AYALA MARTINEZ</t>
  </si>
  <si>
    <t>AAMA781218F64</t>
  </si>
  <si>
    <t>TURISMO</t>
  </si>
  <si>
    <t>229</t>
  </si>
  <si>
    <t>236</t>
  </si>
  <si>
    <t>241</t>
  </si>
  <si>
    <t>JOSE SANDOVAL VITELA</t>
  </si>
  <si>
    <t>SAVJ640113NX2</t>
  </si>
  <si>
    <t>015</t>
  </si>
  <si>
    <t>242</t>
  </si>
  <si>
    <t>245</t>
  </si>
  <si>
    <t>DAVID CASTRO AVILA</t>
  </si>
  <si>
    <t>CAAD880427EC1</t>
  </si>
  <si>
    <t>DIRECTOR OBRAS</t>
  </si>
  <si>
    <t>248</t>
  </si>
  <si>
    <t>GILBERTO CASTRO BALTIERRA</t>
  </si>
  <si>
    <t>CABG900204C29</t>
  </si>
  <si>
    <t>EMILIA RAMIREZ CASTRO</t>
  </si>
  <si>
    <t>RACE731012RZ4</t>
  </si>
  <si>
    <t>251</t>
  </si>
  <si>
    <t>SAMUEL LLAMAS AGUAYO</t>
  </si>
  <si>
    <t>256</t>
  </si>
  <si>
    <t xml:space="preserve">SALARIO MINIMO GENERAL </t>
  </si>
  <si>
    <t>UMA</t>
  </si>
  <si>
    <t>LAAS570228G56</t>
  </si>
  <si>
    <t>DIAS</t>
  </si>
  <si>
    <t xml:space="preserve"> Descuentos</t>
  </si>
  <si>
    <t>264</t>
  </si>
  <si>
    <t>155</t>
  </si>
  <si>
    <t>MARIA LUZ ELENA GUZMAN CARDONA</t>
  </si>
  <si>
    <t>GUCL810316MN5</t>
  </si>
  <si>
    <t>PRESIDENTE MUNICIPAL</t>
  </si>
  <si>
    <t xml:space="preserve">SECRETARIO GENERAL </t>
  </si>
  <si>
    <t>170</t>
  </si>
  <si>
    <t>CARLOS ADRIAN AVILA LLAMAS</t>
  </si>
  <si>
    <t>AILC9808299Q6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</si>
  <si>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</si>
  <si>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</si>
  <si>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</si>
  <si>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</si>
  <si>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</si>
  <si>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269</t>
  </si>
  <si>
    <t>270</t>
  </si>
  <si>
    <t>271</t>
  </si>
  <si>
    <t>272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</si>
  <si>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</si>
  <si>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</si>
  <si>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</si>
  <si>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</si>
  <si>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</si>
  <si>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</si>
  <si>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</si>
  <si>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</si>
  <si>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</si>
  <si>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</si>
  <si>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</si>
  <si>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CARA7406217J3</t>
  </si>
  <si>
    <t>JORGE LOPEZ GARCIA</t>
  </si>
  <si>
    <t>LOGJ9608024T3</t>
  </si>
  <si>
    <t>HOGN7707044S3</t>
  </si>
  <si>
    <t>TERA870128LC3</t>
  </si>
  <si>
    <t>LOMG001010I98</t>
  </si>
  <si>
    <t>VIGL8311141P7</t>
  </si>
  <si>
    <t>GULR780405N43</t>
  </si>
  <si>
    <t>MA GRISELDA SILVA NUÑEZ</t>
  </si>
  <si>
    <t>SING830607MHA</t>
  </si>
  <si>
    <t>ROSA ESMERALDA SANDOVAL MACHUCA</t>
  </si>
  <si>
    <t>SAMR9804042T6</t>
  </si>
  <si>
    <t>MARGARITA SOLIS CASILLAS</t>
  </si>
  <si>
    <t>SOCM780618J44</t>
  </si>
  <si>
    <t>PEDRO DAMIAN RUVALCABA VILLALOBOS</t>
  </si>
  <si>
    <t>RUVP990821QB6</t>
  </si>
  <si>
    <t>EFRAIN ROBLES FLORES</t>
  </si>
  <si>
    <t>ROFE870509J60</t>
  </si>
  <si>
    <t>VICTORIANO SANDOVAL FLORES</t>
  </si>
  <si>
    <t>SAFV890702G75</t>
  </si>
  <si>
    <t>MUMG740311J20</t>
  </si>
  <si>
    <t>GOGL7709164H2</t>
  </si>
  <si>
    <t>194</t>
  </si>
  <si>
    <t>EFRAIN SILVA NUÑEZ</t>
  </si>
  <si>
    <t>SINE910215840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</si>
  <si>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</si>
  <si>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</si>
  <si>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</si>
  <si>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</si>
  <si>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</si>
  <si>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</si>
  <si>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</si>
  <si>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</si>
  <si>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CASG940509UY3</t>
  </si>
  <si>
    <t>AFANADORA PRESIDENCIA MUNICIPAL</t>
  </si>
  <si>
    <t>285</t>
  </si>
  <si>
    <t>AFANADORA SANITARIOS PÙBLICOS</t>
  </si>
  <si>
    <t>MA GUADALUPE MARISCAL ARELLANO</t>
  </si>
  <si>
    <t>LUCIA GONZALEZ GUZMAN</t>
  </si>
  <si>
    <t>136</t>
  </si>
  <si>
    <t>261</t>
  </si>
  <si>
    <t>ERIDANI OROZCO VILLALOBOS</t>
  </si>
  <si>
    <t>OOVE840411MK4</t>
  </si>
  <si>
    <t>DIRECTOR DE  MEDIOS AUDIOVISUALES</t>
  </si>
  <si>
    <t xml:space="preserve">JUEZ MUNICIPAL </t>
  </si>
  <si>
    <t>286</t>
  </si>
  <si>
    <t>LIZBETH AVELAR VALDEZ</t>
  </si>
  <si>
    <t>AEVL010901EC9</t>
  </si>
  <si>
    <t>SECRETARIA DE CATASTRO</t>
  </si>
  <si>
    <t>CONTRALORIA MUNICIPAL</t>
  </si>
  <si>
    <t>FRANCISCO GUTIERREZ ÁVILA</t>
  </si>
  <si>
    <t>GUAF780107TW9</t>
  </si>
  <si>
    <t>TITULAR DEL ORGANO INTERNO DE CONTROL</t>
  </si>
  <si>
    <t>SINDICO MUNICIPAL</t>
  </si>
  <si>
    <t>CHOFER DE AUTOBUS</t>
  </si>
  <si>
    <t>ROSA VIRIDIANA ARELLANO VEGA</t>
  </si>
  <si>
    <t>AEVR730416EG0</t>
  </si>
  <si>
    <t>CURP</t>
  </si>
  <si>
    <t>PECI880515MJCRSS02</t>
  </si>
  <si>
    <t>SASS900220MJCNTL02</t>
  </si>
  <si>
    <t>PELG890223MJCRLD06</t>
  </si>
  <si>
    <t>CACG841220MJCSSD03</t>
  </si>
  <si>
    <t>CARA740621HJCSDL00</t>
  </si>
  <si>
    <t>GUCR771003HJCZSB05</t>
  </si>
  <si>
    <t>ROAE830526HJCDRV07</t>
  </si>
  <si>
    <t>OOVL880419MJCRLD03</t>
  </si>
  <si>
    <t>LAMC910610HJCNRS00</t>
  </si>
  <si>
    <t>CAAS900829MJCSVF05</t>
  </si>
  <si>
    <t>UUAJ620306HJCRVL01</t>
  </si>
  <si>
    <t>SOCM780618MJCLSR05</t>
  </si>
  <si>
    <t>IARM881208HZSBDR03</t>
  </si>
  <si>
    <t>CACS710320HJCSSL08</t>
  </si>
  <si>
    <t>MESF850913HJCRTR09</t>
  </si>
  <si>
    <t>GUCL810316MJCZRZ05</t>
  </si>
  <si>
    <t>SOCG871024MJCLSD09</t>
  </si>
  <si>
    <t>VICF940917HJCLSR05</t>
  </si>
  <si>
    <t>GUAF780107HJCTVR01</t>
  </si>
  <si>
    <t>CAAM750115HJCSVG03</t>
  </si>
  <si>
    <t>AILC980829HJCVLR00</t>
  </si>
  <si>
    <t>CASE871016HJCSLD02</t>
  </si>
  <si>
    <t>GACG750625MJCRSL06</t>
  </si>
  <si>
    <t>CXCO811227HJCRSM04</t>
  </si>
  <si>
    <t>ROCE781126HJCBRD03</t>
  </si>
  <si>
    <t>GACS770226HJCRSL00</t>
  </si>
  <si>
    <t>NUSM800819HJCXLR05</t>
  </si>
  <si>
    <t>AOGA850916HJCNRB08</t>
  </si>
  <si>
    <t>CASJ650614HJCSNR02</t>
  </si>
  <si>
    <t>GARE510603HJCRJN02</t>
  </si>
  <si>
    <t>SINE910215HJCLXF01</t>
  </si>
  <si>
    <t>SOCS710314HJCLSN05</t>
  </si>
  <si>
    <t>CARD630626HJCSMV08</t>
  </si>
  <si>
    <t>MACJ900422HJCDSL04</t>
  </si>
  <si>
    <t>AIAM870428HJCVVR02</t>
  </si>
  <si>
    <t>AIVH770303MJCVGR09</t>
  </si>
  <si>
    <t>AAMA781218HJCYRD03</t>
  </si>
  <si>
    <t>SAVJ640113HJCNTS12</t>
  </si>
  <si>
    <t>CAAD880427HZSSVV05</t>
  </si>
  <si>
    <t>CABG900204HJCSLL01</t>
  </si>
  <si>
    <t>RACE731012MJCMSM04</t>
  </si>
  <si>
    <t>LAAS570228HJCLGM06</t>
  </si>
  <si>
    <t>OOVE840411MJCRLR07</t>
  </si>
  <si>
    <t>SAMR980404MJCNCS05</t>
  </si>
  <si>
    <t>SAFV890702HJCNLC08</t>
  </si>
  <si>
    <t>ROFE870509HDGBLF05</t>
  </si>
  <si>
    <t>SING830607MJCLXR08</t>
  </si>
  <si>
    <t>CASG940509MJCSTB07</t>
  </si>
  <si>
    <t>GULR780405HJCTNB02</t>
  </si>
  <si>
    <t>TERA870128MJCRML06</t>
  </si>
  <si>
    <t>VIGL831114HJCLRS02</t>
  </si>
  <si>
    <t>HOGN770704MJCRRM07</t>
  </si>
  <si>
    <t>LOMG001010MJCPGDA9</t>
  </si>
  <si>
    <t>MUMG740311MJCXRD01</t>
  </si>
  <si>
    <t>LOGJ960802HJCPRR09</t>
  </si>
  <si>
    <t>GOGL770916MZSNZC07</t>
  </si>
  <si>
    <t>RUVP990821HJCVLD03</t>
  </si>
  <si>
    <t>MAAG781030MJCRRD08</t>
  </si>
  <si>
    <t>AEVL010901MJCVLZA1</t>
  </si>
  <si>
    <t>AEVR730416MJCRGS03</t>
  </si>
  <si>
    <t>291</t>
  </si>
  <si>
    <t>292</t>
  </si>
  <si>
    <t>ENCARGADO DEL MODULO DE MAQUINA Y BODEGA MUNICIPAL</t>
  </si>
  <si>
    <t>AUXILIAR DE LA BODEGA MUNICIPAL</t>
  </si>
  <si>
    <t>SUPERVISOR DE TURNO</t>
  </si>
  <si>
    <t>295</t>
  </si>
  <si>
    <t>296</t>
  </si>
  <si>
    <t>RAMIRO CASTRO HORTA</t>
  </si>
  <si>
    <t>CAHR900320NQ0</t>
  </si>
  <si>
    <t>CAHR900320HJCSRN09</t>
  </si>
  <si>
    <t>BAFJ64022457A</t>
  </si>
  <si>
    <t>BAFJ640224HJCLRS16</t>
  </si>
  <si>
    <t>JOSE BLANCO FRIAS</t>
  </si>
  <si>
    <t>MECANICO MUNICIPAL</t>
  </si>
  <si>
    <t>032</t>
  </si>
  <si>
    <t>ULISES LOPEZ RODRIGUEZ</t>
  </si>
  <si>
    <t>LORU840304TS8</t>
  </si>
  <si>
    <t>298</t>
  </si>
  <si>
    <t>SECRETARIA DE PROYECTOS PRODUCTIVOS</t>
  </si>
  <si>
    <t>LORU840304HJCPDL05</t>
  </si>
  <si>
    <t>BIBLIOTECA PÙBLICA MUNICIPAL</t>
  </si>
  <si>
    <t>MAAM781030138</t>
  </si>
  <si>
    <t>AUXILIAR DEL REGISTRO CIVIL</t>
  </si>
  <si>
    <t>ANGELBERTO CASILLAS SOLIS</t>
  </si>
  <si>
    <t>301</t>
  </si>
  <si>
    <t>CASA730128UJ7</t>
  </si>
  <si>
    <t>CASA730128HJCSLN01</t>
  </si>
  <si>
    <t>AUXILIAR DE LA BIBLIOTECA PÙBLICA MUNICIPAL</t>
  </si>
  <si>
    <t>300</t>
  </si>
  <si>
    <t>OMAR RENE DAVALOS HERNANDEZ</t>
  </si>
  <si>
    <t>DAHO810112BZA</t>
  </si>
  <si>
    <t>DAHO810212HJCVRM05</t>
  </si>
  <si>
    <t>MEDICO MUNICIPAL</t>
  </si>
  <si>
    <t>302</t>
  </si>
  <si>
    <t>303</t>
  </si>
  <si>
    <t>PAOLA ARACELI CORTEZ VARELA</t>
  </si>
  <si>
    <t>COVP990629626</t>
  </si>
  <si>
    <t>COVP990629MJCRRL01</t>
  </si>
  <si>
    <t>DIRECTORA DE CULTURA</t>
  </si>
  <si>
    <t>CULTURA</t>
  </si>
  <si>
    <t>LAEI990815HJCLSN01</t>
  </si>
  <si>
    <t>304</t>
  </si>
  <si>
    <t>AISG820930HJCVLR04</t>
  </si>
  <si>
    <t>SUPERVISOR BODEGA MUNICIPAL</t>
  </si>
  <si>
    <t>AISG820930134</t>
  </si>
  <si>
    <t>GERARDO AVILA SILVA</t>
  </si>
  <si>
    <t>305</t>
  </si>
  <si>
    <t>RAFAEL NUÑEZ SILVA</t>
  </si>
  <si>
    <t>NUSR670406TB4</t>
  </si>
  <si>
    <t>NUSR670406HJCXLF02</t>
  </si>
  <si>
    <t>ISR Salarios</t>
  </si>
  <si>
    <t>TABLAS PUBLICADAS EL 27 DE DICIEMBRE DE 2022</t>
  </si>
  <si>
    <t>VIGENTES PARA 2023</t>
  </si>
  <si>
    <t>EJERCICIO 2023</t>
  </si>
  <si>
    <t>306</t>
  </si>
  <si>
    <t>ALICIA CASTRO CASTRO</t>
  </si>
  <si>
    <t>CACX031118NV2</t>
  </si>
  <si>
    <t>CXCA031118MJCSSLA</t>
  </si>
  <si>
    <t>307</t>
  </si>
  <si>
    <t>308</t>
  </si>
  <si>
    <t>ALEJANDRA URZUA AVILA</t>
  </si>
  <si>
    <t>UUAA890903CI9</t>
  </si>
  <si>
    <t>UUAA890903MJCRVL08</t>
  </si>
  <si>
    <t>AFANADORA CASA DE LA CULTURA</t>
  </si>
  <si>
    <t>309</t>
  </si>
  <si>
    <t>TANIA LIZBETH ALVAREZ HERNANDEZ</t>
  </si>
  <si>
    <t>AAHT990809FI1</t>
  </si>
  <si>
    <t>AAHT990809MDFLRN03</t>
  </si>
  <si>
    <t>310</t>
  </si>
  <si>
    <t>DANIEL RODRIGUEZ VEGA</t>
  </si>
  <si>
    <t>ROVD970919SI6</t>
  </si>
  <si>
    <t>ROVD790919HJCDGN08</t>
  </si>
  <si>
    <t>311</t>
  </si>
  <si>
    <t>SANDRA SUJEY RODRIGUEZ GONZALEZ</t>
  </si>
  <si>
    <t>ROGS8710228D9</t>
  </si>
  <si>
    <t>ROGS871022MJCDNN00</t>
  </si>
  <si>
    <t>312</t>
  </si>
  <si>
    <t>CEME950131GZ7</t>
  </si>
  <si>
    <t>CEME950131HJCJXD02</t>
  </si>
  <si>
    <t>EGDAR ALEJANDRO CEJA MUÑOZ</t>
  </si>
  <si>
    <t>313</t>
  </si>
  <si>
    <t>EUNICE MIREN HERNANDEZ BARAJAS</t>
  </si>
  <si>
    <t>HEBE970910MA3</t>
  </si>
  <si>
    <t>HEBE970910MJCRRN03</t>
  </si>
  <si>
    <t>SUELDO  DEL 01 AL 15 DE FEBRERO DE 2023</t>
  </si>
  <si>
    <t>SUELDO  DEL01 AL 15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</si>
</sst>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26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49" fontId="1" fillId="0" borderId="4" xfId="0" applyNumberFormat="1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165" fontId="5" fillId="4" borderId="4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" fontId="5" fillId="0" borderId="4" xfId="2" applyNumberFormat="1" applyFont="1" applyBorder="1" applyAlignment="1" applyProtection="1">
      <alignment horizontal="right"/>
    </xf>
    <xf numFmtId="1" fontId="5" fillId="0" borderId="4" xfId="2" applyNumberFormat="1" applyFont="1" applyFill="1" applyBorder="1" applyAlignment="1" applyProtection="1">
      <alignment horizontal="right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0" fontId="27" fillId="0" borderId="4" xfId="0" applyFont="1" applyBorder="1"/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0" fontId="27" fillId="0" borderId="16" xfId="0" applyFont="1" applyBorder="1" applyAlignment="1" applyProtection="1">
      <alignment horizontal="center"/>
      <protection locked="0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43" fontId="28" fillId="0" borderId="3" xfId="2" applyFont="1" applyBorder="1" applyAlignment="1" applyProtection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165" fontId="28" fillId="4" borderId="1" xfId="0" applyNumberFormat="1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7" borderId="1" xfId="0" applyFont="1" applyFill="1" applyBorder="1" applyAlignment="1">
      <alignment horizontal="center"/>
    </xf>
    <xf numFmtId="49" fontId="27" fillId="0" borderId="15" xfId="0" applyNumberFormat="1" applyFont="1" applyBorder="1" applyAlignment="1">
      <alignment horizontal="center"/>
    </xf>
    <xf numFmtId="49" fontId="27" fillId="0" borderId="16" xfId="0" applyNumberFormat="1" applyFont="1" applyBorder="1" applyAlignment="1">
      <alignment horizontal="center"/>
    </xf>
    <xf numFmtId="0" fontId="27" fillId="0" borderId="16" xfId="0" applyFont="1" applyBorder="1" applyAlignment="1" applyProtection="1">
      <alignment horizontal="left"/>
      <protection locked="0"/>
    </xf>
    <xf numFmtId="2" fontId="27" fillId="0" borderId="17" xfId="0" applyNumberFormat="1" applyFont="1" applyBorder="1" applyAlignment="1" applyProtection="1">
      <alignment horizontal="right"/>
      <protection locked="0"/>
    </xf>
    <xf numFmtId="165" fontId="27" fillId="0" borderId="3" xfId="2" applyNumberFormat="1" applyFont="1" applyFill="1" applyBorder="1" applyAlignment="1" applyProtection="1">
      <alignment horizontal="right"/>
    </xf>
    <xf numFmtId="165" fontId="27" fillId="0" borderId="3" xfId="2" applyNumberFormat="1" applyFont="1" applyBorder="1" applyAlignment="1" applyProtection="1">
      <alignment horizontal="right"/>
      <protection locked="0"/>
    </xf>
    <xf numFmtId="165" fontId="27" fillId="0" borderId="3" xfId="2" applyNumberFormat="1" applyFont="1" applyBorder="1" applyAlignment="1" applyProtection="1">
      <alignment horizontal="right"/>
    </xf>
    <xf numFmtId="165" fontId="27" fillId="2" borderId="3" xfId="2" applyNumberFormat="1" applyFont="1" applyFill="1" applyBorder="1" applyAlignment="1" applyProtection="1">
      <alignment horizontal="right"/>
    </xf>
    <xf numFmtId="10" fontId="27" fillId="2" borderId="3" xfId="3" applyNumberFormat="1" applyFont="1" applyFill="1" applyBorder="1" applyAlignment="1" applyProtection="1">
      <alignment horizontal="right"/>
    </xf>
    <xf numFmtId="166" fontId="27" fillId="0" borderId="3" xfId="2" applyNumberFormat="1" applyFont="1" applyBorder="1" applyAlignment="1" applyProtection="1">
      <alignment horizontal="right"/>
      <protection locked="0"/>
    </xf>
    <xf numFmtId="0" fontId="27" fillId="4" borderId="2" xfId="0" applyFont="1" applyFill="1" applyBorder="1"/>
    <xf numFmtId="0" fontId="27" fillId="0" borderId="0" xfId="0" applyFont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165" fontId="27" fillId="2" borderId="0" xfId="2" applyNumberFormat="1" applyFont="1" applyFill="1" applyBorder="1" applyAlignment="1" applyProtection="1">
      <alignment horizontal="right"/>
    </xf>
    <xf numFmtId="10" fontId="27" fillId="2" borderId="0" xfId="3" applyNumberFormat="1" applyFont="1" applyFill="1" applyBorder="1" applyAlignment="1" applyProtection="1">
      <alignment horizontal="right"/>
    </xf>
    <xf numFmtId="165" fontId="27" fillId="7" borderId="0" xfId="2" applyNumberFormat="1" applyFont="1" applyFill="1" applyBorder="1" applyAlignment="1" applyProtection="1">
      <alignment horizontal="right"/>
    </xf>
    <xf numFmtId="165" fontId="27" fillId="3" borderId="0" xfId="2" applyNumberFormat="1" applyFont="1" applyFill="1" applyBorder="1" applyAlignment="1" applyProtection="1">
      <alignment horizontal="right"/>
    </xf>
    <xf numFmtId="166" fontId="27" fillId="0" borderId="0" xfId="2" applyNumberFormat="1" applyFont="1" applyBorder="1" applyAlignment="1" applyProtection="1">
      <alignment horizontal="right"/>
      <protection locked="0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1" fillId="0" borderId="15" xfId="0" applyNumberFormat="1" applyFont="1" applyBorder="1" applyAlignment="1">
      <alignment horizontal="center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49" fontId="29" fillId="0" borderId="4" xfId="5" applyNumberFormat="1" applyFont="1" applyBorder="1" applyAlignment="1" applyProtection="1">
      <alignment vertical="center" wrapText="1"/>
      <protection locked="0"/>
    </xf>
    <xf numFmtId="49" fontId="29" fillId="5" borderId="4" xfId="5" applyNumberFormat="1" applyFont="1" applyFill="1" applyBorder="1" applyAlignment="1" applyProtection="1">
      <alignment vertical="center" wrapText="1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5" borderId="1" xfId="0" applyNumberFormat="1" applyFont="1" applyFill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 applyProtection="1">
      <alignment horizontal="left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0" fontId="29" fillId="0" borderId="2" xfId="0" applyFont="1" applyBorder="1"/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5" borderId="2" xfId="5" applyNumberFormat="1" applyFont="1" applyFill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5" borderId="4" xfId="0" applyFont="1" applyFill="1" applyBorder="1"/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2" fontId="29" fillId="0" borderId="4" xfId="0" applyNumberFormat="1" applyFont="1" applyBorder="1" applyAlignment="1" applyProtection="1">
      <alignment horizontal="left"/>
      <protection locked="0"/>
    </xf>
    <xf numFmtId="2" fontId="29" fillId="0" borderId="1" xfId="0" applyNumberFormat="1" applyFont="1" applyBorder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165" fontId="29" fillId="2" borderId="0" xfId="2" applyNumberFormat="1" applyFont="1" applyFill="1" applyBorder="1" applyAlignment="1" applyProtection="1">
      <alignment horizontal="right"/>
    </xf>
    <xf numFmtId="10" fontId="29" fillId="2" borderId="0" xfId="3" applyNumberFormat="1" applyFont="1" applyFill="1" applyBorder="1" applyAlignment="1" applyProtection="1">
      <alignment horizontal="right"/>
    </xf>
    <xf numFmtId="165" fontId="29" fillId="7" borderId="0" xfId="2" applyNumberFormat="1" applyFont="1" applyFill="1" applyBorder="1" applyAlignment="1" applyProtection="1">
      <alignment horizontal="right"/>
    </xf>
    <xf numFmtId="165" fontId="29" fillId="3" borderId="0" xfId="2" applyNumberFormat="1" applyFont="1" applyFill="1" applyBorder="1" applyAlignment="1" applyProtection="1">
      <alignment horizontal="right"/>
    </xf>
    <xf numFmtId="166" fontId="29" fillId="0" borderId="0" xfId="2" applyNumberFormat="1" applyFont="1" applyBorder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43" fontId="29" fillId="0" borderId="0" xfId="2" applyFont="1" applyBorder="1" applyAlignment="1" applyProtection="1">
      <alignment horizontal="right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166" fontId="29" fillId="5" borderId="4" xfId="2" applyNumberFormat="1" applyFont="1" applyFill="1" applyBorder="1" applyAlignment="1" applyProtection="1">
      <alignment horizontal="right"/>
      <protection locked="0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/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0" fontId="33" fillId="0" borderId="3" xfId="0" applyFont="1" applyBorder="1" applyAlignment="1" applyProtection="1">
      <alignment horizontal="left"/>
      <protection locked="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3</xdr:col>
      <xdr:colOff>1145721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571500</xdr:colOff>
      <xdr:row>21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21</xdr:row>
      <xdr:rowOff>267164</xdr:rowOff>
    </xdr:from>
    <xdr:to>
      <xdr:col>3</xdr:col>
      <xdr:colOff>1447733</xdr:colOff>
      <xdr:row>24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161482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2506577</xdr:colOff>
      <xdr:row>28</xdr:row>
      <xdr:rowOff>50132</xdr:rowOff>
    </xdr:from>
    <xdr:ext cx="1570791" cy="885658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7235" y="17178421"/>
          <a:ext cx="1570791" cy="885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22" t="s">
        <v>249</v>
      </c>
    </row>
    <row r="3" spans="1:9" x14ac:dyDescent="0.25">
      <c r="B3" s="8" t="s">
        <v>47</v>
      </c>
      <c r="C3" s="7"/>
      <c r="D3" s="7"/>
      <c r="E3" s="7"/>
      <c r="F3" s="7"/>
      <c r="G3" s="7"/>
      <c r="I3" s="121">
        <v>207.44</v>
      </c>
    </row>
    <row r="4" spans="1:9" x14ac:dyDescent="0.25">
      <c r="B4" s="19" t="s">
        <v>454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78" t="s">
        <v>10</v>
      </c>
      <c r="C7" s="278"/>
      <c r="D7" s="278"/>
      <c r="E7" s="7"/>
      <c r="F7" s="271" t="s">
        <v>48</v>
      </c>
      <c r="G7" s="272"/>
      <c r="I7" s="122" t="s">
        <v>250</v>
      </c>
    </row>
    <row r="8" spans="1:9" ht="14.25" customHeight="1" x14ac:dyDescent="0.25">
      <c r="B8" s="275" t="s">
        <v>9</v>
      </c>
      <c r="C8" s="275"/>
      <c r="D8" s="275"/>
      <c r="E8" s="7"/>
      <c r="F8" s="276" t="s">
        <v>49</v>
      </c>
      <c r="G8" s="277"/>
      <c r="I8" s="121">
        <v>96.22</v>
      </c>
    </row>
    <row r="9" spans="1:9" ht="8.25" customHeight="1" x14ac:dyDescent="0.25">
      <c r="B9" s="279"/>
      <c r="C9" s="279"/>
      <c r="D9" s="279"/>
      <c r="E9" s="7"/>
      <c r="F9" s="273"/>
      <c r="G9" s="274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452</v>
      </c>
      <c r="C28" s="7"/>
      <c r="D28" s="7"/>
    </row>
    <row r="29" spans="1:7" x14ac:dyDescent="0.25">
      <c r="B29" s="32" t="s">
        <v>453</v>
      </c>
      <c r="C29" s="7"/>
      <c r="D29" s="7"/>
    </row>
    <row r="32" spans="1:7" ht="17.25" customHeight="1" x14ac:dyDescent="0.25">
      <c r="B32" s="5" t="s">
        <v>45</v>
      </c>
      <c r="E32" s="7"/>
      <c r="F32" s="271" t="s">
        <v>53</v>
      </c>
      <c r="G32" s="272"/>
    </row>
    <row r="33" spans="2:7" x14ac:dyDescent="0.25">
      <c r="E33" s="7"/>
      <c r="F33" s="276" t="s">
        <v>54</v>
      </c>
      <c r="G33" s="277"/>
    </row>
    <row r="34" spans="2:7" ht="5.25" customHeight="1" x14ac:dyDescent="0.25">
      <c r="E34" s="7"/>
      <c r="F34" s="273"/>
      <c r="G34" s="274"/>
    </row>
    <row r="35" spans="2:7" x14ac:dyDescent="0.25">
      <c r="B35" s="278" t="s">
        <v>10</v>
      </c>
      <c r="C35" s="278"/>
      <c r="D35" s="278"/>
      <c r="E35" s="7"/>
      <c r="F35" s="9" t="s">
        <v>16</v>
      </c>
      <c r="G35" s="9" t="s">
        <v>17</v>
      </c>
    </row>
    <row r="36" spans="2:7" x14ac:dyDescent="0.25">
      <c r="B36" s="275" t="s">
        <v>9</v>
      </c>
      <c r="C36" s="275"/>
      <c r="D36" s="275"/>
      <c r="E36" s="7"/>
      <c r="F36" s="9"/>
      <c r="G36" s="9" t="s">
        <v>18</v>
      </c>
    </row>
    <row r="37" spans="2:7" x14ac:dyDescent="0.25">
      <c r="B37" s="279"/>
      <c r="C37" s="279"/>
      <c r="D37" s="279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B12" zoomScale="77" zoomScaleNormal="77" workbookViewId="0">
      <selection activeCell="B22" sqref="A22:XFD27"/>
    </sheetView>
  </sheetViews>
  <sheetFormatPr baseColWidth="10" defaultRowHeight="13.2" x14ac:dyDescent="0.25"/>
  <cols>
    <col min="1" max="1" width="4.109375" hidden="1" customWidth="1"/>
    <col min="2" max="3" width="8.88671875" customWidth="1"/>
    <col min="4" max="4" width="35.5546875" customWidth="1"/>
    <col min="5" max="5" width="23.5546875" customWidth="1"/>
    <col min="6" max="6" width="34" customWidth="1"/>
    <col min="7" max="7" width="15.6640625" customWidth="1"/>
    <col min="8" max="8" width="8.33203125" hidden="1" customWidth="1"/>
    <col min="9" max="9" width="0.33203125" hidden="1" customWidth="1"/>
    <col min="10" max="10" width="14.5546875" customWidth="1"/>
    <col min="11" max="11" width="10.109375" customWidth="1"/>
    <col min="12" max="12" width="13.88671875" customWidth="1"/>
    <col min="13" max="13" width="11.44140625" hidden="1" customWidth="1"/>
    <col min="14" max="16" width="16" hidden="1" customWidth="1"/>
    <col min="17" max="22" width="11.44140625" hidden="1" customWidth="1"/>
    <col min="23" max="23" width="9" customWidth="1"/>
    <col min="24" max="24" width="13" customWidth="1"/>
    <col min="25" max="26" width="12.88671875" bestFit="1" customWidth="1"/>
    <col min="27" max="27" width="14.33203125" customWidth="1"/>
    <col min="28" max="28" width="85.554687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5</v>
      </c>
      <c r="J6" s="295" t="s">
        <v>1</v>
      </c>
      <c r="K6" s="296"/>
      <c r="L6" s="297"/>
      <c r="M6" s="24" t="s">
        <v>25</v>
      </c>
      <c r="N6" s="25"/>
      <c r="O6" s="298" t="s">
        <v>8</v>
      </c>
      <c r="P6" s="299"/>
      <c r="Q6" s="299"/>
      <c r="R6" s="299"/>
      <c r="S6" s="299"/>
      <c r="T6" s="300"/>
      <c r="U6" s="24" t="s">
        <v>29</v>
      </c>
      <c r="V6" s="24" t="s">
        <v>9</v>
      </c>
      <c r="W6" s="23" t="s">
        <v>52</v>
      </c>
      <c r="X6" s="301" t="s">
        <v>2</v>
      </c>
      <c r="Y6" s="302"/>
      <c r="Z6" s="303"/>
      <c r="AA6" s="23" t="s">
        <v>0</v>
      </c>
      <c r="AB6" s="34"/>
    </row>
    <row r="7" spans="1:28" ht="2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58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3" t="s">
        <v>451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8" x14ac:dyDescent="0.25">
      <c r="A8" s="29"/>
      <c r="B8" s="26"/>
      <c r="C8" s="26"/>
      <c r="D8" s="29"/>
      <c r="E8" s="29"/>
      <c r="F8" s="29"/>
      <c r="G8" s="29"/>
      <c r="H8" s="29"/>
      <c r="I8" s="29"/>
      <c r="J8" s="29" t="s">
        <v>46</v>
      </c>
      <c r="K8" s="29" t="s">
        <v>59</v>
      </c>
      <c r="L8" s="29" t="s">
        <v>28</v>
      </c>
      <c r="M8" s="30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9" t="s">
        <v>51</v>
      </c>
      <c r="X8" s="29"/>
      <c r="Y8" s="29" t="s">
        <v>253</v>
      </c>
      <c r="Z8" s="29" t="s">
        <v>43</v>
      </c>
      <c r="AA8" s="29" t="s">
        <v>4</v>
      </c>
      <c r="AB8" s="35"/>
    </row>
    <row r="9" spans="1:28" ht="31.5" customHeight="1" x14ac:dyDescent="0.3">
      <c r="A9" s="142"/>
      <c r="B9" s="226"/>
      <c r="C9" s="124"/>
      <c r="D9" s="158" t="s">
        <v>129</v>
      </c>
      <c r="E9" s="124" t="s">
        <v>103</v>
      </c>
      <c r="F9" s="124" t="s">
        <v>340</v>
      </c>
      <c r="G9" s="142" t="s">
        <v>61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4"/>
      <c r="W9" s="142"/>
      <c r="X9" s="142"/>
      <c r="Y9" s="142"/>
      <c r="Z9" s="142"/>
      <c r="AA9" s="142"/>
      <c r="AB9" s="41"/>
    </row>
    <row r="10" spans="1:28" s="94" customFormat="1" ht="102.75" customHeight="1" x14ac:dyDescent="0.3">
      <c r="A10" s="116" t="s">
        <v>86</v>
      </c>
      <c r="B10" s="176" t="s">
        <v>186</v>
      </c>
      <c r="C10" s="228" t="s">
        <v>127</v>
      </c>
      <c r="D10" s="259" t="s">
        <v>170</v>
      </c>
      <c r="E10" s="227" t="s">
        <v>178</v>
      </c>
      <c r="F10" s="227" t="s">
        <v>365</v>
      </c>
      <c r="G10" s="178" t="s">
        <v>130</v>
      </c>
      <c r="H10" s="180">
        <v>9</v>
      </c>
      <c r="I10" s="181"/>
      <c r="J10" s="182">
        <v>3985</v>
      </c>
      <c r="K10" s="183">
        <v>0</v>
      </c>
      <c r="L10" s="184">
        <f>SUM(J10:K10)</f>
        <v>3985</v>
      </c>
      <c r="M10" s="185">
        <f>IF(J10/15&lt;=SMG,0,K10/2)</f>
        <v>0</v>
      </c>
      <c r="N10" s="185">
        <f t="shared" ref="N10" si="0">J10+M10</f>
        <v>3985</v>
      </c>
      <c r="O10" s="185">
        <f>VLOOKUP(N10,Tarifa1,1)</f>
        <v>3124.36</v>
      </c>
      <c r="P10" s="185">
        <f t="shared" ref="P10" si="1">N10-O10</f>
        <v>860.63999999999987</v>
      </c>
      <c r="Q10" s="186">
        <f>VLOOKUP(N10,Tarifa1,3)</f>
        <v>0.10879999999999999</v>
      </c>
      <c r="R10" s="185">
        <f t="shared" ref="R10" si="2">P10*Q10</f>
        <v>93.637631999999982</v>
      </c>
      <c r="S10" s="187">
        <f>VLOOKUP(N10,Tarifa1,2)</f>
        <v>183.45</v>
      </c>
      <c r="T10" s="185">
        <f t="shared" ref="T10" si="3">R10+S10</f>
        <v>277.08763199999999</v>
      </c>
      <c r="U10" s="185">
        <f>VLOOKUP(N10,Credito1,2)</f>
        <v>0</v>
      </c>
      <c r="V10" s="185">
        <f t="shared" ref="V10" si="4">ROUND(T10-U10,2)</f>
        <v>277.08999999999997</v>
      </c>
      <c r="W10" s="184">
        <f t="shared" ref="W10" si="5">-IF(V10&gt;0,0,V10)</f>
        <v>0</v>
      </c>
      <c r="X10" s="184">
        <f>IF(J10/15&lt;=SMG,0,IF(V10&lt;0,0,V10))</f>
        <v>277.08999999999997</v>
      </c>
      <c r="Y10" s="188">
        <v>0</v>
      </c>
      <c r="Z10" s="184">
        <f>SUM(X10:Y10)</f>
        <v>277.08999999999997</v>
      </c>
      <c r="AA10" s="184">
        <f>L10+W10-Z10</f>
        <v>3707.91</v>
      </c>
      <c r="AB10" s="93"/>
    </row>
    <row r="11" spans="1:28" s="94" customFormat="1" ht="102.75" customHeight="1" x14ac:dyDescent="0.35">
      <c r="A11" s="194"/>
      <c r="B11" s="220">
        <v>188</v>
      </c>
      <c r="C11" s="228" t="s">
        <v>127</v>
      </c>
      <c r="D11" s="260" t="s">
        <v>187</v>
      </c>
      <c r="E11" s="221" t="s">
        <v>189</v>
      </c>
      <c r="F11" s="221" t="s">
        <v>367</v>
      </c>
      <c r="G11" s="179" t="s">
        <v>337</v>
      </c>
      <c r="H11" s="180">
        <v>15</v>
      </c>
      <c r="I11" s="181"/>
      <c r="J11" s="182">
        <v>6253</v>
      </c>
      <c r="K11" s="183">
        <v>416.87</v>
      </c>
      <c r="L11" s="182">
        <f>J11</f>
        <v>6253</v>
      </c>
      <c r="M11" s="185">
        <f t="shared" ref="M11" si="6">IF(J11/15&lt;=SMG,0,K11/2)</f>
        <v>208.435</v>
      </c>
      <c r="N11" s="185">
        <f t="shared" ref="N11:N13" si="7">J11+M11</f>
        <v>6461.4350000000004</v>
      </c>
      <c r="O11" s="185">
        <f>VLOOKUP(N11,Tarifa1,1)</f>
        <v>6382.81</v>
      </c>
      <c r="P11" s="185">
        <f t="shared" ref="P11:P13" si="8">N11-O11</f>
        <v>78.625</v>
      </c>
      <c r="Q11" s="186">
        <f>VLOOKUP(N11,Tarifa1,3)</f>
        <v>0.1792</v>
      </c>
      <c r="R11" s="185">
        <f t="shared" ref="R11:R13" si="9">P11*Q11</f>
        <v>14.089599999999999</v>
      </c>
      <c r="S11" s="187">
        <f>VLOOKUP(N11,Tarifa1,2)</f>
        <v>583.65</v>
      </c>
      <c r="T11" s="185">
        <f t="shared" ref="T11:T13" si="10">R11+S11</f>
        <v>597.7396</v>
      </c>
      <c r="U11" s="185">
        <f>VLOOKUP(N11,Credito1,2)</f>
        <v>0</v>
      </c>
      <c r="V11" s="185">
        <f t="shared" ref="V11:V13" si="11">ROUND(T11-U11,2)</f>
        <v>597.74</v>
      </c>
      <c r="W11" s="184">
        <f t="shared" ref="W11:W13" si="12">-IF(V11&gt;0,0,V11)</f>
        <v>0</v>
      </c>
      <c r="X11" s="184">
        <f>IF(J11/15&lt;=SMG,0,IF(V11&lt;0,0,V11))</f>
        <v>597.74</v>
      </c>
      <c r="Y11" s="188">
        <v>0</v>
      </c>
      <c r="Z11" s="184">
        <f>SUM(X11:Y11)</f>
        <v>597.74</v>
      </c>
      <c r="AA11" s="184">
        <f>L11+W11-Z11+K11</f>
        <v>6072.13</v>
      </c>
      <c r="AB11" s="93"/>
    </row>
    <row r="12" spans="1:28" s="94" customFormat="1" ht="102.75" customHeight="1" x14ac:dyDescent="0.35">
      <c r="A12" s="229"/>
      <c r="B12" s="177" t="s">
        <v>305</v>
      </c>
      <c r="C12" s="177" t="s">
        <v>127</v>
      </c>
      <c r="D12" s="261" t="s">
        <v>306</v>
      </c>
      <c r="E12" s="189" t="s">
        <v>307</v>
      </c>
      <c r="F12" s="189" t="s">
        <v>371</v>
      </c>
      <c r="G12" s="178" t="s">
        <v>130</v>
      </c>
      <c r="H12" s="180">
        <v>15</v>
      </c>
      <c r="I12" s="181"/>
      <c r="J12" s="182">
        <v>3985</v>
      </c>
      <c r="K12" s="183">
        <v>0</v>
      </c>
      <c r="L12" s="184">
        <f>SUM(J12:K12)</f>
        <v>3985</v>
      </c>
      <c r="M12" s="185">
        <f>IF(J12/15&lt;=SMG,0,K12/2)</f>
        <v>0</v>
      </c>
      <c r="N12" s="185">
        <f t="shared" si="7"/>
        <v>3985</v>
      </c>
      <c r="O12" s="185">
        <f>VLOOKUP(N12,Tarifa1,1)</f>
        <v>3124.36</v>
      </c>
      <c r="P12" s="185">
        <f t="shared" si="8"/>
        <v>860.63999999999987</v>
      </c>
      <c r="Q12" s="186">
        <f>VLOOKUP(N12,Tarifa1,3)</f>
        <v>0.10879999999999999</v>
      </c>
      <c r="R12" s="185">
        <f t="shared" si="9"/>
        <v>93.637631999999982</v>
      </c>
      <c r="S12" s="187">
        <f>VLOOKUP(N12,Tarifa1,2)</f>
        <v>183.45</v>
      </c>
      <c r="T12" s="185">
        <f t="shared" si="10"/>
        <v>277.08763199999999</v>
      </c>
      <c r="U12" s="185">
        <f>VLOOKUP(N12,Credito1,2)</f>
        <v>0</v>
      </c>
      <c r="V12" s="185">
        <f t="shared" si="11"/>
        <v>277.08999999999997</v>
      </c>
      <c r="W12" s="184">
        <f t="shared" si="12"/>
        <v>0</v>
      </c>
      <c r="X12" s="184">
        <f>IF(J12/15&lt;=SMG,0,IF(V12&lt;0,0,V12))</f>
        <v>277.08999999999997</v>
      </c>
      <c r="Y12" s="188">
        <v>251.22</v>
      </c>
      <c r="Z12" s="184">
        <f>SUM(X12:Y12)</f>
        <v>528.30999999999995</v>
      </c>
      <c r="AA12" s="184">
        <f>L12+W12-Z12</f>
        <v>3456.69</v>
      </c>
      <c r="AB12" s="93"/>
    </row>
    <row r="13" spans="1:28" s="94" customFormat="1" ht="102.75" customHeight="1" x14ac:dyDescent="0.3">
      <c r="A13" s="229"/>
      <c r="B13" s="220">
        <v>284</v>
      </c>
      <c r="C13" s="177" t="s">
        <v>127</v>
      </c>
      <c r="D13" s="262" t="s">
        <v>297</v>
      </c>
      <c r="E13" s="227" t="s">
        <v>298</v>
      </c>
      <c r="F13" s="227" t="s">
        <v>397</v>
      </c>
      <c r="G13" s="178" t="s">
        <v>130</v>
      </c>
      <c r="H13" s="180">
        <v>15</v>
      </c>
      <c r="I13" s="181"/>
      <c r="J13" s="182">
        <v>3985</v>
      </c>
      <c r="K13" s="183">
        <v>0</v>
      </c>
      <c r="L13" s="184">
        <f>SUM(J13:K13)</f>
        <v>3985</v>
      </c>
      <c r="M13" s="185">
        <f>IF(J13/15&lt;=SMG,0,K13/2)</f>
        <v>0</v>
      </c>
      <c r="N13" s="185">
        <f t="shared" si="7"/>
        <v>3985</v>
      </c>
      <c r="O13" s="185">
        <f>VLOOKUP(N13,Tarifa1,1)</f>
        <v>3124.36</v>
      </c>
      <c r="P13" s="185">
        <f t="shared" si="8"/>
        <v>860.63999999999987</v>
      </c>
      <c r="Q13" s="186">
        <f>VLOOKUP(N13,Tarifa1,3)</f>
        <v>0.10879999999999999</v>
      </c>
      <c r="R13" s="185">
        <f t="shared" si="9"/>
        <v>93.637631999999982</v>
      </c>
      <c r="S13" s="187">
        <f>VLOOKUP(N13,Tarifa1,2)</f>
        <v>183.45</v>
      </c>
      <c r="T13" s="185">
        <f t="shared" si="10"/>
        <v>277.08763199999999</v>
      </c>
      <c r="U13" s="185">
        <f>VLOOKUP(N13,Credito1,2)</f>
        <v>0</v>
      </c>
      <c r="V13" s="185">
        <f t="shared" si="11"/>
        <v>277.08999999999997</v>
      </c>
      <c r="W13" s="184">
        <f t="shared" si="12"/>
        <v>0</v>
      </c>
      <c r="X13" s="184">
        <f>IF(J13/15&lt;=SMG,0,IF(V13&lt;0,0,V13))</f>
        <v>277.08999999999997</v>
      </c>
      <c r="Y13" s="188">
        <v>251.22</v>
      </c>
      <c r="Z13" s="184">
        <f>SUM(X13:Y13)</f>
        <v>528.30999999999995</v>
      </c>
      <c r="AA13" s="184">
        <f>L13+W13-Z13</f>
        <v>3456.69</v>
      </c>
      <c r="AB13" s="93"/>
    </row>
    <row r="14" spans="1:28" ht="17.399999999999999" x14ac:dyDescent="0.3">
      <c r="A14" s="209"/>
      <c r="B14" s="209"/>
      <c r="C14" s="209"/>
      <c r="D14" s="209"/>
      <c r="E14" s="209"/>
      <c r="F14" s="209"/>
      <c r="G14" s="209"/>
      <c r="H14" s="210"/>
      <c r="I14" s="209"/>
      <c r="J14" s="211"/>
      <c r="K14" s="211"/>
      <c r="L14" s="211"/>
      <c r="M14" s="212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</row>
    <row r="15" spans="1:28" ht="45" customHeight="1" thickBot="1" x14ac:dyDescent="0.35">
      <c r="A15" s="280" t="s">
        <v>44</v>
      </c>
      <c r="B15" s="281"/>
      <c r="C15" s="281"/>
      <c r="D15" s="281"/>
      <c r="E15" s="281"/>
      <c r="F15" s="281"/>
      <c r="G15" s="281"/>
      <c r="H15" s="281"/>
      <c r="I15" s="282"/>
      <c r="J15" s="191">
        <f t="shared" ref="J15:AA15" si="13">SUM(J10:J14)</f>
        <v>18208</v>
      </c>
      <c r="K15" s="191">
        <f t="shared" si="13"/>
        <v>416.87</v>
      </c>
      <c r="L15" s="191">
        <f t="shared" si="13"/>
        <v>18208</v>
      </c>
      <c r="M15" s="192">
        <f t="shared" si="13"/>
        <v>208.435</v>
      </c>
      <c r="N15" s="192">
        <f t="shared" si="13"/>
        <v>18416.435000000001</v>
      </c>
      <c r="O15" s="192">
        <f t="shared" si="13"/>
        <v>15755.890000000001</v>
      </c>
      <c r="P15" s="192">
        <f t="shared" si="13"/>
        <v>2660.5449999999996</v>
      </c>
      <c r="Q15" s="192">
        <f t="shared" si="13"/>
        <v>0.50559999999999994</v>
      </c>
      <c r="R15" s="192">
        <f t="shared" si="13"/>
        <v>295.00249599999995</v>
      </c>
      <c r="S15" s="192">
        <f t="shared" si="13"/>
        <v>1134</v>
      </c>
      <c r="T15" s="192">
        <f t="shared" si="13"/>
        <v>1429.0024959999998</v>
      </c>
      <c r="U15" s="192">
        <f t="shared" si="13"/>
        <v>0</v>
      </c>
      <c r="V15" s="192">
        <f t="shared" si="13"/>
        <v>1429.0099999999998</v>
      </c>
      <c r="W15" s="191">
        <f t="shared" si="13"/>
        <v>0</v>
      </c>
      <c r="X15" s="191">
        <f t="shared" si="13"/>
        <v>1429.0099999999998</v>
      </c>
      <c r="Y15" s="191">
        <f t="shared" si="13"/>
        <v>502.44</v>
      </c>
      <c r="Z15" s="191">
        <f t="shared" si="13"/>
        <v>1931.4499999999998</v>
      </c>
      <c r="AA15" s="191">
        <f t="shared" si="13"/>
        <v>16693.420000000002</v>
      </c>
    </row>
    <row r="16" spans="1:28" ht="13.8" thickTop="1" x14ac:dyDescent="0.25"/>
  </sheetData>
  <mergeCells count="7">
    <mergeCell ref="X6:Z6"/>
    <mergeCell ref="A15:I15"/>
    <mergeCell ref="A1:AB1"/>
    <mergeCell ref="A2:AB2"/>
    <mergeCell ref="A3:AB3"/>
    <mergeCell ref="J6:L6"/>
    <mergeCell ref="O6:T6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0:F10 D12:F13"/>
  </dataValidations>
  <pageMargins left="0.27559055118110237" right="0.27559055118110237" top="0.74803149606299213" bottom="0.74803149606299213" header="0.31496062992125984" footer="0.31496062992125984"/>
  <pageSetup scal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B20" zoomScale="80" zoomScaleNormal="80" workbookViewId="0">
      <selection activeCell="B28" sqref="A28:XFD33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24.33203125" style="67" customWidth="1"/>
    <col min="5" max="5" width="11.33203125" style="67" hidden="1" customWidth="1"/>
    <col min="6" max="6" width="17.5546875" style="67" customWidth="1"/>
    <col min="7" max="7" width="14" style="67" customWidth="1"/>
    <col min="8" max="8" width="15.44140625" style="67" customWidth="1"/>
    <col min="9" max="9" width="12.6640625" style="67" hidden="1" customWidth="1"/>
    <col min="10" max="10" width="13.109375" style="67" hidden="1" customWidth="1"/>
    <col min="11" max="11" width="14.44140625" style="67" hidden="1" customWidth="1"/>
    <col min="12" max="12" width="15" style="67" hidden="1" customWidth="1"/>
    <col min="13" max="13" width="11" style="67" hidden="1" customWidth="1"/>
    <col min="14" max="15" width="13.109375" style="67" hidden="1" customWidth="1"/>
    <col min="16" max="16" width="15.44140625" style="67" hidden="1" customWidth="1"/>
    <col min="17" max="17" width="10.44140625" style="67" hidden="1" customWidth="1"/>
    <col min="18" max="18" width="13.109375" style="67" hidden="1" customWidth="1"/>
    <col min="19" max="19" width="11.5546875" style="67" customWidth="1"/>
    <col min="20" max="20" width="13.33203125" style="67" customWidth="1"/>
    <col min="21" max="21" width="13.109375" style="67" customWidth="1"/>
    <col min="22" max="22" width="13.33203125" style="67" customWidth="1"/>
    <col min="23" max="23" width="15.44140625" style="67" customWidth="1"/>
    <col min="24" max="24" width="73.109375" style="67" customWidth="1"/>
    <col min="25" max="25" width="73.44140625" style="67" customWidth="1"/>
    <col min="26" max="16384" width="11.44140625" style="67"/>
  </cols>
  <sheetData>
    <row r="1" spans="1:26" ht="17.399999999999999" x14ac:dyDescent="0.3">
      <c r="A1" s="294" t="s">
        <v>78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4"/>
    </row>
    <row r="2" spans="1:26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4"/>
    </row>
    <row r="3" spans="1:26" ht="19.8" x14ac:dyDescent="0.3">
      <c r="A3" s="42" t="s">
        <v>226</v>
      </c>
      <c r="B3" s="284" t="s">
        <v>486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36"/>
      <c r="Z3" s="236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3" t="s">
        <v>22</v>
      </c>
      <c r="F5" s="295" t="s">
        <v>1</v>
      </c>
      <c r="G5" s="296"/>
      <c r="H5" s="297"/>
      <c r="I5" s="24" t="s">
        <v>25</v>
      </c>
      <c r="J5" s="25"/>
      <c r="K5" s="298" t="s">
        <v>8</v>
      </c>
      <c r="L5" s="299"/>
      <c r="M5" s="299"/>
      <c r="N5" s="299"/>
      <c r="O5" s="299"/>
      <c r="P5" s="300"/>
      <c r="Q5" s="24" t="s">
        <v>29</v>
      </c>
      <c r="R5" s="24" t="s">
        <v>9</v>
      </c>
      <c r="S5" s="23" t="s">
        <v>52</v>
      </c>
      <c r="T5" s="301" t="s">
        <v>2</v>
      </c>
      <c r="U5" s="302"/>
      <c r="V5" s="303"/>
      <c r="W5" s="23" t="s">
        <v>0</v>
      </c>
      <c r="X5" s="109"/>
      <c r="Y5" s="4"/>
    </row>
    <row r="6" spans="1:26" ht="32.25" customHeight="1" x14ac:dyDescent="0.25">
      <c r="A6" s="26" t="s">
        <v>20</v>
      </c>
      <c r="B6" s="44" t="s">
        <v>102</v>
      </c>
      <c r="C6" s="44" t="s">
        <v>128</v>
      </c>
      <c r="D6" s="26"/>
      <c r="E6" s="27" t="s">
        <v>23</v>
      </c>
      <c r="F6" s="23" t="s">
        <v>5</v>
      </c>
      <c r="G6" s="23" t="s">
        <v>58</v>
      </c>
      <c r="H6" s="23" t="s">
        <v>27</v>
      </c>
      <c r="I6" s="28" t="s">
        <v>26</v>
      </c>
      <c r="J6" s="25" t="s">
        <v>31</v>
      </c>
      <c r="K6" s="25" t="s">
        <v>11</v>
      </c>
      <c r="L6" s="25" t="s">
        <v>33</v>
      </c>
      <c r="M6" s="25" t="s">
        <v>35</v>
      </c>
      <c r="N6" s="25" t="s">
        <v>36</v>
      </c>
      <c r="O6" s="25" t="s">
        <v>13</v>
      </c>
      <c r="P6" s="25" t="s">
        <v>9</v>
      </c>
      <c r="Q6" s="28" t="s">
        <v>39</v>
      </c>
      <c r="R6" s="28" t="s">
        <v>40</v>
      </c>
      <c r="S6" s="26" t="s">
        <v>30</v>
      </c>
      <c r="T6" s="23" t="s">
        <v>451</v>
      </c>
      <c r="U6" s="23" t="s">
        <v>56</v>
      </c>
      <c r="V6" s="23" t="s">
        <v>6</v>
      </c>
      <c r="W6" s="26" t="s">
        <v>3</v>
      </c>
      <c r="X6" s="36" t="s">
        <v>57</v>
      </c>
      <c r="Y6" s="4"/>
    </row>
    <row r="7" spans="1:26" x14ac:dyDescent="0.25">
      <c r="A7" s="29"/>
      <c r="B7" s="26"/>
      <c r="C7" s="26"/>
      <c r="D7" s="26"/>
      <c r="E7" s="26"/>
      <c r="F7" s="26" t="s">
        <v>46</v>
      </c>
      <c r="G7" s="26" t="s">
        <v>59</v>
      </c>
      <c r="H7" s="26" t="s">
        <v>28</v>
      </c>
      <c r="I7" s="28" t="s">
        <v>42</v>
      </c>
      <c r="J7" s="24" t="s">
        <v>32</v>
      </c>
      <c r="K7" s="24" t="s">
        <v>12</v>
      </c>
      <c r="L7" s="24" t="s">
        <v>34</v>
      </c>
      <c r="M7" s="24" t="s">
        <v>34</v>
      </c>
      <c r="N7" s="24" t="s">
        <v>37</v>
      </c>
      <c r="O7" s="24" t="s">
        <v>14</v>
      </c>
      <c r="P7" s="24" t="s">
        <v>38</v>
      </c>
      <c r="Q7" s="28" t="s">
        <v>18</v>
      </c>
      <c r="R7" s="31" t="s">
        <v>142</v>
      </c>
      <c r="S7" s="26" t="s">
        <v>51</v>
      </c>
      <c r="T7" s="26"/>
      <c r="U7" s="26"/>
      <c r="V7" s="26" t="s">
        <v>43</v>
      </c>
      <c r="W7" s="26" t="s">
        <v>4</v>
      </c>
      <c r="X7" s="110"/>
      <c r="Y7" s="4"/>
    </row>
    <row r="8" spans="1:26" ht="28.5" customHeight="1" x14ac:dyDescent="0.25">
      <c r="A8" s="39"/>
      <c r="B8" s="108"/>
      <c r="C8" s="108"/>
      <c r="D8" s="37" t="s">
        <v>61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99"/>
      <c r="Y8" s="4"/>
    </row>
    <row r="9" spans="1:26" ht="77.099999999999994" customHeight="1" x14ac:dyDescent="0.3">
      <c r="A9" s="116" t="s">
        <v>84</v>
      </c>
      <c r="B9" s="177" t="s">
        <v>151</v>
      </c>
      <c r="C9" s="177" t="s">
        <v>127</v>
      </c>
      <c r="D9" s="178" t="s">
        <v>66</v>
      </c>
      <c r="E9" s="180">
        <v>15</v>
      </c>
      <c r="F9" s="182">
        <v>10293</v>
      </c>
      <c r="G9" s="183">
        <v>0</v>
      </c>
      <c r="H9" s="184">
        <f t="shared" ref="H9:H14" si="0">SUM(F9:G9)</f>
        <v>10293</v>
      </c>
      <c r="I9" s="185">
        <f t="shared" ref="I9:I16" si="1">IF(F9/15&lt;=SMG,0,G9/2)</f>
        <v>0</v>
      </c>
      <c r="J9" s="185">
        <f t="shared" ref="J9" si="2">F9+I9</f>
        <v>10293</v>
      </c>
      <c r="K9" s="185">
        <f t="shared" ref="K9:K22" si="3">VLOOKUP(J9,Tarifa1,1)</f>
        <v>7641.91</v>
      </c>
      <c r="L9" s="185">
        <f>J9-K9</f>
        <v>2651.09</v>
      </c>
      <c r="M9" s="186">
        <f t="shared" ref="M9:M22" si="4">VLOOKUP(J9,Tarifa1,3)</f>
        <v>0.21360000000000001</v>
      </c>
      <c r="N9" s="185">
        <f>L9*M9</f>
        <v>566.27282400000001</v>
      </c>
      <c r="O9" s="187">
        <f t="shared" ref="O9:O22" si="5">VLOOKUP(J9,Tarifa1,2)</f>
        <v>809.25</v>
      </c>
      <c r="P9" s="185">
        <f>N9+O9</f>
        <v>1375.5228240000001</v>
      </c>
      <c r="Q9" s="185">
        <f t="shared" ref="Q9:Q22" si="6">VLOOKUP(J9,Credito1,2)</f>
        <v>0</v>
      </c>
      <c r="R9" s="185">
        <f>ROUND(P9-Q9,2)</f>
        <v>1375.52</v>
      </c>
      <c r="S9" s="184">
        <f>-IF(R9&gt;0,0,R9)</f>
        <v>0</v>
      </c>
      <c r="T9" s="184">
        <f t="shared" ref="T9:T22" si="7">IF(F9/15&lt;=SMG,0,IF(R9&lt;0,0,R9))</f>
        <v>1375.52</v>
      </c>
      <c r="U9" s="188">
        <v>1500</v>
      </c>
      <c r="V9" s="184">
        <f t="shared" ref="V9:V10" si="8">SUM(T9:U9)</f>
        <v>2875.52</v>
      </c>
      <c r="W9" s="184">
        <f>H9+S9-V9</f>
        <v>7417.48</v>
      </c>
      <c r="X9" s="89"/>
      <c r="Y9" s="4"/>
    </row>
    <row r="10" spans="1:26" s="94" customFormat="1" ht="77.099999999999994" customHeight="1" x14ac:dyDescent="0.3">
      <c r="A10" s="116"/>
      <c r="B10" s="177" t="s">
        <v>225</v>
      </c>
      <c r="C10" s="177" t="s">
        <v>127</v>
      </c>
      <c r="D10" s="178" t="s">
        <v>80</v>
      </c>
      <c r="E10" s="180">
        <v>15</v>
      </c>
      <c r="F10" s="182">
        <v>8409</v>
      </c>
      <c r="G10" s="183">
        <v>0</v>
      </c>
      <c r="H10" s="184">
        <f t="shared" si="0"/>
        <v>8409</v>
      </c>
      <c r="I10" s="185">
        <f t="shared" si="1"/>
        <v>0</v>
      </c>
      <c r="J10" s="185">
        <f t="shared" ref="J10:J16" si="9">F10+I10</f>
        <v>8409</v>
      </c>
      <c r="K10" s="185">
        <f t="shared" si="3"/>
        <v>7641.91</v>
      </c>
      <c r="L10" s="185">
        <f t="shared" ref="L10:L22" si="10">J10-K10</f>
        <v>767.09000000000015</v>
      </c>
      <c r="M10" s="186">
        <f t="shared" si="4"/>
        <v>0.21360000000000001</v>
      </c>
      <c r="N10" s="185">
        <f t="shared" ref="N10:N22" si="11">L10*M10</f>
        <v>163.85042400000003</v>
      </c>
      <c r="O10" s="187">
        <f t="shared" si="5"/>
        <v>809.25</v>
      </c>
      <c r="P10" s="185">
        <f t="shared" ref="P10:P22" si="12">N10+O10</f>
        <v>973.10042399999998</v>
      </c>
      <c r="Q10" s="185">
        <f t="shared" si="6"/>
        <v>0</v>
      </c>
      <c r="R10" s="185">
        <f t="shared" ref="R10:R22" si="13">ROUND(P10-Q10,2)</f>
        <v>973.1</v>
      </c>
      <c r="S10" s="184">
        <f t="shared" ref="S10:S22" si="14">-IF(R10&gt;0,0,R10)</f>
        <v>0</v>
      </c>
      <c r="T10" s="184">
        <f t="shared" si="7"/>
        <v>973.1</v>
      </c>
      <c r="U10" s="188">
        <v>1500</v>
      </c>
      <c r="V10" s="184">
        <f t="shared" si="8"/>
        <v>2473.1</v>
      </c>
      <c r="W10" s="184">
        <f t="shared" ref="W10:W14" si="15">H10+S10-V10</f>
        <v>5935.9</v>
      </c>
      <c r="X10" s="89"/>
      <c r="Y10" s="4"/>
    </row>
    <row r="11" spans="1:26" s="94" customFormat="1" ht="77.099999999999994" customHeight="1" x14ac:dyDescent="0.3">
      <c r="A11" s="229"/>
      <c r="B11" s="177" t="s">
        <v>212</v>
      </c>
      <c r="C11" s="177" t="s">
        <v>127</v>
      </c>
      <c r="D11" s="179" t="s">
        <v>80</v>
      </c>
      <c r="E11" s="180">
        <v>15</v>
      </c>
      <c r="F11" s="182">
        <v>8409</v>
      </c>
      <c r="G11" s="183">
        <v>0</v>
      </c>
      <c r="H11" s="184">
        <f t="shared" ref="H11" si="16">SUM(F11:G11)</f>
        <v>8409</v>
      </c>
      <c r="I11" s="185">
        <f t="shared" ref="I11" si="17">IF(F11/15&lt;=SMG,0,G11/2)</f>
        <v>0</v>
      </c>
      <c r="J11" s="185">
        <f t="shared" ref="J11" si="18">F11+I11</f>
        <v>8409</v>
      </c>
      <c r="K11" s="185">
        <f t="shared" si="3"/>
        <v>7641.91</v>
      </c>
      <c r="L11" s="185">
        <f t="shared" si="10"/>
        <v>767.09000000000015</v>
      </c>
      <c r="M11" s="186">
        <f t="shared" si="4"/>
        <v>0.21360000000000001</v>
      </c>
      <c r="N11" s="185">
        <f t="shared" si="11"/>
        <v>163.85042400000003</v>
      </c>
      <c r="O11" s="187">
        <f t="shared" si="5"/>
        <v>809.25</v>
      </c>
      <c r="P11" s="185">
        <f t="shared" si="12"/>
        <v>973.10042399999998</v>
      </c>
      <c r="Q11" s="185">
        <f t="shared" si="6"/>
        <v>0</v>
      </c>
      <c r="R11" s="185">
        <f t="shared" si="13"/>
        <v>973.1</v>
      </c>
      <c r="S11" s="184">
        <f t="shared" si="14"/>
        <v>0</v>
      </c>
      <c r="T11" s="184">
        <f t="shared" si="7"/>
        <v>973.1</v>
      </c>
      <c r="U11" s="188">
        <v>0</v>
      </c>
      <c r="V11" s="184">
        <f t="shared" ref="V11" si="19">SUM(T11:U11)</f>
        <v>973.1</v>
      </c>
      <c r="W11" s="184">
        <f t="shared" ref="W11" si="20">H11+S11-V11</f>
        <v>7435.9</v>
      </c>
      <c r="X11" s="89"/>
      <c r="Y11" s="4"/>
    </row>
    <row r="12" spans="1:26" s="94" customFormat="1" ht="77.099999999999994" customHeight="1" x14ac:dyDescent="0.3">
      <c r="A12" s="229"/>
      <c r="B12" s="177" t="s">
        <v>220</v>
      </c>
      <c r="C12" s="177" t="s">
        <v>127</v>
      </c>
      <c r="D12" s="179" t="s">
        <v>405</v>
      </c>
      <c r="E12" s="180">
        <v>15</v>
      </c>
      <c r="F12" s="182">
        <v>8016</v>
      </c>
      <c r="G12" s="183">
        <v>0</v>
      </c>
      <c r="H12" s="184">
        <f t="shared" ref="H12" si="21">SUM(F12:G12)</f>
        <v>8016</v>
      </c>
      <c r="I12" s="185">
        <f t="shared" ref="I12" si="22">IF(F12/15&lt;=SMG,0,G12/2)</f>
        <v>0</v>
      </c>
      <c r="J12" s="185">
        <f t="shared" ref="J12" si="23">F12+I12</f>
        <v>8016</v>
      </c>
      <c r="K12" s="185">
        <f t="shared" si="3"/>
        <v>7641.91</v>
      </c>
      <c r="L12" s="185">
        <f t="shared" si="10"/>
        <v>374.09000000000015</v>
      </c>
      <c r="M12" s="186">
        <f t="shared" si="4"/>
        <v>0.21360000000000001</v>
      </c>
      <c r="N12" s="185">
        <f t="shared" si="11"/>
        <v>79.905624000000032</v>
      </c>
      <c r="O12" s="187">
        <f t="shared" si="5"/>
        <v>809.25</v>
      </c>
      <c r="P12" s="185">
        <f t="shared" si="12"/>
        <v>889.15562399999999</v>
      </c>
      <c r="Q12" s="185">
        <f t="shared" si="6"/>
        <v>0</v>
      </c>
      <c r="R12" s="185">
        <f t="shared" si="13"/>
        <v>889.16</v>
      </c>
      <c r="S12" s="184">
        <f t="shared" si="14"/>
        <v>0</v>
      </c>
      <c r="T12" s="184">
        <f t="shared" si="7"/>
        <v>889.16</v>
      </c>
      <c r="U12" s="188">
        <v>0</v>
      </c>
      <c r="V12" s="184">
        <f t="shared" ref="V12" si="24">SUM(T12:U12)</f>
        <v>889.16</v>
      </c>
      <c r="W12" s="184">
        <f t="shared" ref="W12" si="25">H12+S12-V12</f>
        <v>7126.84</v>
      </c>
      <c r="X12" s="89"/>
      <c r="Y12" s="4"/>
    </row>
    <row r="13" spans="1:26" s="94" customFormat="1" ht="77.099999999999994" customHeight="1" x14ac:dyDescent="0.3">
      <c r="A13" s="229"/>
      <c r="B13" s="177" t="s">
        <v>268</v>
      </c>
      <c r="C13" s="177" t="s">
        <v>127</v>
      </c>
      <c r="D13" s="179" t="s">
        <v>405</v>
      </c>
      <c r="E13" s="180">
        <v>15</v>
      </c>
      <c r="F13" s="182">
        <v>8016</v>
      </c>
      <c r="G13" s="183">
        <v>0</v>
      </c>
      <c r="H13" s="184">
        <f t="shared" ref="H13" si="26">SUM(F13:G13)</f>
        <v>8016</v>
      </c>
      <c r="I13" s="185">
        <f t="shared" ref="I13" si="27">IF(F13/15&lt;=SMG,0,G13/2)</f>
        <v>0</v>
      </c>
      <c r="J13" s="185">
        <f t="shared" ref="J13" si="28">F13+I13</f>
        <v>8016</v>
      </c>
      <c r="K13" s="185">
        <f t="shared" si="3"/>
        <v>7641.91</v>
      </c>
      <c r="L13" s="185">
        <f t="shared" si="10"/>
        <v>374.09000000000015</v>
      </c>
      <c r="M13" s="186">
        <f t="shared" si="4"/>
        <v>0.21360000000000001</v>
      </c>
      <c r="N13" s="185">
        <f t="shared" si="11"/>
        <v>79.905624000000032</v>
      </c>
      <c r="O13" s="187">
        <f t="shared" si="5"/>
        <v>809.25</v>
      </c>
      <c r="P13" s="185">
        <f t="shared" si="12"/>
        <v>889.15562399999999</v>
      </c>
      <c r="Q13" s="185">
        <f t="shared" si="6"/>
        <v>0</v>
      </c>
      <c r="R13" s="185">
        <f t="shared" si="13"/>
        <v>889.16</v>
      </c>
      <c r="S13" s="184">
        <f t="shared" si="14"/>
        <v>0</v>
      </c>
      <c r="T13" s="184">
        <f t="shared" si="7"/>
        <v>889.16</v>
      </c>
      <c r="U13" s="188">
        <v>0</v>
      </c>
      <c r="V13" s="184">
        <f t="shared" ref="V13" si="29">SUM(T13:U13)</f>
        <v>889.16</v>
      </c>
      <c r="W13" s="184">
        <f t="shared" ref="W13" si="30">H13+S13-V13</f>
        <v>7126.84</v>
      </c>
      <c r="X13" s="89"/>
      <c r="Y13" s="4"/>
    </row>
    <row r="14" spans="1:26" s="94" customFormat="1" ht="77.099999999999994" customHeight="1" x14ac:dyDescent="0.3">
      <c r="A14" s="229"/>
      <c r="B14" s="177" t="s">
        <v>108</v>
      </c>
      <c r="C14" s="177" t="s">
        <v>127</v>
      </c>
      <c r="D14" s="178" t="s">
        <v>81</v>
      </c>
      <c r="E14" s="180">
        <v>15</v>
      </c>
      <c r="F14" s="182">
        <v>7623</v>
      </c>
      <c r="G14" s="183">
        <v>0</v>
      </c>
      <c r="H14" s="184">
        <f t="shared" si="0"/>
        <v>7623</v>
      </c>
      <c r="I14" s="185">
        <f t="shared" si="1"/>
        <v>0</v>
      </c>
      <c r="J14" s="185">
        <f t="shared" si="9"/>
        <v>7623</v>
      </c>
      <c r="K14" s="185">
        <f t="shared" si="3"/>
        <v>6382.81</v>
      </c>
      <c r="L14" s="185">
        <f t="shared" si="10"/>
        <v>1240.1899999999996</v>
      </c>
      <c r="M14" s="186">
        <f t="shared" si="4"/>
        <v>0.1792</v>
      </c>
      <c r="N14" s="185">
        <f t="shared" si="11"/>
        <v>222.24204799999993</v>
      </c>
      <c r="O14" s="187">
        <f t="shared" si="5"/>
        <v>583.65</v>
      </c>
      <c r="P14" s="185">
        <f t="shared" si="12"/>
        <v>805.89204799999993</v>
      </c>
      <c r="Q14" s="185">
        <f t="shared" si="6"/>
        <v>0</v>
      </c>
      <c r="R14" s="185">
        <f t="shared" si="13"/>
        <v>805.89</v>
      </c>
      <c r="S14" s="184">
        <f t="shared" si="14"/>
        <v>0</v>
      </c>
      <c r="T14" s="184">
        <f t="shared" si="7"/>
        <v>805.89</v>
      </c>
      <c r="U14" s="188">
        <v>0</v>
      </c>
      <c r="V14" s="184">
        <f t="shared" ref="V14" si="31">SUM(T14:U14)</f>
        <v>805.89</v>
      </c>
      <c r="W14" s="184">
        <f t="shared" si="15"/>
        <v>6817.11</v>
      </c>
      <c r="X14" s="90"/>
      <c r="Y14" s="4"/>
    </row>
    <row r="15" spans="1:26" ht="77.099999999999994" customHeight="1" x14ac:dyDescent="0.3">
      <c r="A15" s="229"/>
      <c r="B15" s="177" t="s">
        <v>231</v>
      </c>
      <c r="C15" s="177" t="s">
        <v>127</v>
      </c>
      <c r="D15" s="178" t="s">
        <v>81</v>
      </c>
      <c r="E15" s="232">
        <v>15</v>
      </c>
      <c r="F15" s="182">
        <v>7623</v>
      </c>
      <c r="G15" s="183">
        <v>0</v>
      </c>
      <c r="H15" s="184">
        <f t="shared" ref="H15" si="32">SUM(F15:G15)</f>
        <v>7623</v>
      </c>
      <c r="I15" s="185">
        <f t="shared" si="1"/>
        <v>0</v>
      </c>
      <c r="J15" s="185">
        <f t="shared" si="9"/>
        <v>7623</v>
      </c>
      <c r="K15" s="185">
        <f t="shared" si="3"/>
        <v>6382.81</v>
      </c>
      <c r="L15" s="185">
        <f t="shared" si="10"/>
        <v>1240.1899999999996</v>
      </c>
      <c r="M15" s="186">
        <f t="shared" si="4"/>
        <v>0.1792</v>
      </c>
      <c r="N15" s="185">
        <f t="shared" si="11"/>
        <v>222.24204799999993</v>
      </c>
      <c r="O15" s="187">
        <f t="shared" si="5"/>
        <v>583.65</v>
      </c>
      <c r="P15" s="185">
        <f t="shared" si="12"/>
        <v>805.89204799999993</v>
      </c>
      <c r="Q15" s="185">
        <f t="shared" si="6"/>
        <v>0</v>
      </c>
      <c r="R15" s="185">
        <f t="shared" si="13"/>
        <v>805.89</v>
      </c>
      <c r="S15" s="184">
        <f t="shared" si="14"/>
        <v>0</v>
      </c>
      <c r="T15" s="184">
        <f t="shared" si="7"/>
        <v>805.89</v>
      </c>
      <c r="U15" s="188">
        <v>0</v>
      </c>
      <c r="V15" s="184">
        <f t="shared" ref="V15" si="33">SUM(T15:U15)</f>
        <v>805.89</v>
      </c>
      <c r="W15" s="184">
        <f t="shared" ref="W15" si="34">H15+S15-V15</f>
        <v>6817.11</v>
      </c>
      <c r="X15" s="90"/>
      <c r="Y15" s="4"/>
    </row>
    <row r="16" spans="1:26" ht="77.099999999999994" customHeight="1" x14ac:dyDescent="0.3">
      <c r="A16" s="229"/>
      <c r="B16" s="177" t="s">
        <v>236</v>
      </c>
      <c r="C16" s="177" t="s">
        <v>127</v>
      </c>
      <c r="D16" s="178" t="s">
        <v>81</v>
      </c>
      <c r="E16" s="180">
        <v>15</v>
      </c>
      <c r="F16" s="182">
        <v>7623</v>
      </c>
      <c r="G16" s="183">
        <v>0</v>
      </c>
      <c r="H16" s="184">
        <f t="shared" ref="H16" si="35">SUM(F16:G16)</f>
        <v>7623</v>
      </c>
      <c r="I16" s="185">
        <f t="shared" si="1"/>
        <v>0</v>
      </c>
      <c r="J16" s="185">
        <f t="shared" si="9"/>
        <v>7623</v>
      </c>
      <c r="K16" s="185">
        <f t="shared" si="3"/>
        <v>6382.81</v>
      </c>
      <c r="L16" s="185">
        <f t="shared" si="10"/>
        <v>1240.1899999999996</v>
      </c>
      <c r="M16" s="186">
        <f t="shared" si="4"/>
        <v>0.1792</v>
      </c>
      <c r="N16" s="185">
        <f t="shared" si="11"/>
        <v>222.24204799999993</v>
      </c>
      <c r="O16" s="187">
        <f t="shared" si="5"/>
        <v>583.65</v>
      </c>
      <c r="P16" s="185">
        <f t="shared" si="12"/>
        <v>805.89204799999993</v>
      </c>
      <c r="Q16" s="185">
        <f t="shared" si="6"/>
        <v>0</v>
      </c>
      <c r="R16" s="185">
        <f t="shared" si="13"/>
        <v>805.89</v>
      </c>
      <c r="S16" s="184">
        <f t="shared" si="14"/>
        <v>0</v>
      </c>
      <c r="T16" s="184">
        <f t="shared" si="7"/>
        <v>805.89</v>
      </c>
      <c r="U16" s="188">
        <v>0</v>
      </c>
      <c r="V16" s="184">
        <f t="shared" ref="V16" si="36">SUM(T16:U16)</f>
        <v>805.89</v>
      </c>
      <c r="W16" s="184">
        <f t="shared" ref="W16" si="37">H16+S16-V16</f>
        <v>6817.11</v>
      </c>
      <c r="X16" s="90"/>
      <c r="Y16" s="4"/>
    </row>
    <row r="17" spans="1:25" ht="77.099999999999994" customHeight="1" x14ac:dyDescent="0.3">
      <c r="A17" s="229"/>
      <c r="B17" s="177" t="s">
        <v>254</v>
      </c>
      <c r="C17" s="177" t="s">
        <v>127</v>
      </c>
      <c r="D17" s="178" t="s">
        <v>81</v>
      </c>
      <c r="E17" s="180"/>
      <c r="F17" s="182">
        <v>7623</v>
      </c>
      <c r="G17" s="183">
        <v>0</v>
      </c>
      <c r="H17" s="184">
        <f t="shared" ref="H17" si="38">SUM(F17:G17)</f>
        <v>7623</v>
      </c>
      <c r="I17" s="185">
        <f t="shared" ref="I17:I21" si="39">IF(F17/15&lt;=SMG,0,G17/2)</f>
        <v>0</v>
      </c>
      <c r="J17" s="185">
        <f t="shared" ref="J17" si="40">F17+I17</f>
        <v>7623</v>
      </c>
      <c r="K17" s="185">
        <f t="shared" si="3"/>
        <v>6382.81</v>
      </c>
      <c r="L17" s="185">
        <f t="shared" si="10"/>
        <v>1240.1899999999996</v>
      </c>
      <c r="M17" s="186">
        <f t="shared" si="4"/>
        <v>0.1792</v>
      </c>
      <c r="N17" s="185">
        <f t="shared" si="11"/>
        <v>222.24204799999993</v>
      </c>
      <c r="O17" s="187">
        <f t="shared" si="5"/>
        <v>583.65</v>
      </c>
      <c r="P17" s="185">
        <f t="shared" si="12"/>
        <v>805.89204799999993</v>
      </c>
      <c r="Q17" s="185">
        <f t="shared" si="6"/>
        <v>0</v>
      </c>
      <c r="R17" s="185">
        <f t="shared" si="13"/>
        <v>805.89</v>
      </c>
      <c r="S17" s="184">
        <f t="shared" si="14"/>
        <v>0</v>
      </c>
      <c r="T17" s="184">
        <f t="shared" si="7"/>
        <v>805.89</v>
      </c>
      <c r="U17" s="188">
        <v>0</v>
      </c>
      <c r="V17" s="184">
        <f t="shared" ref="V17" si="41">SUM(T17:U17)</f>
        <v>805.89</v>
      </c>
      <c r="W17" s="184">
        <f t="shared" ref="W17" si="42">H17+S17-V17</f>
        <v>6817.11</v>
      </c>
      <c r="X17" s="90"/>
      <c r="Y17" s="4"/>
    </row>
    <row r="18" spans="1:25" ht="77.099999999999994" customHeight="1" x14ac:dyDescent="0.3">
      <c r="A18" s="229"/>
      <c r="B18" s="177" t="s">
        <v>401</v>
      </c>
      <c r="C18" s="177" t="s">
        <v>127</v>
      </c>
      <c r="D18" s="178" t="s">
        <v>81</v>
      </c>
      <c r="E18" s="180"/>
      <c r="F18" s="182">
        <v>7623</v>
      </c>
      <c r="G18" s="183">
        <v>0</v>
      </c>
      <c r="H18" s="184">
        <f t="shared" ref="H18:H21" si="43">SUM(F18:G18)</f>
        <v>7623</v>
      </c>
      <c r="I18" s="185">
        <f t="shared" si="39"/>
        <v>0</v>
      </c>
      <c r="J18" s="185">
        <f t="shared" ref="J18:J21" si="44">F18+I18</f>
        <v>7623</v>
      </c>
      <c r="K18" s="185">
        <f t="shared" si="3"/>
        <v>6382.81</v>
      </c>
      <c r="L18" s="185">
        <f t="shared" si="10"/>
        <v>1240.1899999999996</v>
      </c>
      <c r="M18" s="186">
        <f t="shared" si="4"/>
        <v>0.1792</v>
      </c>
      <c r="N18" s="185">
        <f t="shared" si="11"/>
        <v>222.24204799999993</v>
      </c>
      <c r="O18" s="187">
        <f t="shared" si="5"/>
        <v>583.65</v>
      </c>
      <c r="P18" s="185">
        <f t="shared" si="12"/>
        <v>805.89204799999993</v>
      </c>
      <c r="Q18" s="185">
        <f t="shared" si="6"/>
        <v>0</v>
      </c>
      <c r="R18" s="185">
        <f t="shared" si="13"/>
        <v>805.89</v>
      </c>
      <c r="S18" s="184">
        <f t="shared" si="14"/>
        <v>0</v>
      </c>
      <c r="T18" s="184">
        <f t="shared" si="7"/>
        <v>805.89</v>
      </c>
      <c r="U18" s="188">
        <v>0</v>
      </c>
      <c r="V18" s="184">
        <f t="shared" ref="V18:V20" si="45">SUM(T18:U18)</f>
        <v>805.89</v>
      </c>
      <c r="W18" s="184">
        <f t="shared" ref="W18:W21" si="46">H18+S18-V18</f>
        <v>6817.11</v>
      </c>
      <c r="X18" s="90"/>
      <c r="Y18" s="4"/>
    </row>
    <row r="19" spans="1:25" ht="77.099999999999994" customHeight="1" x14ac:dyDescent="0.3">
      <c r="A19" s="229"/>
      <c r="B19" s="177" t="s">
        <v>402</v>
      </c>
      <c r="C19" s="177" t="s">
        <v>127</v>
      </c>
      <c r="D19" s="178" t="s">
        <v>81</v>
      </c>
      <c r="E19" s="180"/>
      <c r="F19" s="182">
        <v>7623</v>
      </c>
      <c r="G19" s="183">
        <v>0</v>
      </c>
      <c r="H19" s="184">
        <f t="shared" si="43"/>
        <v>7623</v>
      </c>
      <c r="I19" s="185">
        <f t="shared" si="39"/>
        <v>0</v>
      </c>
      <c r="J19" s="185">
        <f t="shared" si="44"/>
        <v>7623</v>
      </c>
      <c r="K19" s="185">
        <f t="shared" si="3"/>
        <v>6382.81</v>
      </c>
      <c r="L19" s="185">
        <f t="shared" si="10"/>
        <v>1240.1899999999996</v>
      </c>
      <c r="M19" s="186">
        <f t="shared" si="4"/>
        <v>0.1792</v>
      </c>
      <c r="N19" s="185">
        <f t="shared" si="11"/>
        <v>222.24204799999993</v>
      </c>
      <c r="O19" s="187">
        <f t="shared" si="5"/>
        <v>583.65</v>
      </c>
      <c r="P19" s="185">
        <f t="shared" si="12"/>
        <v>805.89204799999993</v>
      </c>
      <c r="Q19" s="185">
        <f t="shared" si="6"/>
        <v>0</v>
      </c>
      <c r="R19" s="185">
        <f t="shared" si="13"/>
        <v>805.89</v>
      </c>
      <c r="S19" s="184">
        <f t="shared" si="14"/>
        <v>0</v>
      </c>
      <c r="T19" s="184">
        <f t="shared" si="7"/>
        <v>805.89</v>
      </c>
      <c r="U19" s="188">
        <v>0</v>
      </c>
      <c r="V19" s="184">
        <f t="shared" si="45"/>
        <v>805.89</v>
      </c>
      <c r="W19" s="184">
        <f t="shared" si="46"/>
        <v>6817.11</v>
      </c>
      <c r="X19" s="90"/>
      <c r="Y19" s="4"/>
    </row>
    <row r="20" spans="1:25" ht="77.099999999999994" customHeight="1" x14ac:dyDescent="0.3">
      <c r="A20" s="229"/>
      <c r="B20" s="177" t="s">
        <v>406</v>
      </c>
      <c r="C20" s="177" t="s">
        <v>127</v>
      </c>
      <c r="D20" s="178" t="s">
        <v>81</v>
      </c>
      <c r="E20" s="180"/>
      <c r="F20" s="182">
        <v>7623</v>
      </c>
      <c r="G20" s="183">
        <v>0</v>
      </c>
      <c r="H20" s="184">
        <f t="shared" si="43"/>
        <v>7623</v>
      </c>
      <c r="I20" s="185">
        <f t="shared" si="39"/>
        <v>0</v>
      </c>
      <c r="J20" s="185">
        <f t="shared" si="44"/>
        <v>7623</v>
      </c>
      <c r="K20" s="185">
        <f t="shared" si="3"/>
        <v>6382.81</v>
      </c>
      <c r="L20" s="185">
        <f t="shared" si="10"/>
        <v>1240.1899999999996</v>
      </c>
      <c r="M20" s="186">
        <f t="shared" si="4"/>
        <v>0.1792</v>
      </c>
      <c r="N20" s="185">
        <f t="shared" si="11"/>
        <v>222.24204799999993</v>
      </c>
      <c r="O20" s="187">
        <f t="shared" si="5"/>
        <v>583.65</v>
      </c>
      <c r="P20" s="185">
        <f t="shared" si="12"/>
        <v>805.89204799999993</v>
      </c>
      <c r="Q20" s="185">
        <f t="shared" si="6"/>
        <v>0</v>
      </c>
      <c r="R20" s="185">
        <f t="shared" si="13"/>
        <v>805.89</v>
      </c>
      <c r="S20" s="184">
        <f t="shared" si="14"/>
        <v>0</v>
      </c>
      <c r="T20" s="184">
        <f t="shared" si="7"/>
        <v>805.89</v>
      </c>
      <c r="U20" s="188">
        <v>0</v>
      </c>
      <c r="V20" s="184">
        <f t="shared" si="45"/>
        <v>805.89</v>
      </c>
      <c r="W20" s="184">
        <f t="shared" si="46"/>
        <v>6817.11</v>
      </c>
      <c r="X20" s="90"/>
      <c r="Y20" s="4"/>
    </row>
    <row r="21" spans="1:25" ht="77.099999999999994" customHeight="1" x14ac:dyDescent="0.3">
      <c r="A21" s="229"/>
      <c r="B21" s="177" t="s">
        <v>429</v>
      </c>
      <c r="C21" s="177" t="s">
        <v>127</v>
      </c>
      <c r="D21" s="178" t="s">
        <v>81</v>
      </c>
      <c r="E21" s="180"/>
      <c r="F21" s="182">
        <v>7623</v>
      </c>
      <c r="G21" s="183">
        <v>0</v>
      </c>
      <c r="H21" s="184">
        <f t="shared" si="43"/>
        <v>7623</v>
      </c>
      <c r="I21" s="185">
        <f t="shared" si="39"/>
        <v>0</v>
      </c>
      <c r="J21" s="185">
        <f t="shared" si="44"/>
        <v>7623</v>
      </c>
      <c r="K21" s="185">
        <f t="shared" ref="K21" si="47">VLOOKUP(J21,Tarifa1,1)</f>
        <v>6382.81</v>
      </c>
      <c r="L21" s="185">
        <f t="shared" ref="L21" si="48">J21-K21</f>
        <v>1240.1899999999996</v>
      </c>
      <c r="M21" s="186">
        <f t="shared" ref="M21" si="49">VLOOKUP(J21,Tarifa1,3)</f>
        <v>0.1792</v>
      </c>
      <c r="N21" s="185">
        <f t="shared" ref="N21" si="50">L21*M21</f>
        <v>222.24204799999993</v>
      </c>
      <c r="O21" s="187">
        <f t="shared" ref="O21" si="51">VLOOKUP(J21,Tarifa1,2)</f>
        <v>583.65</v>
      </c>
      <c r="P21" s="185">
        <f t="shared" ref="P21" si="52">N21+O21</f>
        <v>805.89204799999993</v>
      </c>
      <c r="Q21" s="185">
        <f t="shared" ref="Q21" si="53">VLOOKUP(J21,Credito1,2)</f>
        <v>0</v>
      </c>
      <c r="R21" s="185">
        <f t="shared" ref="R21" si="54">ROUND(P21-Q21,2)</f>
        <v>805.89</v>
      </c>
      <c r="S21" s="184">
        <f t="shared" ref="S21" si="55">-IF(R21&gt;0,0,R21)</f>
        <v>0</v>
      </c>
      <c r="T21" s="184">
        <f t="shared" ref="T21" si="56">IF(F21/15&lt;=SMG,0,IF(R21&lt;0,0,R21))</f>
        <v>805.89</v>
      </c>
      <c r="U21" s="188">
        <v>0</v>
      </c>
      <c r="V21" s="184">
        <f t="shared" ref="V21" si="57">SUM(T21:U21)</f>
        <v>805.89</v>
      </c>
      <c r="W21" s="184">
        <f t="shared" si="46"/>
        <v>6817.11</v>
      </c>
      <c r="X21" s="90"/>
      <c r="Y21" s="4"/>
    </row>
    <row r="22" spans="1:25" ht="77.099999999999994" customHeight="1" x14ac:dyDescent="0.3">
      <c r="A22" s="229"/>
      <c r="B22" s="177" t="s">
        <v>455</v>
      </c>
      <c r="C22" s="177" t="s">
        <v>127</v>
      </c>
      <c r="D22" s="178" t="s">
        <v>81</v>
      </c>
      <c r="E22" s="180"/>
      <c r="F22" s="182">
        <v>7623</v>
      </c>
      <c r="G22" s="183">
        <v>0</v>
      </c>
      <c r="H22" s="184">
        <f t="shared" ref="H22" si="58">SUM(F22:G22)</f>
        <v>7623</v>
      </c>
      <c r="I22" s="185">
        <f t="shared" ref="I22" si="59">IF(F22/15&lt;=SMG,0,G22/2)</f>
        <v>0</v>
      </c>
      <c r="J22" s="185">
        <f t="shared" ref="J22" si="60">F22+I22</f>
        <v>7623</v>
      </c>
      <c r="K22" s="185">
        <f t="shared" si="3"/>
        <v>6382.81</v>
      </c>
      <c r="L22" s="185">
        <f t="shared" si="10"/>
        <v>1240.1899999999996</v>
      </c>
      <c r="M22" s="186">
        <f t="shared" si="4"/>
        <v>0.1792</v>
      </c>
      <c r="N22" s="185">
        <f t="shared" si="11"/>
        <v>222.24204799999993</v>
      </c>
      <c r="O22" s="187">
        <f t="shared" si="5"/>
        <v>583.65</v>
      </c>
      <c r="P22" s="185">
        <f t="shared" si="12"/>
        <v>805.89204799999993</v>
      </c>
      <c r="Q22" s="185">
        <f t="shared" si="6"/>
        <v>0</v>
      </c>
      <c r="R22" s="185">
        <f t="shared" si="13"/>
        <v>805.89</v>
      </c>
      <c r="S22" s="184">
        <f t="shared" si="14"/>
        <v>0</v>
      </c>
      <c r="T22" s="184">
        <f t="shared" si="7"/>
        <v>805.89</v>
      </c>
      <c r="U22" s="188">
        <v>0</v>
      </c>
      <c r="V22" s="184">
        <f t="shared" ref="V22" si="61">SUM(T22:U22)</f>
        <v>805.89</v>
      </c>
      <c r="W22" s="184">
        <f t="shared" ref="W22" si="62">H22+S22-V22</f>
        <v>6817.11</v>
      </c>
      <c r="X22" s="90"/>
      <c r="Y22" s="4"/>
    </row>
    <row r="23" spans="1:25" ht="29.25" customHeight="1" thickBot="1" x14ac:dyDescent="0.35">
      <c r="A23" s="280" t="s">
        <v>44</v>
      </c>
      <c r="B23" s="281"/>
      <c r="C23" s="281"/>
      <c r="D23" s="281"/>
      <c r="E23" s="281"/>
      <c r="F23" s="191">
        <f>SUM(F9:F22)</f>
        <v>111750</v>
      </c>
      <c r="G23" s="191">
        <f>SUM(G9:G22)</f>
        <v>0</v>
      </c>
      <c r="H23" s="191">
        <f>SUM(H9:H22)</f>
        <v>111750</v>
      </c>
      <c r="I23" s="192">
        <f t="shared" ref="I23:R23" si="63">SUM(I9:I14)</f>
        <v>0</v>
      </c>
      <c r="J23" s="192">
        <f t="shared" si="63"/>
        <v>50766</v>
      </c>
      <c r="K23" s="192">
        <f t="shared" si="63"/>
        <v>44592.36</v>
      </c>
      <c r="L23" s="192">
        <f t="shared" si="63"/>
        <v>6173.64</v>
      </c>
      <c r="M23" s="192">
        <f t="shared" si="63"/>
        <v>1.2472000000000001</v>
      </c>
      <c r="N23" s="192">
        <f t="shared" si="63"/>
        <v>1276.0269679999999</v>
      </c>
      <c r="O23" s="192">
        <f t="shared" si="63"/>
        <v>4629.8999999999996</v>
      </c>
      <c r="P23" s="192">
        <f t="shared" si="63"/>
        <v>5905.9269679999998</v>
      </c>
      <c r="Q23" s="192">
        <f t="shared" si="63"/>
        <v>0</v>
      </c>
      <c r="R23" s="192">
        <f t="shared" si="63"/>
        <v>5905.93</v>
      </c>
      <c r="S23" s="191">
        <f>SUM(S9:S22)</f>
        <v>0</v>
      </c>
      <c r="T23" s="191">
        <f>SUM(T9:T22)</f>
        <v>12353.049999999997</v>
      </c>
      <c r="U23" s="191">
        <f>SUM(U9:U22)</f>
        <v>3000</v>
      </c>
      <c r="V23" s="191">
        <f>SUM(V9:V22)</f>
        <v>15353.049999999996</v>
      </c>
      <c r="W23" s="191">
        <f>SUM(W9:W22)</f>
        <v>96396.95</v>
      </c>
      <c r="X23" s="4"/>
      <c r="Y23" s="4"/>
    </row>
    <row r="24" spans="1:25" ht="13.8" thickTop="1" x14ac:dyDescent="0.25"/>
  </sheetData>
  <mergeCells count="7">
    <mergeCell ref="A23:E23"/>
    <mergeCell ref="A1:X1"/>
    <mergeCell ref="A2:X2"/>
    <mergeCell ref="F5:H5"/>
    <mergeCell ref="K5:P5"/>
    <mergeCell ref="T5:V5"/>
    <mergeCell ref="B3:X3"/>
  </mergeCells>
  <pageMargins left="0.27559055118110237" right="0.27559055118110237" top="0.39370078740157483" bottom="7.874015748031496E-2" header="0.31496062992125984" footer="0.31496062992125984"/>
  <pageSetup scale="4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B18" zoomScale="73" zoomScaleNormal="73" workbookViewId="0">
      <selection activeCell="B25" sqref="A25:XFD30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34.88671875" style="67" customWidth="1"/>
    <col min="5" max="5" width="24.33203125" style="67" customWidth="1"/>
    <col min="6" max="6" width="33.33203125" style="67" customWidth="1"/>
    <col min="7" max="7" width="19.5546875" style="67" customWidth="1"/>
    <col min="8" max="8" width="6.5546875" style="67" hidden="1" customWidth="1"/>
    <col min="9" max="9" width="10" style="67" hidden="1" customWidth="1"/>
    <col min="10" max="10" width="16.33203125" style="67" customWidth="1"/>
    <col min="11" max="11" width="14" style="67" customWidth="1"/>
    <col min="12" max="12" width="15.6640625" style="67" customWidth="1"/>
    <col min="13" max="13" width="13.109375" style="67" hidden="1" customWidth="1"/>
    <col min="14" max="16" width="14.33203125" style="67" hidden="1" customWidth="1"/>
    <col min="17" max="18" width="13.109375" style="67" hidden="1" customWidth="1"/>
    <col min="19" max="19" width="10.5546875" style="67" hidden="1" customWidth="1"/>
    <col min="20" max="21" width="13.109375" style="67" hidden="1" customWidth="1"/>
    <col min="22" max="22" width="11.5546875" style="67" hidden="1" customWidth="1"/>
    <col min="23" max="23" width="9.6640625" style="67" customWidth="1"/>
    <col min="24" max="24" width="14.44140625" style="67" customWidth="1"/>
    <col min="25" max="25" width="13.33203125" style="67" customWidth="1"/>
    <col min="26" max="26" width="13" style="67" customWidth="1"/>
    <col min="27" max="27" width="15.88671875" style="67" customWidth="1"/>
    <col min="28" max="28" width="55.44140625" style="67" customWidth="1"/>
    <col min="29" max="16384" width="11.44140625" style="67"/>
  </cols>
  <sheetData>
    <row r="1" spans="1:28" ht="17.399999999999999" x14ac:dyDescent="0.3">
      <c r="A1" s="294" t="s">
        <v>78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16.2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x14ac:dyDescent="0.25">
      <c r="A6" s="68"/>
      <c r="B6" s="68"/>
      <c r="C6" s="68"/>
      <c r="D6" s="68"/>
      <c r="E6" s="68"/>
      <c r="F6" s="68"/>
      <c r="G6" s="68"/>
      <c r="H6" s="69" t="s">
        <v>22</v>
      </c>
      <c r="I6" s="69" t="s">
        <v>5</v>
      </c>
      <c r="J6" s="317" t="s">
        <v>1</v>
      </c>
      <c r="K6" s="318"/>
      <c r="L6" s="319"/>
      <c r="M6" s="70" t="s">
        <v>25</v>
      </c>
      <c r="N6" s="71"/>
      <c r="O6" s="320" t="s">
        <v>8</v>
      </c>
      <c r="P6" s="321"/>
      <c r="Q6" s="321"/>
      <c r="R6" s="321"/>
      <c r="S6" s="321"/>
      <c r="T6" s="322"/>
      <c r="U6" s="70" t="s">
        <v>29</v>
      </c>
      <c r="V6" s="70" t="s">
        <v>9</v>
      </c>
      <c r="W6" s="69" t="s">
        <v>52</v>
      </c>
      <c r="X6" s="323" t="s">
        <v>2</v>
      </c>
      <c r="Y6" s="324"/>
      <c r="Z6" s="325"/>
      <c r="AA6" s="69" t="s">
        <v>0</v>
      </c>
      <c r="AB6" s="72"/>
    </row>
    <row r="7" spans="1:28" ht="21" x14ac:dyDescent="0.25">
      <c r="A7" s="73" t="s">
        <v>20</v>
      </c>
      <c r="B7" s="74" t="s">
        <v>102</v>
      </c>
      <c r="C7" s="74" t="s">
        <v>128</v>
      </c>
      <c r="D7" s="73" t="s">
        <v>21</v>
      </c>
      <c r="E7" s="73"/>
      <c r="F7" s="73"/>
      <c r="G7" s="73"/>
      <c r="H7" s="75" t="s">
        <v>23</v>
      </c>
      <c r="I7" s="73" t="s">
        <v>24</v>
      </c>
      <c r="J7" s="69" t="s">
        <v>5</v>
      </c>
      <c r="K7" s="69" t="s">
        <v>58</v>
      </c>
      <c r="L7" s="69" t="s">
        <v>27</v>
      </c>
      <c r="M7" s="76" t="s">
        <v>26</v>
      </c>
      <c r="N7" s="71" t="s">
        <v>31</v>
      </c>
      <c r="O7" s="71" t="s">
        <v>11</v>
      </c>
      <c r="P7" s="71" t="s">
        <v>33</v>
      </c>
      <c r="Q7" s="71" t="s">
        <v>35</v>
      </c>
      <c r="R7" s="71" t="s">
        <v>36</v>
      </c>
      <c r="S7" s="71" t="s">
        <v>13</v>
      </c>
      <c r="T7" s="71" t="s">
        <v>9</v>
      </c>
      <c r="U7" s="76" t="s">
        <v>39</v>
      </c>
      <c r="V7" s="76" t="s">
        <v>40</v>
      </c>
      <c r="W7" s="73" t="s">
        <v>30</v>
      </c>
      <c r="X7" s="23" t="s">
        <v>451</v>
      </c>
      <c r="Y7" s="69" t="s">
        <v>56</v>
      </c>
      <c r="Z7" s="69" t="s">
        <v>6</v>
      </c>
      <c r="AA7" s="73" t="s">
        <v>3</v>
      </c>
      <c r="AB7" s="77" t="s">
        <v>57</v>
      </c>
    </row>
    <row r="8" spans="1:28" x14ac:dyDescent="0.25">
      <c r="A8" s="78"/>
      <c r="B8" s="73"/>
      <c r="C8" s="73"/>
      <c r="D8" s="73"/>
      <c r="E8" s="73"/>
      <c r="F8" s="73"/>
      <c r="G8" s="73"/>
      <c r="H8" s="73"/>
      <c r="I8" s="73"/>
      <c r="J8" s="73" t="s">
        <v>46</v>
      </c>
      <c r="K8" s="73" t="s">
        <v>59</v>
      </c>
      <c r="L8" s="73" t="s">
        <v>28</v>
      </c>
      <c r="M8" s="76" t="s">
        <v>42</v>
      </c>
      <c r="N8" s="70" t="s">
        <v>32</v>
      </c>
      <c r="O8" s="70" t="s">
        <v>12</v>
      </c>
      <c r="P8" s="70" t="s">
        <v>34</v>
      </c>
      <c r="Q8" s="70" t="s">
        <v>34</v>
      </c>
      <c r="R8" s="70" t="s">
        <v>37</v>
      </c>
      <c r="S8" s="70" t="s">
        <v>14</v>
      </c>
      <c r="T8" s="70" t="s">
        <v>38</v>
      </c>
      <c r="U8" s="76" t="s">
        <v>18</v>
      </c>
      <c r="V8" s="79" t="s">
        <v>142</v>
      </c>
      <c r="W8" s="73" t="s">
        <v>51</v>
      </c>
      <c r="X8" s="73"/>
      <c r="Y8" s="73"/>
      <c r="Z8" s="73" t="s">
        <v>43</v>
      </c>
      <c r="AA8" s="73" t="s">
        <v>4</v>
      </c>
      <c r="AB8" s="80"/>
    </row>
    <row r="9" spans="1:28" ht="34.799999999999997" x14ac:dyDescent="0.3">
      <c r="A9" s="81"/>
      <c r="B9" s="82"/>
      <c r="C9" s="82"/>
      <c r="D9" s="233" t="s">
        <v>150</v>
      </c>
      <c r="E9" s="37" t="s">
        <v>103</v>
      </c>
      <c r="F9" s="37" t="s">
        <v>340</v>
      </c>
      <c r="G9" s="83" t="s">
        <v>61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4"/>
    </row>
    <row r="10" spans="1:28" ht="83.25" customHeight="1" x14ac:dyDescent="0.3">
      <c r="A10" s="258"/>
      <c r="B10" s="177" t="s">
        <v>434</v>
      </c>
      <c r="C10" s="177" t="s">
        <v>127</v>
      </c>
      <c r="D10" s="230" t="s">
        <v>430</v>
      </c>
      <c r="E10" s="231" t="s">
        <v>431</v>
      </c>
      <c r="F10" s="231" t="s">
        <v>432</v>
      </c>
      <c r="G10" s="179" t="s">
        <v>433</v>
      </c>
      <c r="H10" s="180"/>
      <c r="I10" s="181"/>
      <c r="J10" s="182">
        <v>9547</v>
      </c>
      <c r="K10" s="183">
        <v>0</v>
      </c>
      <c r="L10" s="184">
        <f t="shared" ref="L10" si="0">SUM(J10:K10)</f>
        <v>9547</v>
      </c>
      <c r="M10" s="185">
        <f t="shared" ref="M10" si="1">IF(J10/15&lt;=SMG,0,K10/2)</f>
        <v>0</v>
      </c>
      <c r="N10" s="185">
        <f t="shared" ref="N10" si="2">J10+M10</f>
        <v>9547</v>
      </c>
      <c r="O10" s="185">
        <f t="shared" ref="O10:O18" si="3">VLOOKUP(N10,Tarifa1,1)</f>
        <v>7641.91</v>
      </c>
      <c r="P10" s="185">
        <f>N10-O10</f>
        <v>1905.0900000000001</v>
      </c>
      <c r="Q10" s="186">
        <f t="shared" ref="Q10:Q18" si="4">VLOOKUP(N10,Tarifa1,3)</f>
        <v>0.21360000000000001</v>
      </c>
      <c r="R10" s="185">
        <f>P10*Q10</f>
        <v>406.92722400000008</v>
      </c>
      <c r="S10" s="187">
        <f t="shared" ref="S10:S18" si="5">VLOOKUP(N10,Tarifa1,2)</f>
        <v>809.25</v>
      </c>
      <c r="T10" s="185">
        <f>R10+S10</f>
        <v>1216.177224</v>
      </c>
      <c r="U10" s="185">
        <f t="shared" ref="U10:U18" si="6">VLOOKUP(N10,Credito1,2)</f>
        <v>0</v>
      </c>
      <c r="V10" s="185">
        <f>ROUND(T10-U10,2)</f>
        <v>1216.18</v>
      </c>
      <c r="W10" s="184">
        <f>-IF(V10&gt;0,0,V10)</f>
        <v>0</v>
      </c>
      <c r="X10" s="184">
        <f t="shared" ref="X10:X18" si="7">IF(J10/15&lt;=SMG,0,IF(V10&lt;0,0,V10))</f>
        <v>1216.18</v>
      </c>
      <c r="Y10" s="188">
        <v>0</v>
      </c>
      <c r="Z10" s="184">
        <f t="shared" ref="Z10" si="8">SUM(X10:Y10)</f>
        <v>1216.18</v>
      </c>
      <c r="AA10" s="184">
        <f t="shared" ref="AA10" si="9">L10+W10-Z10</f>
        <v>8330.82</v>
      </c>
      <c r="AB10" s="254"/>
    </row>
    <row r="11" spans="1:28" s="94" customFormat="1" ht="83.25" customHeight="1" x14ac:dyDescent="0.3">
      <c r="A11" s="116"/>
      <c r="B11" s="177" t="s">
        <v>246</v>
      </c>
      <c r="C11" s="177" t="s">
        <v>127</v>
      </c>
      <c r="D11" s="117" t="s">
        <v>244</v>
      </c>
      <c r="E11" s="231" t="s">
        <v>245</v>
      </c>
      <c r="F11" s="231" t="s">
        <v>381</v>
      </c>
      <c r="G11" s="178" t="s">
        <v>148</v>
      </c>
      <c r="H11" s="180"/>
      <c r="I11" s="181"/>
      <c r="J11" s="182">
        <v>5767.5</v>
      </c>
      <c r="K11" s="183">
        <v>769</v>
      </c>
      <c r="L11" s="184">
        <f t="shared" ref="L11" si="10">SUM(J11:K11)</f>
        <v>6536.5</v>
      </c>
      <c r="M11" s="185">
        <f t="shared" ref="M11" si="11">IF(J11/15&lt;=SMG,0,K11/2)</f>
        <v>384.5</v>
      </c>
      <c r="N11" s="185">
        <f t="shared" ref="N11:N12" si="12">J11+M11</f>
        <v>6152</v>
      </c>
      <c r="O11" s="185">
        <f t="shared" si="3"/>
        <v>5490.76</v>
      </c>
      <c r="P11" s="185">
        <f t="shared" ref="P11:P18" si="13">N11-O11</f>
        <v>661.23999999999978</v>
      </c>
      <c r="Q11" s="186">
        <f t="shared" si="4"/>
        <v>0.16</v>
      </c>
      <c r="R11" s="185">
        <f t="shared" ref="R11:R18" si="14">P11*Q11</f>
        <v>105.79839999999997</v>
      </c>
      <c r="S11" s="187">
        <f t="shared" si="5"/>
        <v>441</v>
      </c>
      <c r="T11" s="185">
        <f t="shared" ref="T11:T18" si="15">R11+S11</f>
        <v>546.79840000000002</v>
      </c>
      <c r="U11" s="185">
        <f t="shared" si="6"/>
        <v>0</v>
      </c>
      <c r="V11" s="185">
        <f t="shared" ref="V11:V18" si="16">ROUND(T11-U11,2)</f>
        <v>546.79999999999995</v>
      </c>
      <c r="W11" s="184">
        <f t="shared" ref="W11:W18" si="17">-IF(V11&gt;0,0,V11)</f>
        <v>0</v>
      </c>
      <c r="X11" s="184">
        <f t="shared" si="7"/>
        <v>546.79999999999995</v>
      </c>
      <c r="Y11" s="188">
        <v>0</v>
      </c>
      <c r="Z11" s="184">
        <f t="shared" ref="Z11" si="18">SUM(X11:Y11)</f>
        <v>546.79999999999995</v>
      </c>
      <c r="AA11" s="184">
        <f t="shared" ref="AA11" si="19">L11+W11-Z11</f>
        <v>5989.7</v>
      </c>
      <c r="AB11" s="93"/>
    </row>
    <row r="12" spans="1:28" s="94" customFormat="1" ht="83.25" customHeight="1" x14ac:dyDescent="0.3">
      <c r="A12" s="116"/>
      <c r="B12" s="177" t="s">
        <v>465</v>
      </c>
      <c r="C12" s="177" t="s">
        <v>127</v>
      </c>
      <c r="D12" s="230" t="s">
        <v>466</v>
      </c>
      <c r="E12" s="231" t="s">
        <v>467</v>
      </c>
      <c r="F12" s="231" t="s">
        <v>468</v>
      </c>
      <c r="G12" s="178" t="s">
        <v>148</v>
      </c>
      <c r="H12" s="180"/>
      <c r="I12" s="181"/>
      <c r="J12" s="182">
        <v>5210.41</v>
      </c>
      <c r="K12" s="183">
        <v>0</v>
      </c>
      <c r="L12" s="184">
        <f t="shared" ref="L12:L18" si="20">SUM(J12:K12)</f>
        <v>5210.41</v>
      </c>
      <c r="M12" s="185">
        <f>IF(J12/15&lt;=SMG,0,K12/2)</f>
        <v>0</v>
      </c>
      <c r="N12" s="185">
        <f t="shared" si="12"/>
        <v>5210.41</v>
      </c>
      <c r="O12" s="185">
        <f t="shared" si="3"/>
        <v>3124.36</v>
      </c>
      <c r="P12" s="185">
        <f t="shared" si="13"/>
        <v>2086.0499999999997</v>
      </c>
      <c r="Q12" s="186">
        <f t="shared" si="4"/>
        <v>0.10879999999999999</v>
      </c>
      <c r="R12" s="185">
        <f t="shared" si="14"/>
        <v>226.96223999999995</v>
      </c>
      <c r="S12" s="187">
        <f t="shared" si="5"/>
        <v>183.45</v>
      </c>
      <c r="T12" s="185">
        <f t="shared" si="15"/>
        <v>410.41223999999994</v>
      </c>
      <c r="U12" s="185">
        <f t="shared" si="6"/>
        <v>0</v>
      </c>
      <c r="V12" s="185">
        <f t="shared" si="16"/>
        <v>410.41</v>
      </c>
      <c r="W12" s="184">
        <f t="shared" si="17"/>
        <v>0</v>
      </c>
      <c r="X12" s="184">
        <f t="shared" si="7"/>
        <v>410.41</v>
      </c>
      <c r="Y12" s="188">
        <v>0</v>
      </c>
      <c r="Z12" s="184">
        <f t="shared" ref="Z12:Z18" si="21">SUM(X12:Y12)</f>
        <v>410.41</v>
      </c>
      <c r="AA12" s="184">
        <f t="shared" ref="AA12:AA18" si="22">L12+W12-Z12</f>
        <v>4800</v>
      </c>
      <c r="AB12" s="93"/>
    </row>
    <row r="13" spans="1:28" s="94" customFormat="1" ht="83.25" customHeight="1" x14ac:dyDescent="0.3">
      <c r="A13" s="116"/>
      <c r="B13" s="177" t="s">
        <v>469</v>
      </c>
      <c r="C13" s="177" t="s">
        <v>127</v>
      </c>
      <c r="D13" s="230" t="s">
        <v>470</v>
      </c>
      <c r="E13" s="231" t="s">
        <v>471</v>
      </c>
      <c r="F13" s="231" t="s">
        <v>472</v>
      </c>
      <c r="G13" s="178" t="s">
        <v>148</v>
      </c>
      <c r="H13" s="180"/>
      <c r="I13" s="181"/>
      <c r="J13" s="182">
        <v>5210.41</v>
      </c>
      <c r="K13" s="183">
        <v>0</v>
      </c>
      <c r="L13" s="184">
        <f t="shared" si="20"/>
        <v>5210.41</v>
      </c>
      <c r="M13" s="185">
        <f>IF(J13/15&lt;=SMG,0,K13/2)</f>
        <v>0</v>
      </c>
      <c r="N13" s="185">
        <f t="shared" ref="N13" si="23">J13+M13</f>
        <v>5210.41</v>
      </c>
      <c r="O13" s="185">
        <f t="shared" si="3"/>
        <v>3124.36</v>
      </c>
      <c r="P13" s="185">
        <f t="shared" ref="P13" si="24">N13-O13</f>
        <v>2086.0499999999997</v>
      </c>
      <c r="Q13" s="186">
        <f t="shared" si="4"/>
        <v>0.10879999999999999</v>
      </c>
      <c r="R13" s="185">
        <f t="shared" ref="R13" si="25">P13*Q13</f>
        <v>226.96223999999995</v>
      </c>
      <c r="S13" s="187">
        <f t="shared" si="5"/>
        <v>183.45</v>
      </c>
      <c r="T13" s="185">
        <f t="shared" ref="T13" si="26">R13+S13</f>
        <v>410.41223999999994</v>
      </c>
      <c r="U13" s="185">
        <f t="shared" si="6"/>
        <v>0</v>
      </c>
      <c r="V13" s="185">
        <f t="shared" ref="V13" si="27">ROUND(T13-U13,2)</f>
        <v>410.41</v>
      </c>
      <c r="W13" s="184">
        <f t="shared" ref="W13" si="28">-IF(V13&gt;0,0,V13)</f>
        <v>0</v>
      </c>
      <c r="X13" s="184">
        <f t="shared" si="7"/>
        <v>410.41</v>
      </c>
      <c r="Y13" s="188">
        <v>0</v>
      </c>
      <c r="Z13" s="184">
        <f t="shared" si="21"/>
        <v>410.41</v>
      </c>
      <c r="AA13" s="184">
        <f t="shared" si="22"/>
        <v>4800</v>
      </c>
      <c r="AB13" s="93"/>
    </row>
    <row r="14" spans="1:28" s="94" customFormat="1" ht="83.25" customHeight="1" x14ac:dyDescent="0.3">
      <c r="A14" s="116"/>
      <c r="B14" s="177" t="s">
        <v>473</v>
      </c>
      <c r="C14" s="177" t="s">
        <v>127</v>
      </c>
      <c r="D14" s="230" t="s">
        <v>474</v>
      </c>
      <c r="E14" s="231" t="s">
        <v>475</v>
      </c>
      <c r="F14" s="231" t="s">
        <v>476</v>
      </c>
      <c r="G14" s="178" t="s">
        <v>148</v>
      </c>
      <c r="H14" s="180"/>
      <c r="I14" s="181"/>
      <c r="J14" s="182">
        <v>5210.41</v>
      </c>
      <c r="K14" s="183">
        <v>0</v>
      </c>
      <c r="L14" s="184">
        <f t="shared" si="20"/>
        <v>5210.41</v>
      </c>
      <c r="M14" s="185">
        <f>IF(J14/15&lt;=SMG,0,K14/2)</f>
        <v>0</v>
      </c>
      <c r="N14" s="185">
        <f t="shared" ref="N14" si="29">J14+M14</f>
        <v>5210.41</v>
      </c>
      <c r="O14" s="185">
        <f t="shared" si="3"/>
        <v>3124.36</v>
      </c>
      <c r="P14" s="185">
        <f t="shared" ref="P14" si="30">N14-O14</f>
        <v>2086.0499999999997</v>
      </c>
      <c r="Q14" s="186">
        <f t="shared" si="4"/>
        <v>0.10879999999999999</v>
      </c>
      <c r="R14" s="185">
        <f t="shared" ref="R14" si="31">P14*Q14</f>
        <v>226.96223999999995</v>
      </c>
      <c r="S14" s="187">
        <f t="shared" si="5"/>
        <v>183.45</v>
      </c>
      <c r="T14" s="185">
        <f t="shared" ref="T14" si="32">R14+S14</f>
        <v>410.41223999999994</v>
      </c>
      <c r="U14" s="185">
        <f t="shared" si="6"/>
        <v>0</v>
      </c>
      <c r="V14" s="185">
        <f t="shared" ref="V14" si="33">ROUND(T14-U14,2)</f>
        <v>410.41</v>
      </c>
      <c r="W14" s="184">
        <f t="shared" ref="W14" si="34">-IF(V14&gt;0,0,V14)</f>
        <v>0</v>
      </c>
      <c r="X14" s="184">
        <f t="shared" si="7"/>
        <v>410.41</v>
      </c>
      <c r="Y14" s="188">
        <v>0</v>
      </c>
      <c r="Z14" s="184">
        <f t="shared" si="21"/>
        <v>410.41</v>
      </c>
      <c r="AA14" s="184">
        <f t="shared" si="22"/>
        <v>4800</v>
      </c>
      <c r="AB14" s="93"/>
    </row>
    <row r="15" spans="1:28" s="94" customFormat="1" ht="83.25" customHeight="1" x14ac:dyDescent="0.3">
      <c r="A15" s="116"/>
      <c r="B15" s="177" t="s">
        <v>477</v>
      </c>
      <c r="C15" s="177" t="s">
        <v>127</v>
      </c>
      <c r="D15" s="230" t="s">
        <v>480</v>
      </c>
      <c r="E15" s="231" t="s">
        <v>478</v>
      </c>
      <c r="F15" s="231" t="s">
        <v>479</v>
      </c>
      <c r="G15" s="178" t="s">
        <v>148</v>
      </c>
      <c r="H15" s="180"/>
      <c r="I15" s="181"/>
      <c r="J15" s="182">
        <v>5210.41</v>
      </c>
      <c r="K15" s="183">
        <v>0</v>
      </c>
      <c r="L15" s="184">
        <f t="shared" si="20"/>
        <v>5210.41</v>
      </c>
      <c r="M15" s="185">
        <f>IF(J15/15&lt;=SMG,0,K15/2)</f>
        <v>0</v>
      </c>
      <c r="N15" s="185">
        <f t="shared" ref="N15:N16" si="35">J15+M15</f>
        <v>5210.41</v>
      </c>
      <c r="O15" s="185">
        <f t="shared" si="3"/>
        <v>3124.36</v>
      </c>
      <c r="P15" s="185">
        <f t="shared" ref="P15:P16" si="36">N15-O15</f>
        <v>2086.0499999999997</v>
      </c>
      <c r="Q15" s="186">
        <f t="shared" si="4"/>
        <v>0.10879999999999999</v>
      </c>
      <c r="R15" s="185">
        <f t="shared" ref="R15:R16" si="37">P15*Q15</f>
        <v>226.96223999999995</v>
      </c>
      <c r="S15" s="187">
        <f t="shared" si="5"/>
        <v>183.45</v>
      </c>
      <c r="T15" s="185">
        <f t="shared" ref="T15:T16" si="38">R15+S15</f>
        <v>410.41223999999994</v>
      </c>
      <c r="U15" s="185">
        <f t="shared" si="6"/>
        <v>0</v>
      </c>
      <c r="V15" s="185">
        <f t="shared" ref="V15:V16" si="39">ROUND(T15-U15,2)</f>
        <v>410.41</v>
      </c>
      <c r="W15" s="184">
        <f t="shared" ref="W15:W16" si="40">-IF(V15&gt;0,0,V15)</f>
        <v>0</v>
      </c>
      <c r="X15" s="184">
        <f t="shared" si="7"/>
        <v>410.41</v>
      </c>
      <c r="Y15" s="188">
        <v>0</v>
      </c>
      <c r="Z15" s="184">
        <f t="shared" si="21"/>
        <v>410.41</v>
      </c>
      <c r="AA15" s="184">
        <f t="shared" si="22"/>
        <v>4800</v>
      </c>
      <c r="AB15" s="93"/>
    </row>
    <row r="16" spans="1:28" s="94" customFormat="1" ht="83.25" customHeight="1" x14ac:dyDescent="0.3">
      <c r="A16" s="116"/>
      <c r="B16" s="177" t="s">
        <v>481</v>
      </c>
      <c r="C16" s="177" t="s">
        <v>127</v>
      </c>
      <c r="D16" s="230" t="s">
        <v>482</v>
      </c>
      <c r="E16" s="231" t="s">
        <v>483</v>
      </c>
      <c r="F16" s="231" t="s">
        <v>484</v>
      </c>
      <c r="G16" s="178" t="s">
        <v>148</v>
      </c>
      <c r="H16" s="180"/>
      <c r="I16" s="181"/>
      <c r="J16" s="182">
        <v>5210.41</v>
      </c>
      <c r="K16" s="183">
        <v>0</v>
      </c>
      <c r="L16" s="184">
        <f t="shared" si="20"/>
        <v>5210.41</v>
      </c>
      <c r="M16" s="185">
        <f>IF(J16/15&lt;=SMG,0,K16/2)</f>
        <v>0</v>
      </c>
      <c r="N16" s="185">
        <f t="shared" si="35"/>
        <v>5210.41</v>
      </c>
      <c r="O16" s="185">
        <f t="shared" si="3"/>
        <v>3124.36</v>
      </c>
      <c r="P16" s="185">
        <f t="shared" si="36"/>
        <v>2086.0499999999997</v>
      </c>
      <c r="Q16" s="186">
        <f t="shared" si="4"/>
        <v>0.10879999999999999</v>
      </c>
      <c r="R16" s="185">
        <f t="shared" si="37"/>
        <v>226.96223999999995</v>
      </c>
      <c r="S16" s="187">
        <f t="shared" si="5"/>
        <v>183.45</v>
      </c>
      <c r="T16" s="185">
        <f t="shared" si="38"/>
        <v>410.41223999999994</v>
      </c>
      <c r="U16" s="185">
        <f t="shared" si="6"/>
        <v>0</v>
      </c>
      <c r="V16" s="185">
        <f t="shared" si="39"/>
        <v>410.41</v>
      </c>
      <c r="W16" s="184">
        <f t="shared" si="40"/>
        <v>0</v>
      </c>
      <c r="X16" s="184">
        <f t="shared" si="7"/>
        <v>410.41</v>
      </c>
      <c r="Y16" s="188">
        <v>0</v>
      </c>
      <c r="Z16" s="184">
        <f t="shared" si="21"/>
        <v>410.41</v>
      </c>
      <c r="AA16" s="184">
        <f t="shared" si="22"/>
        <v>4800</v>
      </c>
      <c r="AB16" s="93"/>
    </row>
    <row r="17" spans="1:28" s="94" customFormat="1" ht="83.25" customHeight="1" x14ac:dyDescent="0.3">
      <c r="A17" s="116" t="s">
        <v>92</v>
      </c>
      <c r="B17" s="177" t="s">
        <v>152</v>
      </c>
      <c r="C17" s="177" t="s">
        <v>171</v>
      </c>
      <c r="D17" s="230" t="s">
        <v>147</v>
      </c>
      <c r="E17" s="231" t="s">
        <v>154</v>
      </c>
      <c r="F17" s="231" t="s">
        <v>354</v>
      </c>
      <c r="G17" s="179" t="s">
        <v>149</v>
      </c>
      <c r="H17" s="180">
        <v>15</v>
      </c>
      <c r="I17" s="181">
        <f>J17/H17</f>
        <v>308.26666666666665</v>
      </c>
      <c r="J17" s="182">
        <v>4624</v>
      </c>
      <c r="K17" s="183">
        <v>0</v>
      </c>
      <c r="L17" s="184">
        <f t="shared" si="20"/>
        <v>4624</v>
      </c>
      <c r="M17" s="185">
        <f t="shared" ref="M17:M18" si="41">IF(J17/15&lt;=SMG,0,K17/2)</f>
        <v>0</v>
      </c>
      <c r="N17" s="185">
        <f t="shared" ref="N17:N18" si="42">J17+M17</f>
        <v>4624</v>
      </c>
      <c r="O17" s="185">
        <f t="shared" si="3"/>
        <v>3124.36</v>
      </c>
      <c r="P17" s="185">
        <f t="shared" si="13"/>
        <v>1499.6399999999999</v>
      </c>
      <c r="Q17" s="186">
        <f t="shared" si="4"/>
        <v>0.10879999999999999</v>
      </c>
      <c r="R17" s="185">
        <f t="shared" si="14"/>
        <v>163.16083199999997</v>
      </c>
      <c r="S17" s="187">
        <f t="shared" si="5"/>
        <v>183.45</v>
      </c>
      <c r="T17" s="185">
        <f t="shared" si="15"/>
        <v>346.61083199999996</v>
      </c>
      <c r="U17" s="185">
        <f t="shared" si="6"/>
        <v>0</v>
      </c>
      <c r="V17" s="185">
        <f t="shared" si="16"/>
        <v>346.61</v>
      </c>
      <c r="W17" s="184">
        <f t="shared" si="17"/>
        <v>0</v>
      </c>
      <c r="X17" s="184">
        <f t="shared" si="7"/>
        <v>346.61</v>
      </c>
      <c r="Y17" s="188">
        <v>0</v>
      </c>
      <c r="Z17" s="184">
        <f t="shared" si="21"/>
        <v>346.61</v>
      </c>
      <c r="AA17" s="184">
        <f t="shared" si="22"/>
        <v>4277.3900000000003</v>
      </c>
      <c r="AB17" s="93"/>
    </row>
    <row r="18" spans="1:28" s="94" customFormat="1" ht="83.25" customHeight="1" x14ac:dyDescent="0.3">
      <c r="A18" s="229"/>
      <c r="B18" s="177" t="s">
        <v>153</v>
      </c>
      <c r="C18" s="177" t="s">
        <v>127</v>
      </c>
      <c r="D18" s="230" t="s">
        <v>146</v>
      </c>
      <c r="E18" s="231" t="s">
        <v>155</v>
      </c>
      <c r="F18" s="231" t="s">
        <v>355</v>
      </c>
      <c r="G18" s="179" t="s">
        <v>149</v>
      </c>
      <c r="H18" s="180">
        <v>15</v>
      </c>
      <c r="I18" s="181">
        <f>J18/H18</f>
        <v>308.26666666666665</v>
      </c>
      <c r="J18" s="182">
        <v>4624</v>
      </c>
      <c r="K18" s="183">
        <v>0</v>
      </c>
      <c r="L18" s="184">
        <f t="shared" si="20"/>
        <v>4624</v>
      </c>
      <c r="M18" s="185">
        <f t="shared" si="41"/>
        <v>0</v>
      </c>
      <c r="N18" s="185">
        <f t="shared" si="42"/>
        <v>4624</v>
      </c>
      <c r="O18" s="185">
        <f t="shared" si="3"/>
        <v>3124.36</v>
      </c>
      <c r="P18" s="185">
        <f t="shared" si="13"/>
        <v>1499.6399999999999</v>
      </c>
      <c r="Q18" s="186">
        <f t="shared" si="4"/>
        <v>0.10879999999999999</v>
      </c>
      <c r="R18" s="185">
        <f t="shared" si="14"/>
        <v>163.16083199999997</v>
      </c>
      <c r="S18" s="187">
        <f t="shared" si="5"/>
        <v>183.45</v>
      </c>
      <c r="T18" s="185">
        <f t="shared" si="15"/>
        <v>346.61083199999996</v>
      </c>
      <c r="U18" s="185">
        <f t="shared" si="6"/>
        <v>0</v>
      </c>
      <c r="V18" s="185">
        <f t="shared" si="16"/>
        <v>346.61</v>
      </c>
      <c r="W18" s="184">
        <f t="shared" si="17"/>
        <v>0</v>
      </c>
      <c r="X18" s="184">
        <f t="shared" si="7"/>
        <v>346.61</v>
      </c>
      <c r="Y18" s="188">
        <v>0</v>
      </c>
      <c r="Z18" s="184">
        <f t="shared" si="21"/>
        <v>346.61</v>
      </c>
      <c r="AA18" s="184">
        <f t="shared" si="22"/>
        <v>4277.3900000000003</v>
      </c>
      <c r="AB18" s="93"/>
    </row>
    <row r="19" spans="1:28" ht="40.5" customHeight="1" thickBot="1" x14ac:dyDescent="0.35">
      <c r="A19" s="280" t="s">
        <v>44</v>
      </c>
      <c r="B19" s="281"/>
      <c r="C19" s="281"/>
      <c r="D19" s="281"/>
      <c r="E19" s="281"/>
      <c r="F19" s="281"/>
      <c r="G19" s="281"/>
      <c r="H19" s="281"/>
      <c r="I19" s="282"/>
      <c r="J19" s="191">
        <f>SUM(J10:J18)</f>
        <v>50614.55</v>
      </c>
      <c r="K19" s="191">
        <f>SUM(K10:K18)</f>
        <v>769</v>
      </c>
      <c r="L19" s="191">
        <f t="shared" ref="L19:W19" si="43">SUM(L11:L18)</f>
        <v>41836.550000000003</v>
      </c>
      <c r="M19" s="192">
        <f t="shared" si="43"/>
        <v>384.5</v>
      </c>
      <c r="N19" s="192">
        <f t="shared" si="43"/>
        <v>41452.050000000003</v>
      </c>
      <c r="O19" s="192">
        <f t="shared" si="43"/>
        <v>27361.280000000002</v>
      </c>
      <c r="P19" s="192">
        <f t="shared" si="43"/>
        <v>14090.769999999997</v>
      </c>
      <c r="Q19" s="192">
        <f t="shared" si="43"/>
        <v>0.92159999999999997</v>
      </c>
      <c r="R19" s="192">
        <f t="shared" si="43"/>
        <v>1566.9312639999998</v>
      </c>
      <c r="S19" s="192">
        <f t="shared" si="43"/>
        <v>1725.1500000000003</v>
      </c>
      <c r="T19" s="192">
        <f t="shared" si="43"/>
        <v>3292.0812639999995</v>
      </c>
      <c r="U19" s="192">
        <f t="shared" si="43"/>
        <v>0</v>
      </c>
      <c r="V19" s="192">
        <f t="shared" si="43"/>
        <v>3292.07</v>
      </c>
      <c r="W19" s="191">
        <f t="shared" si="43"/>
        <v>0</v>
      </c>
      <c r="X19" s="191">
        <f>SUM(X10:X18)</f>
        <v>4508.2499999999991</v>
      </c>
      <c r="Y19" s="191">
        <f>SUM(Y10:Y18)</f>
        <v>0</v>
      </c>
      <c r="Z19" s="191">
        <f>SUM(Z10:Z18)</f>
        <v>4508.2499999999991</v>
      </c>
      <c r="AA19" s="191">
        <f>SUM(AA10:AA18)</f>
        <v>46875.3</v>
      </c>
    </row>
    <row r="20" spans="1:28" ht="18" thickTop="1" x14ac:dyDescent="0.3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</row>
  </sheetData>
  <mergeCells count="7">
    <mergeCell ref="A19:I19"/>
    <mergeCell ref="A1:AB1"/>
    <mergeCell ref="A2:AB2"/>
    <mergeCell ref="A3:AB3"/>
    <mergeCell ref="J6:L6"/>
    <mergeCell ref="O6:T6"/>
    <mergeCell ref="X6:Z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A39"/>
  <sheetViews>
    <sheetView tabSelected="1" topLeftCell="B1" zoomScale="78" zoomScaleNormal="78" workbookViewId="0">
      <pane ySplit="1" topLeftCell="A2" activePane="bottomLeft" state="frozen"/>
      <selection activeCell="B1" sqref="B1"/>
      <selection pane="bottomLeft" activeCell="E30" sqref="E30"/>
    </sheetView>
  </sheetViews>
  <sheetFormatPr baseColWidth="10" defaultColWidth="11.44140625" defaultRowHeight="13.2" x14ac:dyDescent="0.25"/>
  <cols>
    <col min="1" max="1" width="5.5546875" hidden="1" customWidth="1"/>
    <col min="2" max="2" width="13" customWidth="1"/>
    <col min="3" max="3" width="10.6640625" customWidth="1"/>
    <col min="4" max="4" width="47.44140625" customWidth="1"/>
    <col min="5" max="5" width="24" customWidth="1"/>
    <col min="6" max="6" width="32.5546875" customWidth="1"/>
    <col min="7" max="7" width="32.109375" customWidth="1"/>
    <col min="8" max="8" width="6.44140625" hidden="1" customWidth="1"/>
    <col min="9" max="9" width="10" hidden="1" customWidth="1"/>
    <col min="10" max="10" width="13.44140625" customWidth="1"/>
    <col min="11" max="11" width="10.33203125" customWidth="1"/>
    <col min="12" max="12" width="14.44140625" bestFit="1" customWidth="1"/>
    <col min="13" max="13" width="11.6640625" hidden="1" customWidth="1"/>
    <col min="14" max="16" width="14.44140625" hidden="1" customWidth="1"/>
    <col min="17" max="17" width="13.44140625" hidden="1" customWidth="1"/>
    <col min="18" max="19" width="12.88671875" hidden="1" customWidth="1"/>
    <col min="20" max="20" width="14.44140625" hidden="1" customWidth="1"/>
    <col min="21" max="21" width="11" hidden="1" customWidth="1"/>
    <col min="22" max="22" width="14.44140625" hidden="1" customWidth="1"/>
    <col min="23" max="23" width="11" bestFit="1" customWidth="1"/>
    <col min="24" max="24" width="14.33203125" customWidth="1"/>
    <col min="25" max="25" width="13.33203125" customWidth="1"/>
    <col min="26" max="26" width="13.88671875" customWidth="1"/>
    <col min="27" max="27" width="13.6640625" customWidth="1"/>
    <col min="28" max="28" width="75.109375" customWidth="1"/>
    <col min="29" max="29" width="1" customWidth="1"/>
  </cols>
  <sheetData>
    <row r="1" spans="1:34" ht="19.8" x14ac:dyDescent="0.3">
      <c r="A1" s="283" t="s">
        <v>78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34" ht="19.8" x14ac:dyDescent="0.3">
      <c r="A2" s="283" t="s">
        <v>64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</row>
    <row r="3" spans="1:34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34" ht="25.5" customHeight="1" x14ac:dyDescent="0.3">
      <c r="A4" s="4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34" s="51" customFormat="1" ht="15.6" x14ac:dyDescent="0.3">
      <c r="A5" s="47"/>
      <c r="B5" s="128"/>
      <c r="C5" s="128"/>
      <c r="D5" s="128"/>
      <c r="E5" s="128"/>
      <c r="F5" s="128"/>
      <c r="G5" s="128"/>
      <c r="H5" s="129" t="s">
        <v>22</v>
      </c>
      <c r="I5" s="129" t="s">
        <v>5</v>
      </c>
      <c r="J5" s="285" t="s">
        <v>1</v>
      </c>
      <c r="K5" s="286"/>
      <c r="L5" s="287"/>
      <c r="M5" s="130" t="s">
        <v>25</v>
      </c>
      <c r="N5" s="131"/>
      <c r="O5" s="288" t="s">
        <v>8</v>
      </c>
      <c r="P5" s="289"/>
      <c r="Q5" s="289"/>
      <c r="R5" s="289"/>
      <c r="S5" s="289"/>
      <c r="T5" s="290"/>
      <c r="U5" s="130" t="s">
        <v>52</v>
      </c>
      <c r="V5" s="130" t="s">
        <v>9</v>
      </c>
      <c r="W5" s="129" t="s">
        <v>52</v>
      </c>
      <c r="X5" s="291" t="s">
        <v>2</v>
      </c>
      <c r="Y5" s="292"/>
      <c r="Z5" s="293"/>
      <c r="AA5" s="129" t="s">
        <v>0</v>
      </c>
      <c r="AB5" s="47"/>
    </row>
    <row r="6" spans="1:34" s="51" customFormat="1" ht="29.25" customHeight="1" x14ac:dyDescent="0.3">
      <c r="A6" s="52" t="s">
        <v>20</v>
      </c>
      <c r="B6" s="132" t="s">
        <v>102</v>
      </c>
      <c r="C6" s="132" t="s">
        <v>136</v>
      </c>
      <c r="D6" s="133" t="s">
        <v>21</v>
      </c>
      <c r="E6" s="133"/>
      <c r="F6" s="133"/>
      <c r="G6" s="133"/>
      <c r="H6" s="134" t="s">
        <v>23</v>
      </c>
      <c r="I6" s="133" t="s">
        <v>24</v>
      </c>
      <c r="J6" s="129" t="s">
        <v>5</v>
      </c>
      <c r="K6" s="129" t="s">
        <v>58</v>
      </c>
      <c r="L6" s="129" t="s">
        <v>27</v>
      </c>
      <c r="M6" s="135" t="s">
        <v>26</v>
      </c>
      <c r="N6" s="131" t="s">
        <v>31</v>
      </c>
      <c r="O6" s="131" t="s">
        <v>11</v>
      </c>
      <c r="P6" s="131" t="s">
        <v>33</v>
      </c>
      <c r="Q6" s="131" t="s">
        <v>35</v>
      </c>
      <c r="R6" s="131" t="s">
        <v>36</v>
      </c>
      <c r="S6" s="131" t="s">
        <v>13</v>
      </c>
      <c r="T6" s="131" t="s">
        <v>9</v>
      </c>
      <c r="U6" s="135" t="s">
        <v>39</v>
      </c>
      <c r="V6" s="135" t="s">
        <v>40</v>
      </c>
      <c r="W6" s="133" t="s">
        <v>30</v>
      </c>
      <c r="X6" s="129" t="s">
        <v>451</v>
      </c>
      <c r="Y6" s="129" t="s">
        <v>56</v>
      </c>
      <c r="Z6" s="129" t="s">
        <v>6</v>
      </c>
      <c r="AA6" s="133" t="s">
        <v>3</v>
      </c>
      <c r="AB6" s="52" t="s">
        <v>57</v>
      </c>
    </row>
    <row r="7" spans="1:34" s="51" customFormat="1" ht="15.6" x14ac:dyDescent="0.3">
      <c r="A7" s="60"/>
      <c r="B7" s="136"/>
      <c r="C7" s="136"/>
      <c r="D7" s="137"/>
      <c r="E7" s="137"/>
      <c r="F7" s="137"/>
      <c r="G7" s="137"/>
      <c r="H7" s="137"/>
      <c r="I7" s="137"/>
      <c r="J7" s="137" t="s">
        <v>46</v>
      </c>
      <c r="K7" s="137" t="s">
        <v>59</v>
      </c>
      <c r="L7" s="137" t="s">
        <v>28</v>
      </c>
      <c r="M7" s="138" t="s">
        <v>42</v>
      </c>
      <c r="N7" s="130" t="s">
        <v>32</v>
      </c>
      <c r="O7" s="130" t="s">
        <v>12</v>
      </c>
      <c r="P7" s="130" t="s">
        <v>34</v>
      </c>
      <c r="Q7" s="130" t="s">
        <v>34</v>
      </c>
      <c r="R7" s="130" t="s">
        <v>37</v>
      </c>
      <c r="S7" s="130" t="s">
        <v>14</v>
      </c>
      <c r="T7" s="130" t="s">
        <v>38</v>
      </c>
      <c r="U7" s="135" t="s">
        <v>51</v>
      </c>
      <c r="V7" s="139" t="s">
        <v>264</v>
      </c>
      <c r="W7" s="137" t="s">
        <v>51</v>
      </c>
      <c r="X7" s="137"/>
      <c r="Y7" s="137"/>
      <c r="Z7" s="137" t="s">
        <v>43</v>
      </c>
      <c r="AA7" s="137" t="s">
        <v>4</v>
      </c>
      <c r="AB7" s="57"/>
    </row>
    <row r="8" spans="1:34" s="51" customFormat="1" ht="43.5" customHeight="1" x14ac:dyDescent="0.3">
      <c r="A8" s="62"/>
      <c r="B8" s="140" t="s">
        <v>102</v>
      </c>
      <c r="C8" s="140" t="s">
        <v>136</v>
      </c>
      <c r="D8" s="141" t="s">
        <v>62</v>
      </c>
      <c r="E8" s="142" t="s">
        <v>103</v>
      </c>
      <c r="F8" s="142" t="s">
        <v>340</v>
      </c>
      <c r="G8" s="142" t="s">
        <v>61</v>
      </c>
      <c r="H8" s="142"/>
      <c r="I8" s="142"/>
      <c r="J8" s="143">
        <f>SUM(J9:J11)</f>
        <v>47383</v>
      </c>
      <c r="K8" s="143">
        <f>SUM(K9:K11)</f>
        <v>0</v>
      </c>
      <c r="L8" s="143">
        <f>SUM(L9:L11)</f>
        <v>47383</v>
      </c>
      <c r="M8" s="142"/>
      <c r="N8" s="142"/>
      <c r="O8" s="142"/>
      <c r="P8" s="142"/>
      <c r="Q8" s="142"/>
      <c r="R8" s="142"/>
      <c r="S8" s="142"/>
      <c r="T8" s="142"/>
      <c r="U8" s="142"/>
      <c r="V8" s="144"/>
      <c r="W8" s="143">
        <f>SUM(W9:W11)</f>
        <v>0</v>
      </c>
      <c r="X8" s="143">
        <f>SUM(X9:X11)</f>
        <v>8222.0499999999993</v>
      </c>
      <c r="Y8" s="143">
        <f>SUM(Y9:Y11)</f>
        <v>0</v>
      </c>
      <c r="Z8" s="143">
        <f>SUM(Z9:Z11)</f>
        <v>8222.0499999999993</v>
      </c>
      <c r="AA8" s="143">
        <f>SUM(AA9:AA11)</f>
        <v>39160.949999999997</v>
      </c>
      <c r="AB8" s="63"/>
    </row>
    <row r="9" spans="1:34" s="51" customFormat="1" ht="90" customHeight="1" x14ac:dyDescent="0.35">
      <c r="A9" s="85" t="s">
        <v>84</v>
      </c>
      <c r="B9" s="176" t="s">
        <v>255</v>
      </c>
      <c r="C9" s="177" t="s">
        <v>127</v>
      </c>
      <c r="D9" s="263" t="s">
        <v>256</v>
      </c>
      <c r="E9" s="178" t="s">
        <v>257</v>
      </c>
      <c r="F9" s="234" t="s">
        <v>356</v>
      </c>
      <c r="G9" s="178" t="s">
        <v>258</v>
      </c>
      <c r="H9" s="180">
        <v>15</v>
      </c>
      <c r="I9" s="181">
        <v>1677.25</v>
      </c>
      <c r="J9" s="182">
        <v>27705</v>
      </c>
      <c r="K9" s="183">
        <v>0</v>
      </c>
      <c r="L9" s="184">
        <f>SUM(J9:K9)</f>
        <v>27705</v>
      </c>
      <c r="M9" s="185">
        <f>IF(J9/15&lt;=SMG,0,K9/2)</f>
        <v>0</v>
      </c>
      <c r="N9" s="185">
        <f>J9+M9</f>
        <v>27705</v>
      </c>
      <c r="O9" s="185">
        <f>VLOOKUP(N9,Tarifa1,1)</f>
        <v>24292.66</v>
      </c>
      <c r="P9" s="185">
        <f>N9-O9</f>
        <v>3412.34</v>
      </c>
      <c r="Q9" s="186">
        <f>VLOOKUP(N9,Tarifa1,3)</f>
        <v>0.3</v>
      </c>
      <c r="R9" s="185">
        <f>P9*Q9</f>
        <v>1023.702</v>
      </c>
      <c r="S9" s="187">
        <f>VLOOKUP(N9,Tarifa1,2)</f>
        <v>4557.75</v>
      </c>
      <c r="T9" s="185">
        <f>R9+S9</f>
        <v>5581.4520000000002</v>
      </c>
      <c r="U9" s="185">
        <f>VLOOKUP(N9,Credito1,2)</f>
        <v>0</v>
      </c>
      <c r="V9" s="185">
        <f>ROUND(T9-U9,2)</f>
        <v>5581.45</v>
      </c>
      <c r="W9" s="184">
        <f>-IF(V9&gt;0,0,V9)</f>
        <v>0</v>
      </c>
      <c r="X9" s="184">
        <f>IF(J9/15&lt;=SMG,0,IF(V9&lt;0,0,V9))</f>
        <v>5581.45</v>
      </c>
      <c r="Y9" s="188">
        <v>0</v>
      </c>
      <c r="Z9" s="184">
        <f>SUM(X9:Y9)</f>
        <v>5581.45</v>
      </c>
      <c r="AA9" s="184">
        <f>L9+W9-Z9</f>
        <v>22123.55</v>
      </c>
      <c r="AB9" s="58"/>
    </row>
    <row r="10" spans="1:34" s="51" customFormat="1" ht="90" customHeight="1" x14ac:dyDescent="0.35">
      <c r="A10" s="85" t="s">
        <v>85</v>
      </c>
      <c r="B10" s="176" t="s">
        <v>185</v>
      </c>
      <c r="C10" s="177" t="s">
        <v>127</v>
      </c>
      <c r="D10" s="264" t="s">
        <v>168</v>
      </c>
      <c r="E10" s="178" t="s">
        <v>177</v>
      </c>
      <c r="F10" s="234" t="s">
        <v>364</v>
      </c>
      <c r="G10" s="179" t="s">
        <v>259</v>
      </c>
      <c r="H10" s="180">
        <v>15</v>
      </c>
      <c r="I10" s="181">
        <v>850.15</v>
      </c>
      <c r="J10" s="182">
        <v>14043</v>
      </c>
      <c r="K10" s="183">
        <v>0</v>
      </c>
      <c r="L10" s="184">
        <f>SUM(J10:K10)</f>
        <v>14043</v>
      </c>
      <c r="M10" s="185">
        <f>IF(J10/15&lt;=SMG,0,K10/2)</f>
        <v>0</v>
      </c>
      <c r="N10" s="185">
        <f t="shared" ref="N10" si="0">J10+M10</f>
        <v>14043</v>
      </c>
      <c r="O10" s="185">
        <f>VLOOKUP(N10,Tarifa1,1)</f>
        <v>7641.91</v>
      </c>
      <c r="P10" s="185">
        <f t="shared" ref="P10" si="1">N10-O10</f>
        <v>6401.09</v>
      </c>
      <c r="Q10" s="186">
        <f>VLOOKUP(N10,Tarifa1,3)</f>
        <v>0.21360000000000001</v>
      </c>
      <c r="R10" s="185">
        <f t="shared" ref="R10" si="2">P10*Q10</f>
        <v>1367.2728240000001</v>
      </c>
      <c r="S10" s="187">
        <f>VLOOKUP(N10,Tarifa1,2)</f>
        <v>809.25</v>
      </c>
      <c r="T10" s="185">
        <f t="shared" ref="T10" si="3">R10+S10</f>
        <v>2176.5228240000001</v>
      </c>
      <c r="U10" s="185">
        <f>VLOOKUP(N10,Credito1,2)</f>
        <v>0</v>
      </c>
      <c r="V10" s="185">
        <f t="shared" ref="V10" si="4">ROUND(T10-U10,2)</f>
        <v>2176.52</v>
      </c>
      <c r="W10" s="184">
        <f>-IF(V10&gt;0,0,V10)</f>
        <v>0</v>
      </c>
      <c r="X10" s="184">
        <f>IF(J10/15&lt;=SMG,0,IF(V10&lt;0,0,V10))</f>
        <v>2176.52</v>
      </c>
      <c r="Y10" s="188">
        <v>0</v>
      </c>
      <c r="Z10" s="184">
        <f>SUM(X10:Y10)</f>
        <v>2176.52</v>
      </c>
      <c r="AA10" s="184">
        <f>L10+W10-Z10</f>
        <v>11866.48</v>
      </c>
      <c r="AB10" s="58"/>
      <c r="AH10" s="59"/>
    </row>
    <row r="11" spans="1:34" s="51" customFormat="1" ht="90" customHeight="1" x14ac:dyDescent="0.35">
      <c r="A11" s="85"/>
      <c r="B11" s="177" t="s">
        <v>110</v>
      </c>
      <c r="C11" s="176" t="s">
        <v>127</v>
      </c>
      <c r="D11" s="264" t="s">
        <v>65</v>
      </c>
      <c r="E11" s="178" t="s">
        <v>111</v>
      </c>
      <c r="F11" s="234" t="s">
        <v>343</v>
      </c>
      <c r="G11" s="178" t="s">
        <v>63</v>
      </c>
      <c r="H11" s="180">
        <v>15</v>
      </c>
      <c r="I11" s="181">
        <v>341.11</v>
      </c>
      <c r="J11" s="182">
        <v>5635</v>
      </c>
      <c r="K11" s="183">
        <v>0</v>
      </c>
      <c r="L11" s="184">
        <f>SUM(J11:K11)</f>
        <v>5635</v>
      </c>
      <c r="M11" s="185">
        <f>IF(J11/15&lt;=SMG,0,K11/2)</f>
        <v>0</v>
      </c>
      <c r="N11" s="185">
        <f t="shared" ref="N11" si="5">J11+M11</f>
        <v>5635</v>
      </c>
      <c r="O11" s="185">
        <f>VLOOKUP(N11,Tarifa1,1)</f>
        <v>5490.76</v>
      </c>
      <c r="P11" s="185">
        <f t="shared" ref="P11" si="6">N11-O11</f>
        <v>144.23999999999978</v>
      </c>
      <c r="Q11" s="186">
        <f>VLOOKUP(N11,Tarifa1,3)</f>
        <v>0.16</v>
      </c>
      <c r="R11" s="185">
        <f t="shared" ref="R11" si="7">P11*Q11</f>
        <v>23.078399999999966</v>
      </c>
      <c r="S11" s="187">
        <f>VLOOKUP(N11,Tarifa1,2)</f>
        <v>441</v>
      </c>
      <c r="T11" s="185">
        <f t="shared" ref="T11" si="8">R11+S11</f>
        <v>464.07839999999999</v>
      </c>
      <c r="U11" s="185">
        <f>VLOOKUP(N11,Credito1,2)</f>
        <v>0</v>
      </c>
      <c r="V11" s="185">
        <f t="shared" ref="V11" si="9">ROUND(T11-U11,2)</f>
        <v>464.08</v>
      </c>
      <c r="W11" s="184">
        <f>-IF(V11&gt;0,0,V11)</f>
        <v>0</v>
      </c>
      <c r="X11" s="184">
        <f>IF(J11/15&lt;=SMG,0,IF(V11&lt;0,0,V11))</f>
        <v>464.08</v>
      </c>
      <c r="Y11" s="188">
        <v>0</v>
      </c>
      <c r="Z11" s="184">
        <f>SUM(X11:Y11)</f>
        <v>464.08</v>
      </c>
      <c r="AA11" s="184">
        <f>L11+W11-Z11</f>
        <v>5170.92</v>
      </c>
      <c r="AB11" s="58"/>
      <c r="AH11" s="59"/>
    </row>
    <row r="12" spans="1:34" s="51" customFormat="1" ht="44.25" customHeight="1" x14ac:dyDescent="0.3">
      <c r="A12" s="85"/>
      <c r="B12" s="140" t="s">
        <v>102</v>
      </c>
      <c r="C12" s="140" t="s">
        <v>136</v>
      </c>
      <c r="D12" s="141" t="s">
        <v>131</v>
      </c>
      <c r="E12" s="142" t="s">
        <v>103</v>
      </c>
      <c r="F12" s="142" t="s">
        <v>340</v>
      </c>
      <c r="G12" s="142" t="s">
        <v>61</v>
      </c>
      <c r="H12" s="142"/>
      <c r="I12" s="142"/>
      <c r="J12" s="143">
        <f>SUM(J13)</f>
        <v>6309</v>
      </c>
      <c r="K12" s="143">
        <f>SUM(K13)</f>
        <v>0</v>
      </c>
      <c r="L12" s="143">
        <f>SUM(L13)</f>
        <v>6309</v>
      </c>
      <c r="M12" s="142"/>
      <c r="N12" s="142"/>
      <c r="O12" s="142"/>
      <c r="P12" s="142"/>
      <c r="Q12" s="142"/>
      <c r="R12" s="142"/>
      <c r="S12" s="145"/>
      <c r="T12" s="142"/>
      <c r="U12" s="142"/>
      <c r="V12" s="144"/>
      <c r="W12" s="143">
        <f>SUM(W13)</f>
        <v>0</v>
      </c>
      <c r="X12" s="143">
        <f>SUM(X13)</f>
        <v>571.91999999999996</v>
      </c>
      <c r="Y12" s="143">
        <f>SUM(Y13)</f>
        <v>0</v>
      </c>
      <c r="Z12" s="143">
        <f>SUM(Z13)</f>
        <v>571.91999999999996</v>
      </c>
      <c r="AA12" s="143">
        <f>SUM(AA13)</f>
        <v>5737.08</v>
      </c>
      <c r="AB12" s="63"/>
      <c r="AH12" s="59"/>
    </row>
    <row r="13" spans="1:34" s="51" customFormat="1" ht="90" customHeight="1" x14ac:dyDescent="0.35">
      <c r="A13" s="85" t="s">
        <v>86</v>
      </c>
      <c r="B13" s="177" t="s">
        <v>425</v>
      </c>
      <c r="C13" s="176" t="s">
        <v>127</v>
      </c>
      <c r="D13" s="264" t="s">
        <v>416</v>
      </c>
      <c r="E13" s="178" t="s">
        <v>417</v>
      </c>
      <c r="F13" s="234" t="s">
        <v>420</v>
      </c>
      <c r="G13" s="179" t="s">
        <v>98</v>
      </c>
      <c r="H13" s="180">
        <v>15</v>
      </c>
      <c r="I13" s="181">
        <v>381.95</v>
      </c>
      <c r="J13" s="182">
        <v>6309</v>
      </c>
      <c r="K13" s="183">
        <v>0</v>
      </c>
      <c r="L13" s="184">
        <f>J13</f>
        <v>6309</v>
      </c>
      <c r="M13" s="185">
        <f>IF(J13/15&lt;=SMG,0,K13/2)</f>
        <v>0</v>
      </c>
      <c r="N13" s="185">
        <f t="shared" ref="N13" si="10">J13+M13</f>
        <v>6309</v>
      </c>
      <c r="O13" s="185">
        <f>VLOOKUP(N13,Tarifa1,1)</f>
        <v>5490.76</v>
      </c>
      <c r="P13" s="185">
        <f t="shared" ref="P13" si="11">N13-O13</f>
        <v>818.23999999999978</v>
      </c>
      <c r="Q13" s="186">
        <f>VLOOKUP(N13,Tarifa1,3)</f>
        <v>0.16</v>
      </c>
      <c r="R13" s="185">
        <f t="shared" ref="R13" si="12">P13*Q13</f>
        <v>130.91839999999996</v>
      </c>
      <c r="S13" s="187">
        <f>VLOOKUP(N13,Tarifa1,2)</f>
        <v>441</v>
      </c>
      <c r="T13" s="185">
        <f t="shared" ref="T13" si="13">R13+S13</f>
        <v>571.91840000000002</v>
      </c>
      <c r="U13" s="185">
        <f>VLOOKUP(N13,Credito1,2)</f>
        <v>0</v>
      </c>
      <c r="V13" s="185">
        <f t="shared" ref="V13" si="14">ROUND(T13-U13,2)</f>
        <v>571.91999999999996</v>
      </c>
      <c r="W13" s="184">
        <f>-IF(V13&gt;0,0,V13)</f>
        <v>0</v>
      </c>
      <c r="X13" s="184">
        <f>IF(J13/15&lt;=SMG,0,IF(V13&lt;0,0,V13))</f>
        <v>571.91999999999996</v>
      </c>
      <c r="Y13" s="188">
        <v>0</v>
      </c>
      <c r="Z13" s="184">
        <f>SUM(X13:Y13)</f>
        <v>571.91999999999996</v>
      </c>
      <c r="AA13" s="184">
        <f>L13+W13-Z13</f>
        <v>5737.08</v>
      </c>
      <c r="AB13" s="58"/>
      <c r="AH13" s="59"/>
    </row>
    <row r="14" spans="1:34" s="51" customFormat="1" ht="44.25" customHeight="1" x14ac:dyDescent="0.3">
      <c r="A14" s="85"/>
      <c r="B14" s="140" t="s">
        <v>102</v>
      </c>
      <c r="C14" s="140" t="s">
        <v>136</v>
      </c>
      <c r="D14" s="141" t="s">
        <v>132</v>
      </c>
      <c r="E14" s="142" t="s">
        <v>103</v>
      </c>
      <c r="F14" s="142" t="s">
        <v>340</v>
      </c>
      <c r="G14" s="142" t="s">
        <v>61</v>
      </c>
      <c r="H14" s="142"/>
      <c r="I14" s="142"/>
      <c r="J14" s="143">
        <v>4896.5</v>
      </c>
      <c r="K14" s="143">
        <f>SUM(K15)</f>
        <v>0</v>
      </c>
      <c r="L14" s="143">
        <f>SUM(L15)</f>
        <v>5043</v>
      </c>
      <c r="M14" s="142"/>
      <c r="N14" s="142"/>
      <c r="O14" s="142"/>
      <c r="P14" s="142"/>
      <c r="Q14" s="142"/>
      <c r="R14" s="142"/>
      <c r="S14" s="145"/>
      <c r="T14" s="142"/>
      <c r="U14" s="142"/>
      <c r="V14" s="144"/>
      <c r="W14" s="143">
        <f>SUM(W15)</f>
        <v>0</v>
      </c>
      <c r="X14" s="143">
        <f>SUM(X15)</f>
        <v>392.2</v>
      </c>
      <c r="Y14" s="143">
        <f>SUM(Y15)</f>
        <v>0</v>
      </c>
      <c r="Z14" s="143">
        <f>SUM(Z15)</f>
        <v>392.2</v>
      </c>
      <c r="AA14" s="143">
        <f>SUM(AA15)</f>
        <v>4650.8</v>
      </c>
      <c r="AB14" s="63"/>
      <c r="AH14" s="59"/>
    </row>
    <row r="15" spans="1:34" s="51" customFormat="1" ht="90" customHeight="1" x14ac:dyDescent="0.35">
      <c r="A15" s="85" t="s">
        <v>88</v>
      </c>
      <c r="B15" s="177" t="s">
        <v>269</v>
      </c>
      <c r="C15" s="177" t="s">
        <v>127</v>
      </c>
      <c r="D15" s="263" t="s">
        <v>293</v>
      </c>
      <c r="E15" s="199" t="s">
        <v>294</v>
      </c>
      <c r="F15" s="234" t="s">
        <v>384</v>
      </c>
      <c r="G15" s="179" t="s">
        <v>423</v>
      </c>
      <c r="H15" s="180">
        <v>15</v>
      </c>
      <c r="I15" s="181">
        <v>305.35000000000002</v>
      </c>
      <c r="J15" s="182">
        <v>5043</v>
      </c>
      <c r="K15" s="183">
        <v>0</v>
      </c>
      <c r="L15" s="184">
        <f>SUM(J15:K15)</f>
        <v>5043</v>
      </c>
      <c r="M15" s="185">
        <f>IF(J15/15&lt;=SMG,0,K15/2)</f>
        <v>0</v>
      </c>
      <c r="N15" s="185">
        <f t="shared" ref="N15" si="15">J15+M15</f>
        <v>5043</v>
      </c>
      <c r="O15" s="185">
        <f>VLOOKUP(N15,Tarifa1,1)</f>
        <v>3124.36</v>
      </c>
      <c r="P15" s="185">
        <f t="shared" ref="P15" si="16">N15-O15</f>
        <v>1918.6399999999999</v>
      </c>
      <c r="Q15" s="186">
        <f>VLOOKUP(N15,Tarifa1,3)</f>
        <v>0.10879999999999999</v>
      </c>
      <c r="R15" s="185">
        <f t="shared" ref="R15" si="17">P15*Q15</f>
        <v>208.74803199999997</v>
      </c>
      <c r="S15" s="187">
        <f>VLOOKUP(N15,Tarifa1,2)</f>
        <v>183.45</v>
      </c>
      <c r="T15" s="185">
        <f t="shared" ref="T15" si="18">R15+S15</f>
        <v>392.19803199999996</v>
      </c>
      <c r="U15" s="185">
        <f>VLOOKUP(N15,Credito1,2)</f>
        <v>0</v>
      </c>
      <c r="V15" s="185">
        <f t="shared" ref="V15" si="19">ROUND(T15-U15,2)</f>
        <v>392.2</v>
      </c>
      <c r="W15" s="184">
        <f t="shared" ref="W15" si="20">-IF(V15&gt;0,0,V15)</f>
        <v>0</v>
      </c>
      <c r="X15" s="184">
        <f>IF(J15/15&lt;=SMG,0,IF(V15&lt;0,0,V15))</f>
        <v>392.2</v>
      </c>
      <c r="Y15" s="188">
        <v>0</v>
      </c>
      <c r="Z15" s="184">
        <f>SUM(X15:Y15)</f>
        <v>392.2</v>
      </c>
      <c r="AA15" s="184">
        <f>L15+W15-Z15</f>
        <v>4650.8</v>
      </c>
      <c r="AB15" s="58"/>
      <c r="AH15" s="64"/>
    </row>
    <row r="16" spans="1:34" s="51" customFormat="1" ht="43.5" customHeight="1" x14ac:dyDescent="0.3">
      <c r="A16" s="85"/>
      <c r="B16" s="140" t="s">
        <v>102</v>
      </c>
      <c r="C16" s="140" t="s">
        <v>136</v>
      </c>
      <c r="D16" s="141" t="s">
        <v>133</v>
      </c>
      <c r="E16" s="142" t="s">
        <v>103</v>
      </c>
      <c r="F16" s="142" t="s">
        <v>340</v>
      </c>
      <c r="G16" s="142" t="s">
        <v>61</v>
      </c>
      <c r="H16" s="142"/>
      <c r="I16" s="142"/>
      <c r="J16" s="143">
        <f>SUM(J17:J18)</f>
        <v>14885</v>
      </c>
      <c r="K16" s="143">
        <f>SUM(K17:K18)</f>
        <v>0</v>
      </c>
      <c r="L16" s="143">
        <f>SUM(L17:L18)</f>
        <v>14885</v>
      </c>
      <c r="M16" s="142"/>
      <c r="N16" s="142"/>
      <c r="O16" s="142"/>
      <c r="P16" s="142"/>
      <c r="Q16" s="142"/>
      <c r="R16" s="142"/>
      <c r="S16" s="145"/>
      <c r="T16" s="142"/>
      <c r="U16" s="142"/>
      <c r="V16" s="144"/>
      <c r="W16" s="143">
        <f>SUM(W17:W18)</f>
        <v>0</v>
      </c>
      <c r="X16" s="143">
        <f>SUM(X17:X18)</f>
        <v>1756.38</v>
      </c>
      <c r="Y16" s="143">
        <f>SUM(Y17:Y18)</f>
        <v>0</v>
      </c>
      <c r="Z16" s="143">
        <f>SUM(Z17:Z18)</f>
        <v>1756.38</v>
      </c>
      <c r="AA16" s="143">
        <f>SUM(AA17:AA18)</f>
        <v>13128.619999999999</v>
      </c>
      <c r="AB16" s="63"/>
      <c r="AH16" s="64"/>
    </row>
    <row r="17" spans="1:3225" s="51" customFormat="1" ht="90" customHeight="1" x14ac:dyDescent="0.35">
      <c r="A17" s="85" t="s">
        <v>89</v>
      </c>
      <c r="B17" s="176" t="s">
        <v>181</v>
      </c>
      <c r="C17" s="177" t="s">
        <v>127</v>
      </c>
      <c r="D17" s="263" t="s">
        <v>157</v>
      </c>
      <c r="E17" s="178" t="s">
        <v>173</v>
      </c>
      <c r="F17" s="234" t="s">
        <v>358</v>
      </c>
      <c r="G17" s="179" t="s">
        <v>83</v>
      </c>
      <c r="H17" s="180">
        <v>15</v>
      </c>
      <c r="I17" s="181">
        <v>625.85200000000009</v>
      </c>
      <c r="J17" s="182">
        <v>10653</v>
      </c>
      <c r="K17" s="183">
        <v>0</v>
      </c>
      <c r="L17" s="184">
        <f>J17</f>
        <v>10653</v>
      </c>
      <c r="M17" s="185">
        <f>IF(J17/15&lt;=SMG,0,K17/2)</f>
        <v>0</v>
      </c>
      <c r="N17" s="185">
        <f t="shared" ref="N17" si="21">J17+M17</f>
        <v>10653</v>
      </c>
      <c r="O17" s="185">
        <f>VLOOKUP(N17,Tarifa1,1)</f>
        <v>7641.91</v>
      </c>
      <c r="P17" s="185">
        <f t="shared" ref="P17" si="22">N17-O17</f>
        <v>3011.09</v>
      </c>
      <c r="Q17" s="186">
        <f>VLOOKUP(N17,Tarifa1,3)</f>
        <v>0.21360000000000001</v>
      </c>
      <c r="R17" s="185">
        <f t="shared" ref="R17" si="23">P17*Q17</f>
        <v>643.16882400000009</v>
      </c>
      <c r="S17" s="187">
        <f>VLOOKUP(N17,Tarifa1,2)</f>
        <v>809.25</v>
      </c>
      <c r="T17" s="185">
        <f t="shared" ref="T17" si="24">R17+S17</f>
        <v>1452.4188240000001</v>
      </c>
      <c r="U17" s="185">
        <f>VLOOKUP(N17,Credito1,2)</f>
        <v>0</v>
      </c>
      <c r="V17" s="185">
        <f t="shared" ref="V17" si="25">ROUND(T17-U17,2)</f>
        <v>1452.42</v>
      </c>
      <c r="W17" s="184">
        <f t="shared" ref="W17" si="26">-IF(V17&gt;0,0,V17)</f>
        <v>0</v>
      </c>
      <c r="X17" s="184">
        <f>IF(J17/15&lt;=SMG,0,IF(V17&lt;0,0,V17))</f>
        <v>1452.42</v>
      </c>
      <c r="Y17" s="188">
        <v>0</v>
      </c>
      <c r="Z17" s="184">
        <f>SUM(X17:Y17)</f>
        <v>1452.42</v>
      </c>
      <c r="AA17" s="184">
        <f>L17+W17-Z17</f>
        <v>9200.58</v>
      </c>
      <c r="AB17" s="58"/>
      <c r="AH17" s="64"/>
    </row>
    <row r="18" spans="1:3225" s="51" customFormat="1" ht="90" customHeight="1" x14ac:dyDescent="0.35">
      <c r="A18" s="175"/>
      <c r="B18" s="193" t="s">
        <v>328</v>
      </c>
      <c r="C18" s="194" t="s">
        <v>127</v>
      </c>
      <c r="D18" s="270" t="s">
        <v>329</v>
      </c>
      <c r="E18" s="195" t="s">
        <v>330</v>
      </c>
      <c r="F18" s="235" t="s">
        <v>399</v>
      </c>
      <c r="G18" s="198" t="s">
        <v>331</v>
      </c>
      <c r="H18" s="196">
        <v>14</v>
      </c>
      <c r="I18" s="197"/>
      <c r="J18" s="182">
        <v>4232</v>
      </c>
      <c r="K18" s="183">
        <v>0</v>
      </c>
      <c r="L18" s="184">
        <f t="shared" ref="L18" si="27">SUM(J18:K18)</f>
        <v>4232</v>
      </c>
      <c r="M18" s="185">
        <f t="shared" ref="M18" si="28">IF(J18/15&lt;=SMG,0,K18/2)</f>
        <v>0</v>
      </c>
      <c r="N18" s="185">
        <f t="shared" ref="N18" si="29">J18+M18</f>
        <v>4232</v>
      </c>
      <c r="O18" s="185">
        <f>VLOOKUP(N18,Tarifa1,1)</f>
        <v>3124.36</v>
      </c>
      <c r="P18" s="185">
        <f t="shared" ref="P18" si="30">N18-O18</f>
        <v>1107.6399999999999</v>
      </c>
      <c r="Q18" s="186">
        <f>VLOOKUP(N18,Tarifa1,3)</f>
        <v>0.10879999999999999</v>
      </c>
      <c r="R18" s="185">
        <f t="shared" ref="R18" si="31">P18*Q18</f>
        <v>120.51123199999998</v>
      </c>
      <c r="S18" s="187">
        <f>VLOOKUP(N18,Tarifa1,2)</f>
        <v>183.45</v>
      </c>
      <c r="T18" s="185">
        <f t="shared" ref="T18" si="32">R18+S18</f>
        <v>303.961232</v>
      </c>
      <c r="U18" s="185">
        <f>VLOOKUP(N18,Credito1,2)</f>
        <v>0</v>
      </c>
      <c r="V18" s="185">
        <f t="shared" ref="V18" si="33">ROUND(T18-U18,2)</f>
        <v>303.95999999999998</v>
      </c>
      <c r="W18" s="184">
        <f>-IF(V18&gt;0,0,V18)</f>
        <v>0</v>
      </c>
      <c r="X18" s="184">
        <f>IF(J18/15&lt;=SMG,0,IF(V18&lt;0,0,V18))</f>
        <v>303.95999999999998</v>
      </c>
      <c r="Y18" s="188">
        <v>0</v>
      </c>
      <c r="Z18" s="184">
        <f>SUM(X18:Y18)</f>
        <v>303.95999999999998</v>
      </c>
      <c r="AA18" s="184">
        <f>L18+W18-Z18</f>
        <v>3928.04</v>
      </c>
      <c r="AB18" s="56"/>
      <c r="AH18" s="64"/>
    </row>
    <row r="19" spans="1:3225" s="66" customFormat="1" ht="42" customHeight="1" x14ac:dyDescent="0.3">
      <c r="A19" s="146"/>
      <c r="B19" s="140" t="s">
        <v>102</v>
      </c>
      <c r="C19" s="140" t="s">
        <v>136</v>
      </c>
      <c r="D19" s="141" t="s">
        <v>134</v>
      </c>
      <c r="E19" s="142" t="s">
        <v>103</v>
      </c>
      <c r="F19" s="142" t="s">
        <v>340</v>
      </c>
      <c r="G19" s="142" t="s">
        <v>61</v>
      </c>
      <c r="H19" s="142"/>
      <c r="I19" s="142"/>
      <c r="J19" s="143">
        <f>SUM(J20:J20)</f>
        <v>2954</v>
      </c>
      <c r="K19" s="143">
        <f>SUM(K20:K20)</f>
        <v>0</v>
      </c>
      <c r="L19" s="143">
        <f>SUM(L20:L20)</f>
        <v>2954</v>
      </c>
      <c r="M19" s="142"/>
      <c r="N19" s="142"/>
      <c r="O19" s="142"/>
      <c r="P19" s="142"/>
      <c r="Q19" s="142"/>
      <c r="R19" s="142"/>
      <c r="S19" s="145"/>
      <c r="T19" s="142"/>
      <c r="U19" s="142"/>
      <c r="V19" s="144"/>
      <c r="W19" s="143">
        <f>SUM(W20:W20)</f>
        <v>0</v>
      </c>
      <c r="X19" s="143">
        <f>SUM(X20:X20)</f>
        <v>0</v>
      </c>
      <c r="Y19" s="143">
        <f>SUM(Y20:Y20)</f>
        <v>0</v>
      </c>
      <c r="Z19" s="143">
        <f>SUM(Z20:Z20)</f>
        <v>0</v>
      </c>
      <c r="AA19" s="143">
        <f>SUM(AA20:AA20)</f>
        <v>2954</v>
      </c>
      <c r="AB19" s="63"/>
      <c r="AC19" s="88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  <c r="DSZ19" s="51"/>
      <c r="DTA19" s="51"/>
    </row>
    <row r="20" spans="1:3225" s="66" customFormat="1" ht="90" customHeight="1" x14ac:dyDescent="0.35">
      <c r="A20" s="146"/>
      <c r="B20" s="177" t="s">
        <v>115</v>
      </c>
      <c r="C20" s="177" t="s">
        <v>127</v>
      </c>
      <c r="D20" s="265" t="s">
        <v>93</v>
      </c>
      <c r="E20" s="199" t="s">
        <v>116</v>
      </c>
      <c r="F20" s="234" t="s">
        <v>348</v>
      </c>
      <c r="G20" s="202" t="s">
        <v>165</v>
      </c>
      <c r="H20" s="200">
        <v>15</v>
      </c>
      <c r="I20" s="181">
        <v>178.81533333333334</v>
      </c>
      <c r="J20" s="182">
        <v>2954</v>
      </c>
      <c r="K20" s="183">
        <v>0</v>
      </c>
      <c r="L20" s="184">
        <f t="shared" ref="L20" si="34">SUM(J20:K20)</f>
        <v>2954</v>
      </c>
      <c r="M20" s="185">
        <f t="shared" ref="M20" si="35">IF(J20/15&lt;=SMG,0,K20/2)</f>
        <v>0</v>
      </c>
      <c r="N20" s="185">
        <f t="shared" ref="N20" si="36">J20+M20</f>
        <v>2954</v>
      </c>
      <c r="O20" s="185">
        <f>VLOOKUP(N20,Tarifa1,1)</f>
        <v>368.11</v>
      </c>
      <c r="P20" s="185">
        <f t="shared" ref="P20" si="37">N20-O20</f>
        <v>2585.89</v>
      </c>
      <c r="Q20" s="186">
        <f>VLOOKUP(N20,Tarifa1,3)</f>
        <v>6.4000000000000001E-2</v>
      </c>
      <c r="R20" s="185">
        <f t="shared" ref="R20" si="38">P20*Q20</f>
        <v>165.49696</v>
      </c>
      <c r="S20" s="187">
        <f>VLOOKUP(N20,Tarifa1,2)</f>
        <v>7.05</v>
      </c>
      <c r="T20" s="185">
        <f t="shared" ref="T20" si="39">R20+S20</f>
        <v>172.54696000000001</v>
      </c>
      <c r="U20" s="185">
        <f>VLOOKUP(N20,Credito1,2)</f>
        <v>145.35</v>
      </c>
      <c r="V20" s="185">
        <f t="shared" ref="V20" si="40">ROUND(T20-U20,2)</f>
        <v>27.2</v>
      </c>
      <c r="W20" s="184">
        <f t="shared" ref="W20" si="41">-IF(V20&gt;0,0,V20)</f>
        <v>0</v>
      </c>
      <c r="X20" s="201">
        <f>IF(J20/15&lt;=SMG,0,IF(V20&lt;0,0,V20))</f>
        <v>0</v>
      </c>
      <c r="Y20" s="188">
        <v>0</v>
      </c>
      <c r="Z20" s="184">
        <f>SUM(X20:Y20)</f>
        <v>0</v>
      </c>
      <c r="AA20" s="201">
        <f>L20+W20-Z20</f>
        <v>2954</v>
      </c>
      <c r="AB20" s="65"/>
      <c r="AC20" s="88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  <c r="AKG20" s="51"/>
      <c r="AKH20" s="51"/>
      <c r="AKI20" s="51"/>
      <c r="AKJ20" s="51"/>
      <c r="AKK20" s="51"/>
      <c r="AKL20" s="51"/>
      <c r="AKM20" s="51"/>
      <c r="AKN20" s="51"/>
      <c r="AKO20" s="51"/>
      <c r="AKP20" s="51"/>
      <c r="AKQ20" s="51"/>
      <c r="AKR20" s="51"/>
      <c r="AKS20" s="51"/>
      <c r="AKT20" s="51"/>
      <c r="AKU20" s="51"/>
      <c r="AKV20" s="51"/>
      <c r="AKW20" s="51"/>
      <c r="AKX20" s="51"/>
      <c r="AKY20" s="51"/>
      <c r="AKZ20" s="51"/>
      <c r="ALA20" s="51"/>
      <c r="ALB20" s="51"/>
      <c r="ALC20" s="51"/>
      <c r="ALD20" s="51"/>
      <c r="ALE20" s="51"/>
      <c r="ALF20" s="51"/>
      <c r="ALG20" s="51"/>
      <c r="ALH20" s="51"/>
      <c r="ALI20" s="51"/>
      <c r="ALJ20" s="51"/>
      <c r="ALK20" s="51"/>
      <c r="ALL20" s="51"/>
      <c r="ALM20" s="51"/>
      <c r="ALN20" s="51"/>
      <c r="ALO20" s="51"/>
      <c r="ALP20" s="51"/>
      <c r="ALQ20" s="51"/>
      <c r="ALR20" s="51"/>
      <c r="ALS20" s="51"/>
      <c r="ALT20" s="51"/>
      <c r="ALU20" s="51"/>
      <c r="ALV20" s="51"/>
      <c r="ALW20" s="51"/>
      <c r="ALX20" s="51"/>
      <c r="ALY20" s="51"/>
      <c r="ALZ20" s="51"/>
      <c r="AMA20" s="51"/>
      <c r="AMB20" s="51"/>
      <c r="AMC20" s="51"/>
      <c r="AMD20" s="51"/>
      <c r="AME20" s="51"/>
      <c r="AMF20" s="51"/>
      <c r="AMG20" s="51"/>
      <c r="AMH20" s="51"/>
      <c r="AMI20" s="51"/>
      <c r="AMJ20" s="51"/>
      <c r="AMK20" s="51"/>
      <c r="AML20" s="51"/>
      <c r="AMM20" s="51"/>
      <c r="AMN20" s="51"/>
      <c r="AMO20" s="51"/>
      <c r="AMP20" s="51"/>
      <c r="AMQ20" s="51"/>
      <c r="AMR20" s="51"/>
      <c r="AMS20" s="51"/>
      <c r="AMT20" s="51"/>
      <c r="AMU20" s="51"/>
      <c r="AMV20" s="51"/>
      <c r="AMW20" s="51"/>
      <c r="AMX20" s="51"/>
      <c r="AMY20" s="51"/>
      <c r="AMZ20" s="51"/>
      <c r="ANA20" s="51"/>
      <c r="ANB20" s="51"/>
      <c r="ANC20" s="51"/>
      <c r="AND20" s="51"/>
      <c r="ANE20" s="51"/>
      <c r="ANF20" s="51"/>
      <c r="ANG20" s="51"/>
      <c r="ANH20" s="51"/>
      <c r="ANI20" s="51"/>
      <c r="ANJ20" s="51"/>
      <c r="ANK20" s="51"/>
      <c r="ANL20" s="51"/>
      <c r="ANM20" s="51"/>
      <c r="ANN20" s="51"/>
      <c r="ANO20" s="51"/>
      <c r="ANP20" s="51"/>
      <c r="ANQ20" s="51"/>
      <c r="ANR20" s="51"/>
      <c r="ANS20" s="51"/>
      <c r="ANT20" s="51"/>
      <c r="ANU20" s="51"/>
      <c r="ANV20" s="51"/>
      <c r="ANW20" s="51"/>
      <c r="ANX20" s="51"/>
      <c r="ANY20" s="51"/>
      <c r="ANZ20" s="51"/>
      <c r="AOA20" s="51"/>
      <c r="AOB20" s="51"/>
      <c r="AOC20" s="51"/>
      <c r="AOD20" s="51"/>
      <c r="AOE20" s="51"/>
      <c r="AOF20" s="51"/>
      <c r="AOG20" s="51"/>
      <c r="AOH20" s="51"/>
      <c r="AOI20" s="51"/>
      <c r="AOJ20" s="51"/>
      <c r="AOK20" s="51"/>
      <c r="AOL20" s="51"/>
      <c r="AOM20" s="51"/>
      <c r="AON20" s="51"/>
      <c r="AOO20" s="51"/>
      <c r="AOP20" s="51"/>
      <c r="AOQ20" s="51"/>
      <c r="AOR20" s="51"/>
      <c r="AOS20" s="51"/>
      <c r="AOT20" s="51"/>
      <c r="AOU20" s="51"/>
      <c r="AOV20" s="51"/>
      <c r="AOW20" s="51"/>
      <c r="AOX20" s="51"/>
      <c r="AOY20" s="51"/>
      <c r="AOZ20" s="51"/>
      <c r="APA20" s="51"/>
      <c r="APB20" s="51"/>
      <c r="APC20" s="51"/>
      <c r="APD20" s="51"/>
      <c r="APE20" s="51"/>
      <c r="APF20" s="51"/>
      <c r="APG20" s="51"/>
      <c r="APH20" s="51"/>
      <c r="API20" s="51"/>
      <c r="APJ20" s="51"/>
      <c r="APK20" s="51"/>
      <c r="APL20" s="51"/>
      <c r="APM20" s="51"/>
      <c r="APN20" s="51"/>
      <c r="APO20" s="51"/>
      <c r="APP20" s="51"/>
      <c r="APQ20" s="51"/>
      <c r="APR20" s="51"/>
      <c r="APS20" s="51"/>
      <c r="APT20" s="51"/>
      <c r="APU20" s="51"/>
      <c r="APV20" s="51"/>
      <c r="APW20" s="51"/>
      <c r="APX20" s="51"/>
      <c r="APY20" s="51"/>
      <c r="APZ20" s="51"/>
      <c r="AQA20" s="51"/>
      <c r="AQB20" s="51"/>
      <c r="AQC20" s="51"/>
      <c r="AQD20" s="51"/>
      <c r="AQE20" s="51"/>
      <c r="AQF20" s="51"/>
      <c r="AQG20" s="51"/>
      <c r="AQH20" s="51"/>
      <c r="AQI20" s="51"/>
      <c r="AQJ20" s="51"/>
      <c r="AQK20" s="51"/>
      <c r="AQL20" s="51"/>
      <c r="AQM20" s="51"/>
      <c r="AQN20" s="51"/>
      <c r="AQO20" s="51"/>
      <c r="AQP20" s="51"/>
      <c r="AQQ20" s="51"/>
      <c r="AQR20" s="51"/>
      <c r="AQS20" s="51"/>
      <c r="AQT20" s="51"/>
      <c r="AQU20" s="51"/>
      <c r="AQV20" s="51"/>
      <c r="AQW20" s="51"/>
      <c r="AQX20" s="51"/>
      <c r="AQY20" s="51"/>
      <c r="AQZ20" s="51"/>
      <c r="ARA20" s="51"/>
      <c r="ARB20" s="51"/>
      <c r="ARC20" s="51"/>
      <c r="ARD20" s="51"/>
      <c r="ARE20" s="51"/>
      <c r="ARF20" s="51"/>
      <c r="ARG20" s="51"/>
      <c r="ARH20" s="51"/>
      <c r="ARI20" s="51"/>
      <c r="ARJ20" s="51"/>
      <c r="ARK20" s="51"/>
      <c r="ARL20" s="51"/>
      <c r="ARM20" s="51"/>
      <c r="ARN20" s="51"/>
      <c r="ARO20" s="51"/>
      <c r="ARP20" s="51"/>
      <c r="ARQ20" s="51"/>
      <c r="ARR20" s="51"/>
      <c r="ARS20" s="51"/>
      <c r="ART20" s="51"/>
      <c r="ARU20" s="51"/>
      <c r="ARV20" s="51"/>
      <c r="ARW20" s="51"/>
      <c r="ARX20" s="51"/>
      <c r="ARY20" s="51"/>
      <c r="ARZ20" s="51"/>
      <c r="ASA20" s="51"/>
      <c r="ASB20" s="51"/>
      <c r="ASC20" s="51"/>
      <c r="ASD20" s="51"/>
      <c r="ASE20" s="51"/>
      <c r="ASF20" s="51"/>
      <c r="ASG20" s="51"/>
      <c r="ASH20" s="51"/>
      <c r="ASI20" s="51"/>
      <c r="ASJ20" s="51"/>
      <c r="ASK20" s="51"/>
      <c r="ASL20" s="51"/>
      <c r="ASM20" s="51"/>
      <c r="ASN20" s="51"/>
      <c r="ASO20" s="51"/>
      <c r="ASP20" s="51"/>
      <c r="ASQ20" s="51"/>
      <c r="ASR20" s="51"/>
      <c r="ASS20" s="51"/>
      <c r="AST20" s="51"/>
      <c r="ASU20" s="51"/>
      <c r="ASV20" s="51"/>
      <c r="ASW20" s="51"/>
      <c r="ASX20" s="51"/>
      <c r="ASY20" s="51"/>
      <c r="ASZ20" s="51"/>
      <c r="ATA20" s="51"/>
      <c r="ATB20" s="51"/>
      <c r="ATC20" s="51"/>
      <c r="ATD20" s="51"/>
      <c r="ATE20" s="51"/>
      <c r="ATF20" s="51"/>
      <c r="ATG20" s="51"/>
      <c r="ATH20" s="51"/>
      <c r="ATI20" s="51"/>
      <c r="ATJ20" s="51"/>
      <c r="ATK20" s="51"/>
      <c r="ATL20" s="51"/>
      <c r="ATM20" s="51"/>
      <c r="ATN20" s="51"/>
      <c r="ATO20" s="51"/>
      <c r="ATP20" s="51"/>
      <c r="ATQ20" s="51"/>
      <c r="ATR20" s="51"/>
      <c r="ATS20" s="51"/>
      <c r="ATT20" s="51"/>
      <c r="ATU20" s="51"/>
      <c r="ATV20" s="51"/>
      <c r="ATW20" s="51"/>
      <c r="ATX20" s="51"/>
      <c r="ATY20" s="51"/>
      <c r="ATZ20" s="51"/>
      <c r="AUA20" s="51"/>
      <c r="AUB20" s="51"/>
      <c r="AUC20" s="51"/>
      <c r="AUD20" s="51"/>
      <c r="AUE20" s="51"/>
      <c r="AUF20" s="51"/>
      <c r="AUG20" s="51"/>
      <c r="AUH20" s="51"/>
      <c r="AUI20" s="51"/>
      <c r="AUJ20" s="51"/>
      <c r="AUK20" s="51"/>
      <c r="AUL20" s="51"/>
      <c r="AUM20" s="51"/>
      <c r="AUN20" s="51"/>
      <c r="AUO20" s="51"/>
      <c r="AUP20" s="51"/>
      <c r="AUQ20" s="51"/>
      <c r="AUR20" s="51"/>
      <c r="AUS20" s="51"/>
      <c r="AUT20" s="51"/>
      <c r="AUU20" s="51"/>
      <c r="AUV20" s="51"/>
      <c r="AUW20" s="51"/>
      <c r="AUX20" s="51"/>
      <c r="AUY20" s="51"/>
      <c r="AUZ20" s="51"/>
      <c r="AVA20" s="51"/>
      <c r="AVB20" s="51"/>
      <c r="AVC20" s="51"/>
      <c r="AVD20" s="51"/>
      <c r="AVE20" s="51"/>
      <c r="AVF20" s="51"/>
      <c r="AVG20" s="51"/>
      <c r="AVH20" s="51"/>
      <c r="AVI20" s="51"/>
      <c r="AVJ20" s="51"/>
      <c r="AVK20" s="51"/>
      <c r="AVL20" s="51"/>
      <c r="AVM20" s="51"/>
      <c r="AVN20" s="51"/>
      <c r="AVO20" s="51"/>
      <c r="AVP20" s="51"/>
      <c r="AVQ20" s="51"/>
      <c r="AVR20" s="51"/>
      <c r="AVS20" s="51"/>
      <c r="AVT20" s="51"/>
      <c r="AVU20" s="51"/>
      <c r="AVV20" s="51"/>
      <c r="AVW20" s="51"/>
      <c r="AVX20" s="51"/>
      <c r="AVY20" s="51"/>
      <c r="AVZ20" s="51"/>
      <c r="AWA20" s="51"/>
      <c r="AWB20" s="51"/>
      <c r="AWC20" s="51"/>
      <c r="AWD20" s="51"/>
      <c r="AWE20" s="51"/>
      <c r="AWF20" s="51"/>
      <c r="AWG20" s="51"/>
      <c r="AWH20" s="51"/>
      <c r="AWI20" s="51"/>
      <c r="AWJ20" s="51"/>
      <c r="AWK20" s="51"/>
      <c r="AWL20" s="51"/>
      <c r="AWM20" s="51"/>
      <c r="AWN20" s="51"/>
      <c r="AWO20" s="51"/>
      <c r="AWP20" s="51"/>
      <c r="AWQ20" s="51"/>
      <c r="AWR20" s="51"/>
      <c r="AWS20" s="51"/>
      <c r="AWT20" s="51"/>
      <c r="AWU20" s="51"/>
      <c r="AWV20" s="51"/>
      <c r="AWW20" s="51"/>
      <c r="AWX20" s="51"/>
      <c r="AWY20" s="51"/>
      <c r="AWZ20" s="51"/>
      <c r="AXA20" s="51"/>
      <c r="AXB20" s="51"/>
      <c r="AXC20" s="51"/>
      <c r="AXD20" s="51"/>
      <c r="AXE20" s="51"/>
      <c r="AXF20" s="51"/>
      <c r="AXG20" s="51"/>
      <c r="AXH20" s="51"/>
      <c r="AXI20" s="51"/>
      <c r="AXJ20" s="51"/>
      <c r="AXK20" s="51"/>
      <c r="AXL20" s="51"/>
      <c r="AXM20" s="51"/>
      <c r="AXN20" s="51"/>
      <c r="AXO20" s="51"/>
      <c r="AXP20" s="51"/>
      <c r="AXQ20" s="51"/>
      <c r="AXR20" s="51"/>
      <c r="AXS20" s="51"/>
      <c r="AXT20" s="51"/>
      <c r="AXU20" s="51"/>
      <c r="AXV20" s="51"/>
      <c r="AXW20" s="51"/>
      <c r="AXX20" s="51"/>
      <c r="AXY20" s="51"/>
      <c r="AXZ20" s="51"/>
      <c r="AYA20" s="51"/>
      <c r="AYB20" s="51"/>
      <c r="AYC20" s="51"/>
      <c r="AYD20" s="51"/>
      <c r="AYE20" s="51"/>
      <c r="AYF20" s="51"/>
      <c r="AYG20" s="51"/>
      <c r="AYH20" s="51"/>
      <c r="AYI20" s="51"/>
      <c r="AYJ20" s="51"/>
      <c r="AYK20" s="51"/>
      <c r="AYL20" s="51"/>
      <c r="AYM20" s="51"/>
      <c r="AYN20" s="51"/>
      <c r="AYO20" s="51"/>
      <c r="AYP20" s="51"/>
      <c r="AYQ20" s="51"/>
      <c r="AYR20" s="51"/>
      <c r="AYS20" s="51"/>
      <c r="AYT20" s="51"/>
      <c r="AYU20" s="51"/>
      <c r="AYV20" s="51"/>
      <c r="AYW20" s="51"/>
      <c r="AYX20" s="51"/>
      <c r="AYY20" s="51"/>
      <c r="AYZ20" s="51"/>
      <c r="AZA20" s="51"/>
      <c r="AZB20" s="51"/>
      <c r="AZC20" s="51"/>
      <c r="AZD20" s="51"/>
      <c r="AZE20" s="51"/>
      <c r="AZF20" s="51"/>
      <c r="AZG20" s="51"/>
      <c r="AZH20" s="51"/>
      <c r="AZI20" s="51"/>
      <c r="AZJ20" s="51"/>
      <c r="AZK20" s="51"/>
      <c r="AZL20" s="51"/>
      <c r="AZM20" s="51"/>
      <c r="AZN20" s="51"/>
      <c r="AZO20" s="51"/>
      <c r="AZP20" s="51"/>
      <c r="AZQ20" s="51"/>
      <c r="AZR20" s="51"/>
      <c r="AZS20" s="51"/>
      <c r="AZT20" s="51"/>
      <c r="AZU20" s="51"/>
      <c r="AZV20" s="51"/>
      <c r="AZW20" s="51"/>
      <c r="AZX20" s="51"/>
      <c r="AZY20" s="51"/>
      <c r="AZZ20" s="51"/>
      <c r="BAA20" s="51"/>
      <c r="BAB20" s="51"/>
      <c r="BAC20" s="51"/>
      <c r="BAD20" s="51"/>
      <c r="BAE20" s="51"/>
      <c r="BAF20" s="51"/>
      <c r="BAG20" s="51"/>
      <c r="BAH20" s="51"/>
      <c r="BAI20" s="51"/>
      <c r="BAJ20" s="51"/>
      <c r="BAK20" s="51"/>
      <c r="BAL20" s="51"/>
      <c r="BAM20" s="51"/>
      <c r="BAN20" s="51"/>
      <c r="BAO20" s="51"/>
      <c r="BAP20" s="51"/>
      <c r="BAQ20" s="51"/>
      <c r="BAR20" s="51"/>
      <c r="BAS20" s="51"/>
      <c r="BAT20" s="51"/>
      <c r="BAU20" s="51"/>
      <c r="BAV20" s="51"/>
      <c r="BAW20" s="51"/>
      <c r="BAX20" s="51"/>
      <c r="BAY20" s="51"/>
      <c r="BAZ20" s="51"/>
      <c r="BBA20" s="51"/>
      <c r="BBB20" s="51"/>
      <c r="BBC20" s="51"/>
      <c r="BBD20" s="51"/>
      <c r="BBE20" s="51"/>
      <c r="BBF20" s="51"/>
      <c r="BBG20" s="51"/>
      <c r="BBH20" s="51"/>
      <c r="BBI20" s="51"/>
      <c r="BBJ20" s="51"/>
      <c r="BBK20" s="51"/>
      <c r="BBL20" s="51"/>
      <c r="BBM20" s="51"/>
      <c r="BBN20" s="51"/>
      <c r="BBO20" s="51"/>
      <c r="BBP20" s="51"/>
      <c r="BBQ20" s="51"/>
      <c r="BBR20" s="51"/>
      <c r="BBS20" s="51"/>
      <c r="BBT20" s="51"/>
      <c r="BBU20" s="51"/>
      <c r="BBV20" s="51"/>
      <c r="BBW20" s="51"/>
      <c r="BBX20" s="51"/>
      <c r="BBY20" s="51"/>
      <c r="BBZ20" s="51"/>
      <c r="BCA20" s="51"/>
      <c r="BCB20" s="51"/>
      <c r="BCC20" s="51"/>
      <c r="BCD20" s="51"/>
      <c r="BCE20" s="51"/>
      <c r="BCF20" s="51"/>
      <c r="BCG20" s="51"/>
      <c r="BCH20" s="51"/>
      <c r="BCI20" s="51"/>
      <c r="BCJ20" s="51"/>
      <c r="BCK20" s="51"/>
      <c r="BCL20" s="51"/>
      <c r="BCM20" s="51"/>
      <c r="BCN20" s="51"/>
      <c r="BCO20" s="51"/>
      <c r="BCP20" s="51"/>
      <c r="BCQ20" s="51"/>
      <c r="BCR20" s="51"/>
      <c r="BCS20" s="51"/>
      <c r="BCT20" s="51"/>
      <c r="BCU20" s="51"/>
      <c r="BCV20" s="51"/>
      <c r="BCW20" s="51"/>
      <c r="BCX20" s="51"/>
      <c r="BCY20" s="51"/>
      <c r="BCZ20" s="51"/>
      <c r="BDA20" s="51"/>
      <c r="BDB20" s="51"/>
      <c r="BDC20" s="51"/>
      <c r="BDD20" s="51"/>
      <c r="BDE20" s="51"/>
      <c r="BDF20" s="51"/>
      <c r="BDG20" s="51"/>
      <c r="BDH20" s="51"/>
      <c r="BDI20" s="51"/>
      <c r="BDJ20" s="51"/>
      <c r="BDK20" s="51"/>
      <c r="BDL20" s="51"/>
      <c r="BDM20" s="51"/>
      <c r="BDN20" s="51"/>
      <c r="BDO20" s="51"/>
      <c r="BDP20" s="51"/>
      <c r="BDQ20" s="51"/>
      <c r="BDR20" s="51"/>
      <c r="BDS20" s="51"/>
      <c r="BDT20" s="51"/>
      <c r="BDU20" s="51"/>
      <c r="BDV20" s="51"/>
      <c r="BDW20" s="51"/>
      <c r="BDX20" s="51"/>
      <c r="BDY20" s="51"/>
      <c r="BDZ20" s="51"/>
      <c r="BEA20" s="51"/>
      <c r="BEB20" s="51"/>
      <c r="BEC20" s="51"/>
      <c r="BED20" s="51"/>
      <c r="BEE20" s="51"/>
      <c r="BEF20" s="51"/>
      <c r="BEG20" s="51"/>
      <c r="BEH20" s="51"/>
      <c r="BEI20" s="51"/>
      <c r="BEJ20" s="51"/>
      <c r="BEK20" s="51"/>
      <c r="BEL20" s="51"/>
      <c r="BEM20" s="51"/>
      <c r="BEN20" s="51"/>
      <c r="BEO20" s="51"/>
      <c r="BEP20" s="51"/>
      <c r="BEQ20" s="51"/>
      <c r="BER20" s="51"/>
      <c r="BES20" s="51"/>
      <c r="BET20" s="51"/>
      <c r="BEU20" s="51"/>
      <c r="BEV20" s="51"/>
      <c r="BEW20" s="51"/>
      <c r="BEX20" s="51"/>
      <c r="BEY20" s="51"/>
      <c r="BEZ20" s="51"/>
      <c r="BFA20" s="51"/>
      <c r="BFB20" s="51"/>
      <c r="BFC20" s="51"/>
      <c r="BFD20" s="51"/>
      <c r="BFE20" s="51"/>
      <c r="BFF20" s="51"/>
      <c r="BFG20" s="51"/>
      <c r="BFH20" s="51"/>
      <c r="BFI20" s="51"/>
      <c r="BFJ20" s="51"/>
      <c r="BFK20" s="51"/>
      <c r="BFL20" s="51"/>
      <c r="BFM20" s="51"/>
      <c r="BFN20" s="51"/>
      <c r="BFO20" s="51"/>
      <c r="BFP20" s="51"/>
      <c r="BFQ20" s="51"/>
      <c r="BFR20" s="51"/>
      <c r="BFS20" s="51"/>
      <c r="BFT20" s="51"/>
      <c r="BFU20" s="51"/>
      <c r="BFV20" s="51"/>
      <c r="BFW20" s="51"/>
      <c r="BFX20" s="51"/>
      <c r="BFY20" s="51"/>
      <c r="BFZ20" s="51"/>
      <c r="BGA20" s="51"/>
      <c r="BGB20" s="51"/>
      <c r="BGC20" s="51"/>
      <c r="BGD20" s="51"/>
      <c r="BGE20" s="51"/>
      <c r="BGF20" s="51"/>
      <c r="BGG20" s="51"/>
      <c r="BGH20" s="51"/>
      <c r="BGI20" s="51"/>
      <c r="BGJ20" s="51"/>
      <c r="BGK20" s="51"/>
      <c r="BGL20" s="51"/>
      <c r="BGM20" s="51"/>
      <c r="BGN20" s="51"/>
      <c r="BGO20" s="51"/>
      <c r="BGP20" s="51"/>
      <c r="BGQ20" s="51"/>
      <c r="BGR20" s="51"/>
      <c r="BGS20" s="51"/>
      <c r="BGT20" s="51"/>
      <c r="BGU20" s="51"/>
      <c r="BGV20" s="51"/>
      <c r="BGW20" s="51"/>
      <c r="BGX20" s="51"/>
      <c r="BGY20" s="51"/>
      <c r="BGZ20" s="51"/>
      <c r="BHA20" s="51"/>
      <c r="BHB20" s="51"/>
      <c r="BHC20" s="51"/>
      <c r="BHD20" s="51"/>
      <c r="BHE20" s="51"/>
      <c r="BHF20" s="51"/>
      <c r="BHG20" s="51"/>
      <c r="BHH20" s="51"/>
      <c r="BHI20" s="51"/>
      <c r="BHJ20" s="51"/>
      <c r="BHK20" s="51"/>
      <c r="BHL20" s="51"/>
      <c r="BHM20" s="51"/>
      <c r="BHN20" s="51"/>
      <c r="BHO20" s="51"/>
      <c r="BHP20" s="51"/>
      <c r="BHQ20" s="51"/>
      <c r="BHR20" s="51"/>
      <c r="BHS20" s="51"/>
      <c r="BHT20" s="51"/>
      <c r="BHU20" s="51"/>
      <c r="BHV20" s="51"/>
      <c r="BHW20" s="51"/>
      <c r="BHX20" s="51"/>
      <c r="BHY20" s="51"/>
      <c r="BHZ20" s="51"/>
      <c r="BIA20" s="51"/>
      <c r="BIB20" s="51"/>
      <c r="BIC20" s="51"/>
      <c r="BID20" s="51"/>
      <c r="BIE20" s="51"/>
      <c r="BIF20" s="51"/>
      <c r="BIG20" s="51"/>
      <c r="BIH20" s="51"/>
      <c r="BII20" s="51"/>
      <c r="BIJ20" s="51"/>
      <c r="BIK20" s="51"/>
      <c r="BIL20" s="51"/>
      <c r="BIM20" s="51"/>
      <c r="BIN20" s="51"/>
      <c r="BIO20" s="51"/>
      <c r="BIP20" s="51"/>
      <c r="BIQ20" s="51"/>
      <c r="BIR20" s="51"/>
      <c r="BIS20" s="51"/>
      <c r="BIT20" s="51"/>
      <c r="BIU20" s="51"/>
      <c r="BIV20" s="51"/>
      <c r="BIW20" s="51"/>
      <c r="BIX20" s="51"/>
      <c r="BIY20" s="51"/>
      <c r="BIZ20" s="51"/>
      <c r="BJA20" s="51"/>
      <c r="BJB20" s="51"/>
      <c r="BJC20" s="51"/>
      <c r="BJD20" s="51"/>
      <c r="BJE20" s="51"/>
      <c r="BJF20" s="51"/>
      <c r="BJG20" s="51"/>
      <c r="BJH20" s="51"/>
      <c r="BJI20" s="51"/>
      <c r="BJJ20" s="51"/>
      <c r="BJK20" s="51"/>
      <c r="BJL20" s="51"/>
      <c r="BJM20" s="51"/>
      <c r="BJN20" s="51"/>
      <c r="BJO20" s="51"/>
      <c r="BJP20" s="51"/>
      <c r="BJQ20" s="51"/>
      <c r="BJR20" s="51"/>
      <c r="BJS20" s="51"/>
      <c r="BJT20" s="51"/>
      <c r="BJU20" s="51"/>
      <c r="BJV20" s="51"/>
      <c r="BJW20" s="51"/>
      <c r="BJX20" s="51"/>
      <c r="BJY20" s="51"/>
      <c r="BJZ20" s="51"/>
      <c r="BKA20" s="51"/>
      <c r="BKB20" s="51"/>
      <c r="BKC20" s="51"/>
      <c r="BKD20" s="51"/>
      <c r="BKE20" s="51"/>
      <c r="BKF20" s="51"/>
      <c r="BKG20" s="51"/>
      <c r="BKH20" s="51"/>
      <c r="BKI20" s="51"/>
      <c r="BKJ20" s="51"/>
      <c r="BKK20" s="51"/>
      <c r="BKL20" s="51"/>
      <c r="BKM20" s="51"/>
      <c r="BKN20" s="51"/>
      <c r="BKO20" s="51"/>
      <c r="BKP20" s="51"/>
      <c r="BKQ20" s="51"/>
      <c r="BKR20" s="51"/>
      <c r="BKS20" s="51"/>
      <c r="BKT20" s="51"/>
      <c r="BKU20" s="51"/>
      <c r="BKV20" s="51"/>
      <c r="BKW20" s="51"/>
      <c r="BKX20" s="51"/>
      <c r="BKY20" s="51"/>
      <c r="BKZ20" s="51"/>
      <c r="BLA20" s="51"/>
      <c r="BLB20" s="51"/>
      <c r="BLC20" s="51"/>
      <c r="BLD20" s="51"/>
      <c r="BLE20" s="51"/>
      <c r="BLF20" s="51"/>
      <c r="BLG20" s="51"/>
      <c r="BLH20" s="51"/>
      <c r="BLI20" s="51"/>
      <c r="BLJ20" s="51"/>
      <c r="BLK20" s="51"/>
      <c r="BLL20" s="51"/>
      <c r="BLM20" s="51"/>
      <c r="BLN20" s="51"/>
      <c r="BLO20" s="51"/>
      <c r="BLP20" s="51"/>
      <c r="BLQ20" s="51"/>
      <c r="BLR20" s="51"/>
      <c r="BLS20" s="51"/>
      <c r="BLT20" s="51"/>
      <c r="BLU20" s="51"/>
      <c r="BLV20" s="51"/>
      <c r="BLW20" s="51"/>
      <c r="BLX20" s="51"/>
      <c r="BLY20" s="51"/>
      <c r="BLZ20" s="51"/>
      <c r="BMA20" s="51"/>
      <c r="BMB20" s="51"/>
      <c r="BMC20" s="51"/>
      <c r="BMD20" s="51"/>
      <c r="BME20" s="51"/>
      <c r="BMF20" s="51"/>
      <c r="BMG20" s="51"/>
      <c r="BMH20" s="51"/>
      <c r="BMI20" s="51"/>
      <c r="BMJ20" s="51"/>
      <c r="BMK20" s="51"/>
      <c r="BML20" s="51"/>
      <c r="BMM20" s="51"/>
      <c r="BMN20" s="51"/>
      <c r="BMO20" s="51"/>
      <c r="BMP20" s="51"/>
      <c r="BMQ20" s="51"/>
      <c r="BMR20" s="51"/>
      <c r="BMS20" s="51"/>
      <c r="BMT20" s="51"/>
      <c r="BMU20" s="51"/>
      <c r="BMV20" s="51"/>
      <c r="BMW20" s="51"/>
      <c r="BMX20" s="51"/>
      <c r="BMY20" s="51"/>
      <c r="BMZ20" s="51"/>
      <c r="BNA20" s="51"/>
      <c r="BNB20" s="51"/>
      <c r="BNC20" s="51"/>
      <c r="BND20" s="51"/>
      <c r="BNE20" s="51"/>
      <c r="BNF20" s="51"/>
      <c r="BNG20" s="51"/>
      <c r="BNH20" s="51"/>
      <c r="BNI20" s="51"/>
      <c r="BNJ20" s="51"/>
      <c r="BNK20" s="51"/>
      <c r="BNL20" s="51"/>
      <c r="BNM20" s="51"/>
      <c r="BNN20" s="51"/>
      <c r="BNO20" s="51"/>
      <c r="BNP20" s="51"/>
      <c r="BNQ20" s="51"/>
      <c r="BNR20" s="51"/>
      <c r="BNS20" s="51"/>
      <c r="BNT20" s="51"/>
      <c r="BNU20" s="51"/>
      <c r="BNV20" s="51"/>
      <c r="BNW20" s="51"/>
      <c r="BNX20" s="51"/>
      <c r="BNY20" s="51"/>
      <c r="BNZ20" s="51"/>
      <c r="BOA20" s="51"/>
      <c r="BOB20" s="51"/>
      <c r="BOC20" s="51"/>
      <c r="BOD20" s="51"/>
      <c r="BOE20" s="51"/>
      <c r="BOF20" s="51"/>
      <c r="BOG20" s="51"/>
      <c r="BOH20" s="51"/>
      <c r="BOI20" s="51"/>
      <c r="BOJ20" s="51"/>
      <c r="BOK20" s="51"/>
      <c r="BOL20" s="51"/>
      <c r="BOM20" s="51"/>
      <c r="BON20" s="51"/>
      <c r="BOO20" s="51"/>
      <c r="BOP20" s="51"/>
      <c r="BOQ20" s="51"/>
      <c r="BOR20" s="51"/>
      <c r="BOS20" s="51"/>
      <c r="BOT20" s="51"/>
      <c r="BOU20" s="51"/>
      <c r="BOV20" s="51"/>
      <c r="BOW20" s="51"/>
      <c r="BOX20" s="51"/>
      <c r="BOY20" s="51"/>
      <c r="BOZ20" s="51"/>
      <c r="BPA20" s="51"/>
      <c r="BPB20" s="51"/>
      <c r="BPC20" s="51"/>
      <c r="BPD20" s="51"/>
      <c r="BPE20" s="51"/>
      <c r="BPF20" s="51"/>
      <c r="BPG20" s="51"/>
      <c r="BPH20" s="51"/>
      <c r="BPI20" s="51"/>
      <c r="BPJ20" s="51"/>
      <c r="BPK20" s="51"/>
      <c r="BPL20" s="51"/>
      <c r="BPM20" s="51"/>
      <c r="BPN20" s="51"/>
      <c r="BPO20" s="51"/>
      <c r="BPP20" s="51"/>
      <c r="BPQ20" s="51"/>
      <c r="BPR20" s="51"/>
      <c r="BPS20" s="51"/>
      <c r="BPT20" s="51"/>
      <c r="BPU20" s="51"/>
      <c r="BPV20" s="51"/>
      <c r="BPW20" s="51"/>
      <c r="BPX20" s="51"/>
      <c r="BPY20" s="51"/>
      <c r="BPZ20" s="51"/>
      <c r="BQA20" s="51"/>
      <c r="BQB20" s="51"/>
      <c r="BQC20" s="51"/>
      <c r="BQD20" s="51"/>
      <c r="BQE20" s="51"/>
      <c r="BQF20" s="51"/>
      <c r="BQG20" s="51"/>
      <c r="BQH20" s="51"/>
      <c r="BQI20" s="51"/>
      <c r="BQJ20" s="51"/>
      <c r="BQK20" s="51"/>
      <c r="BQL20" s="51"/>
      <c r="BQM20" s="51"/>
      <c r="BQN20" s="51"/>
      <c r="BQO20" s="51"/>
      <c r="BQP20" s="51"/>
      <c r="BQQ20" s="51"/>
      <c r="BQR20" s="51"/>
      <c r="BQS20" s="51"/>
      <c r="BQT20" s="51"/>
      <c r="BQU20" s="51"/>
      <c r="BQV20" s="51"/>
      <c r="BQW20" s="51"/>
      <c r="BQX20" s="51"/>
      <c r="BQY20" s="51"/>
      <c r="BQZ20" s="51"/>
      <c r="BRA20" s="51"/>
      <c r="BRB20" s="51"/>
      <c r="BRC20" s="51"/>
      <c r="BRD20" s="51"/>
      <c r="BRE20" s="51"/>
      <c r="BRF20" s="51"/>
      <c r="BRG20" s="51"/>
      <c r="BRH20" s="51"/>
      <c r="BRI20" s="51"/>
      <c r="BRJ20" s="51"/>
      <c r="BRK20" s="51"/>
      <c r="BRL20" s="51"/>
      <c r="BRM20" s="51"/>
      <c r="BRN20" s="51"/>
      <c r="BRO20" s="51"/>
      <c r="BRP20" s="51"/>
      <c r="BRQ20" s="51"/>
      <c r="BRR20" s="51"/>
      <c r="BRS20" s="51"/>
      <c r="BRT20" s="51"/>
      <c r="BRU20" s="51"/>
      <c r="BRV20" s="51"/>
      <c r="BRW20" s="51"/>
      <c r="BRX20" s="51"/>
      <c r="BRY20" s="51"/>
      <c r="BRZ20" s="51"/>
      <c r="BSA20" s="51"/>
      <c r="BSB20" s="51"/>
      <c r="BSC20" s="51"/>
      <c r="BSD20" s="51"/>
      <c r="BSE20" s="51"/>
      <c r="BSF20" s="51"/>
      <c r="BSG20" s="51"/>
      <c r="BSH20" s="51"/>
      <c r="BSI20" s="51"/>
      <c r="BSJ20" s="51"/>
      <c r="BSK20" s="51"/>
      <c r="BSL20" s="51"/>
      <c r="BSM20" s="51"/>
      <c r="BSN20" s="51"/>
      <c r="BSO20" s="51"/>
      <c r="BSP20" s="51"/>
      <c r="BSQ20" s="51"/>
      <c r="BSR20" s="51"/>
      <c r="BSS20" s="51"/>
      <c r="BST20" s="51"/>
      <c r="BSU20" s="51"/>
      <c r="BSV20" s="51"/>
      <c r="BSW20" s="51"/>
      <c r="BSX20" s="51"/>
      <c r="BSY20" s="51"/>
      <c r="BSZ20" s="51"/>
      <c r="BTA20" s="51"/>
      <c r="BTB20" s="51"/>
      <c r="BTC20" s="51"/>
      <c r="BTD20" s="51"/>
      <c r="BTE20" s="51"/>
      <c r="BTF20" s="51"/>
      <c r="BTG20" s="51"/>
      <c r="BTH20" s="51"/>
      <c r="BTI20" s="51"/>
      <c r="BTJ20" s="51"/>
      <c r="BTK20" s="51"/>
      <c r="BTL20" s="51"/>
      <c r="BTM20" s="51"/>
      <c r="BTN20" s="51"/>
      <c r="BTO20" s="51"/>
      <c r="BTP20" s="51"/>
      <c r="BTQ20" s="51"/>
      <c r="BTR20" s="51"/>
      <c r="BTS20" s="51"/>
      <c r="BTT20" s="51"/>
      <c r="BTU20" s="51"/>
      <c r="BTV20" s="51"/>
      <c r="BTW20" s="51"/>
      <c r="BTX20" s="51"/>
      <c r="BTY20" s="51"/>
      <c r="BTZ20" s="51"/>
      <c r="BUA20" s="51"/>
      <c r="BUB20" s="51"/>
      <c r="BUC20" s="51"/>
      <c r="BUD20" s="51"/>
      <c r="BUE20" s="51"/>
      <c r="BUF20" s="51"/>
      <c r="BUG20" s="51"/>
      <c r="BUH20" s="51"/>
      <c r="BUI20" s="51"/>
      <c r="BUJ20" s="51"/>
      <c r="BUK20" s="51"/>
      <c r="BUL20" s="51"/>
      <c r="BUM20" s="51"/>
      <c r="BUN20" s="51"/>
      <c r="BUO20" s="51"/>
      <c r="BUP20" s="51"/>
      <c r="BUQ20" s="51"/>
      <c r="BUR20" s="51"/>
      <c r="BUS20" s="51"/>
      <c r="BUT20" s="51"/>
      <c r="BUU20" s="51"/>
      <c r="BUV20" s="51"/>
      <c r="BUW20" s="51"/>
      <c r="BUX20" s="51"/>
      <c r="BUY20" s="51"/>
      <c r="BUZ20" s="51"/>
      <c r="BVA20" s="51"/>
      <c r="BVB20" s="51"/>
      <c r="BVC20" s="51"/>
      <c r="BVD20" s="51"/>
      <c r="BVE20" s="51"/>
      <c r="BVF20" s="51"/>
      <c r="BVG20" s="51"/>
      <c r="BVH20" s="51"/>
      <c r="BVI20" s="51"/>
      <c r="BVJ20" s="51"/>
      <c r="BVK20" s="51"/>
      <c r="BVL20" s="51"/>
      <c r="BVM20" s="51"/>
      <c r="BVN20" s="51"/>
      <c r="BVO20" s="51"/>
      <c r="BVP20" s="51"/>
      <c r="BVQ20" s="51"/>
      <c r="BVR20" s="51"/>
      <c r="BVS20" s="51"/>
      <c r="BVT20" s="51"/>
      <c r="BVU20" s="51"/>
      <c r="BVV20" s="51"/>
      <c r="BVW20" s="51"/>
      <c r="BVX20" s="51"/>
      <c r="BVY20" s="51"/>
      <c r="BVZ20" s="51"/>
      <c r="BWA20" s="51"/>
      <c r="BWB20" s="51"/>
      <c r="BWC20" s="51"/>
      <c r="BWD20" s="51"/>
      <c r="BWE20" s="51"/>
      <c r="BWF20" s="51"/>
      <c r="BWG20" s="51"/>
      <c r="BWH20" s="51"/>
      <c r="BWI20" s="51"/>
      <c r="BWJ20" s="51"/>
      <c r="BWK20" s="51"/>
      <c r="BWL20" s="51"/>
      <c r="BWM20" s="51"/>
      <c r="BWN20" s="51"/>
      <c r="BWO20" s="51"/>
      <c r="BWP20" s="51"/>
      <c r="BWQ20" s="51"/>
      <c r="BWR20" s="51"/>
      <c r="BWS20" s="51"/>
      <c r="BWT20" s="51"/>
      <c r="BWU20" s="51"/>
      <c r="BWV20" s="51"/>
      <c r="BWW20" s="51"/>
      <c r="BWX20" s="51"/>
      <c r="BWY20" s="51"/>
      <c r="BWZ20" s="51"/>
      <c r="BXA20" s="51"/>
      <c r="BXB20" s="51"/>
      <c r="BXC20" s="51"/>
      <c r="BXD20" s="51"/>
      <c r="BXE20" s="51"/>
      <c r="BXF20" s="51"/>
      <c r="BXG20" s="51"/>
      <c r="BXH20" s="51"/>
      <c r="BXI20" s="51"/>
      <c r="BXJ20" s="51"/>
      <c r="BXK20" s="51"/>
      <c r="BXL20" s="51"/>
      <c r="BXM20" s="51"/>
      <c r="BXN20" s="51"/>
      <c r="BXO20" s="51"/>
      <c r="BXP20" s="51"/>
      <c r="BXQ20" s="51"/>
      <c r="BXR20" s="51"/>
      <c r="BXS20" s="51"/>
      <c r="BXT20" s="51"/>
      <c r="BXU20" s="51"/>
      <c r="BXV20" s="51"/>
      <c r="BXW20" s="51"/>
      <c r="BXX20" s="51"/>
      <c r="BXY20" s="51"/>
      <c r="BXZ20" s="51"/>
      <c r="BYA20" s="51"/>
      <c r="BYB20" s="51"/>
      <c r="BYC20" s="51"/>
      <c r="BYD20" s="51"/>
      <c r="BYE20" s="51"/>
      <c r="BYF20" s="51"/>
      <c r="BYG20" s="51"/>
      <c r="BYH20" s="51"/>
      <c r="BYI20" s="51"/>
      <c r="BYJ20" s="51"/>
      <c r="BYK20" s="51"/>
      <c r="BYL20" s="51"/>
      <c r="BYM20" s="51"/>
      <c r="BYN20" s="51"/>
      <c r="BYO20" s="51"/>
      <c r="BYP20" s="51"/>
      <c r="BYQ20" s="51"/>
      <c r="BYR20" s="51"/>
      <c r="BYS20" s="51"/>
      <c r="BYT20" s="51"/>
      <c r="BYU20" s="51"/>
      <c r="BYV20" s="51"/>
      <c r="BYW20" s="51"/>
      <c r="BYX20" s="51"/>
      <c r="BYY20" s="51"/>
      <c r="BYZ20" s="51"/>
      <c r="BZA20" s="51"/>
      <c r="BZB20" s="51"/>
      <c r="BZC20" s="51"/>
      <c r="BZD20" s="51"/>
      <c r="BZE20" s="51"/>
      <c r="BZF20" s="51"/>
      <c r="BZG20" s="51"/>
      <c r="BZH20" s="51"/>
      <c r="BZI20" s="51"/>
      <c r="BZJ20" s="51"/>
      <c r="BZK20" s="51"/>
      <c r="BZL20" s="51"/>
      <c r="BZM20" s="51"/>
      <c r="BZN20" s="51"/>
      <c r="BZO20" s="51"/>
      <c r="BZP20" s="51"/>
      <c r="BZQ20" s="51"/>
      <c r="BZR20" s="51"/>
      <c r="BZS20" s="51"/>
      <c r="BZT20" s="51"/>
      <c r="BZU20" s="51"/>
      <c r="BZV20" s="51"/>
      <c r="BZW20" s="51"/>
      <c r="BZX20" s="51"/>
      <c r="BZY20" s="51"/>
      <c r="BZZ20" s="51"/>
      <c r="CAA20" s="51"/>
      <c r="CAB20" s="51"/>
      <c r="CAC20" s="51"/>
      <c r="CAD20" s="51"/>
      <c r="CAE20" s="51"/>
      <c r="CAF20" s="51"/>
      <c r="CAG20" s="51"/>
      <c r="CAH20" s="51"/>
      <c r="CAI20" s="51"/>
      <c r="CAJ20" s="51"/>
      <c r="CAK20" s="51"/>
      <c r="CAL20" s="51"/>
      <c r="CAM20" s="51"/>
      <c r="CAN20" s="51"/>
      <c r="CAO20" s="51"/>
      <c r="CAP20" s="51"/>
      <c r="CAQ20" s="51"/>
      <c r="CAR20" s="51"/>
      <c r="CAS20" s="51"/>
      <c r="CAT20" s="51"/>
      <c r="CAU20" s="51"/>
      <c r="CAV20" s="51"/>
      <c r="CAW20" s="51"/>
      <c r="CAX20" s="51"/>
      <c r="CAY20" s="51"/>
      <c r="CAZ20" s="51"/>
      <c r="CBA20" s="51"/>
      <c r="CBB20" s="51"/>
      <c r="CBC20" s="51"/>
      <c r="CBD20" s="51"/>
      <c r="CBE20" s="51"/>
      <c r="CBF20" s="51"/>
      <c r="CBG20" s="51"/>
      <c r="CBH20" s="51"/>
      <c r="CBI20" s="51"/>
      <c r="CBJ20" s="51"/>
      <c r="CBK20" s="51"/>
      <c r="CBL20" s="51"/>
      <c r="CBM20" s="51"/>
      <c r="CBN20" s="51"/>
      <c r="CBO20" s="51"/>
      <c r="CBP20" s="51"/>
      <c r="CBQ20" s="51"/>
      <c r="CBR20" s="51"/>
      <c r="CBS20" s="51"/>
      <c r="CBT20" s="51"/>
      <c r="CBU20" s="51"/>
      <c r="CBV20" s="51"/>
      <c r="CBW20" s="51"/>
      <c r="CBX20" s="51"/>
      <c r="CBY20" s="51"/>
      <c r="CBZ20" s="51"/>
      <c r="CCA20" s="51"/>
      <c r="CCB20" s="51"/>
      <c r="CCC20" s="51"/>
      <c r="CCD20" s="51"/>
      <c r="CCE20" s="51"/>
      <c r="CCF20" s="51"/>
      <c r="CCG20" s="51"/>
      <c r="CCH20" s="51"/>
      <c r="CCI20" s="51"/>
      <c r="CCJ20" s="51"/>
      <c r="CCK20" s="51"/>
      <c r="CCL20" s="51"/>
      <c r="CCM20" s="51"/>
      <c r="CCN20" s="51"/>
      <c r="CCO20" s="51"/>
      <c r="CCP20" s="51"/>
      <c r="CCQ20" s="51"/>
      <c r="CCR20" s="51"/>
      <c r="CCS20" s="51"/>
      <c r="CCT20" s="51"/>
      <c r="CCU20" s="51"/>
      <c r="CCV20" s="51"/>
      <c r="CCW20" s="51"/>
      <c r="CCX20" s="51"/>
      <c r="CCY20" s="51"/>
      <c r="CCZ20" s="51"/>
      <c r="CDA20" s="51"/>
      <c r="CDB20" s="51"/>
      <c r="CDC20" s="51"/>
      <c r="CDD20" s="51"/>
      <c r="CDE20" s="51"/>
      <c r="CDF20" s="51"/>
      <c r="CDG20" s="51"/>
      <c r="CDH20" s="51"/>
      <c r="CDI20" s="51"/>
      <c r="CDJ20" s="51"/>
      <c r="CDK20" s="51"/>
      <c r="CDL20" s="51"/>
      <c r="CDM20" s="51"/>
      <c r="CDN20" s="51"/>
      <c r="CDO20" s="51"/>
      <c r="CDP20" s="51"/>
      <c r="CDQ20" s="51"/>
      <c r="CDR20" s="51"/>
      <c r="CDS20" s="51"/>
      <c r="CDT20" s="51"/>
      <c r="CDU20" s="51"/>
      <c r="CDV20" s="51"/>
      <c r="CDW20" s="51"/>
      <c r="CDX20" s="51"/>
      <c r="CDY20" s="51"/>
      <c r="CDZ20" s="51"/>
      <c r="CEA20" s="51"/>
      <c r="CEB20" s="51"/>
      <c r="CEC20" s="51"/>
      <c r="CED20" s="51"/>
      <c r="CEE20" s="51"/>
      <c r="CEF20" s="51"/>
      <c r="CEG20" s="51"/>
      <c r="CEH20" s="51"/>
      <c r="CEI20" s="51"/>
      <c r="CEJ20" s="51"/>
      <c r="CEK20" s="51"/>
      <c r="CEL20" s="51"/>
      <c r="CEM20" s="51"/>
      <c r="CEN20" s="51"/>
      <c r="CEO20" s="51"/>
      <c r="CEP20" s="51"/>
      <c r="CEQ20" s="51"/>
      <c r="CER20" s="51"/>
      <c r="CES20" s="51"/>
      <c r="CET20" s="51"/>
      <c r="CEU20" s="51"/>
      <c r="CEV20" s="51"/>
      <c r="CEW20" s="51"/>
      <c r="CEX20" s="51"/>
      <c r="CEY20" s="51"/>
      <c r="CEZ20" s="51"/>
      <c r="CFA20" s="51"/>
      <c r="CFB20" s="51"/>
      <c r="CFC20" s="51"/>
      <c r="CFD20" s="51"/>
      <c r="CFE20" s="51"/>
      <c r="CFF20" s="51"/>
      <c r="CFG20" s="51"/>
      <c r="CFH20" s="51"/>
      <c r="CFI20" s="51"/>
      <c r="CFJ20" s="51"/>
      <c r="CFK20" s="51"/>
      <c r="CFL20" s="51"/>
      <c r="CFM20" s="51"/>
      <c r="CFN20" s="51"/>
      <c r="CFO20" s="51"/>
      <c r="CFP20" s="51"/>
      <c r="CFQ20" s="51"/>
      <c r="CFR20" s="51"/>
      <c r="CFS20" s="51"/>
      <c r="CFT20" s="51"/>
      <c r="CFU20" s="51"/>
      <c r="CFV20" s="51"/>
      <c r="CFW20" s="51"/>
      <c r="CFX20" s="51"/>
      <c r="CFY20" s="51"/>
      <c r="CFZ20" s="51"/>
      <c r="CGA20" s="51"/>
      <c r="CGB20" s="51"/>
      <c r="CGC20" s="51"/>
      <c r="CGD20" s="51"/>
      <c r="CGE20" s="51"/>
      <c r="CGF20" s="51"/>
      <c r="CGG20" s="51"/>
      <c r="CGH20" s="51"/>
      <c r="CGI20" s="51"/>
      <c r="CGJ20" s="51"/>
      <c r="CGK20" s="51"/>
      <c r="CGL20" s="51"/>
      <c r="CGM20" s="51"/>
      <c r="CGN20" s="51"/>
      <c r="CGO20" s="51"/>
      <c r="CGP20" s="51"/>
      <c r="CGQ20" s="51"/>
      <c r="CGR20" s="51"/>
      <c r="CGS20" s="51"/>
      <c r="CGT20" s="51"/>
      <c r="CGU20" s="51"/>
      <c r="CGV20" s="51"/>
      <c r="CGW20" s="51"/>
      <c r="CGX20" s="51"/>
      <c r="CGY20" s="51"/>
      <c r="CGZ20" s="51"/>
      <c r="CHA20" s="51"/>
      <c r="CHB20" s="51"/>
      <c r="CHC20" s="51"/>
      <c r="CHD20" s="51"/>
      <c r="CHE20" s="51"/>
      <c r="CHF20" s="51"/>
      <c r="CHG20" s="51"/>
      <c r="CHH20" s="51"/>
      <c r="CHI20" s="51"/>
      <c r="CHJ20" s="51"/>
      <c r="CHK20" s="51"/>
      <c r="CHL20" s="51"/>
      <c r="CHM20" s="51"/>
      <c r="CHN20" s="51"/>
      <c r="CHO20" s="51"/>
      <c r="CHP20" s="51"/>
      <c r="CHQ20" s="51"/>
      <c r="CHR20" s="51"/>
      <c r="CHS20" s="51"/>
      <c r="CHT20" s="51"/>
      <c r="CHU20" s="51"/>
      <c r="CHV20" s="51"/>
      <c r="CHW20" s="51"/>
      <c r="CHX20" s="51"/>
      <c r="CHY20" s="51"/>
      <c r="CHZ20" s="51"/>
      <c r="CIA20" s="51"/>
      <c r="CIB20" s="51"/>
      <c r="CIC20" s="51"/>
      <c r="CID20" s="51"/>
      <c r="CIE20" s="51"/>
      <c r="CIF20" s="51"/>
      <c r="CIG20" s="51"/>
      <c r="CIH20" s="51"/>
      <c r="CII20" s="51"/>
      <c r="CIJ20" s="51"/>
      <c r="CIK20" s="51"/>
      <c r="CIL20" s="51"/>
      <c r="CIM20" s="51"/>
      <c r="CIN20" s="51"/>
      <c r="CIO20" s="51"/>
      <c r="CIP20" s="51"/>
      <c r="CIQ20" s="51"/>
      <c r="CIR20" s="51"/>
      <c r="CIS20" s="51"/>
      <c r="CIT20" s="51"/>
      <c r="CIU20" s="51"/>
      <c r="CIV20" s="51"/>
      <c r="CIW20" s="51"/>
      <c r="CIX20" s="51"/>
      <c r="CIY20" s="51"/>
      <c r="CIZ20" s="51"/>
      <c r="CJA20" s="51"/>
      <c r="CJB20" s="51"/>
      <c r="CJC20" s="51"/>
      <c r="CJD20" s="51"/>
      <c r="CJE20" s="51"/>
      <c r="CJF20" s="51"/>
      <c r="CJG20" s="51"/>
      <c r="CJH20" s="51"/>
      <c r="CJI20" s="51"/>
      <c r="CJJ20" s="51"/>
      <c r="CJK20" s="51"/>
      <c r="CJL20" s="51"/>
      <c r="CJM20" s="51"/>
      <c r="CJN20" s="51"/>
      <c r="CJO20" s="51"/>
      <c r="CJP20" s="51"/>
      <c r="CJQ20" s="51"/>
      <c r="CJR20" s="51"/>
      <c r="CJS20" s="51"/>
      <c r="CJT20" s="51"/>
      <c r="CJU20" s="51"/>
      <c r="CJV20" s="51"/>
      <c r="CJW20" s="51"/>
      <c r="CJX20" s="51"/>
      <c r="CJY20" s="51"/>
      <c r="CJZ20" s="51"/>
      <c r="CKA20" s="51"/>
      <c r="CKB20" s="51"/>
      <c r="CKC20" s="51"/>
      <c r="CKD20" s="51"/>
      <c r="CKE20" s="51"/>
      <c r="CKF20" s="51"/>
      <c r="CKG20" s="51"/>
      <c r="CKH20" s="51"/>
      <c r="CKI20" s="51"/>
      <c r="CKJ20" s="51"/>
      <c r="CKK20" s="51"/>
      <c r="CKL20" s="51"/>
      <c r="CKM20" s="51"/>
      <c r="CKN20" s="51"/>
      <c r="CKO20" s="51"/>
      <c r="CKP20" s="51"/>
      <c r="CKQ20" s="51"/>
      <c r="CKR20" s="51"/>
      <c r="CKS20" s="51"/>
      <c r="CKT20" s="51"/>
      <c r="CKU20" s="51"/>
      <c r="CKV20" s="51"/>
      <c r="CKW20" s="51"/>
      <c r="CKX20" s="51"/>
      <c r="CKY20" s="51"/>
      <c r="CKZ20" s="51"/>
      <c r="CLA20" s="51"/>
      <c r="CLB20" s="51"/>
      <c r="CLC20" s="51"/>
      <c r="CLD20" s="51"/>
      <c r="CLE20" s="51"/>
      <c r="CLF20" s="51"/>
      <c r="CLG20" s="51"/>
      <c r="CLH20" s="51"/>
      <c r="CLI20" s="51"/>
      <c r="CLJ20" s="51"/>
      <c r="CLK20" s="51"/>
      <c r="CLL20" s="51"/>
      <c r="CLM20" s="51"/>
      <c r="CLN20" s="51"/>
      <c r="CLO20" s="51"/>
      <c r="CLP20" s="51"/>
      <c r="CLQ20" s="51"/>
      <c r="CLR20" s="51"/>
      <c r="CLS20" s="51"/>
      <c r="CLT20" s="51"/>
      <c r="CLU20" s="51"/>
      <c r="CLV20" s="51"/>
      <c r="CLW20" s="51"/>
      <c r="CLX20" s="51"/>
      <c r="CLY20" s="51"/>
      <c r="CLZ20" s="51"/>
      <c r="CMA20" s="51"/>
      <c r="CMB20" s="51"/>
      <c r="CMC20" s="51"/>
      <c r="CMD20" s="51"/>
      <c r="CME20" s="51"/>
      <c r="CMF20" s="51"/>
      <c r="CMG20" s="51"/>
      <c r="CMH20" s="51"/>
      <c r="CMI20" s="51"/>
      <c r="CMJ20" s="51"/>
      <c r="CMK20" s="51"/>
      <c r="CML20" s="51"/>
      <c r="CMM20" s="51"/>
      <c r="CMN20" s="51"/>
      <c r="CMO20" s="51"/>
      <c r="CMP20" s="51"/>
      <c r="CMQ20" s="51"/>
      <c r="CMR20" s="51"/>
      <c r="CMS20" s="51"/>
      <c r="CMT20" s="51"/>
      <c r="CMU20" s="51"/>
      <c r="CMV20" s="51"/>
      <c r="CMW20" s="51"/>
      <c r="CMX20" s="51"/>
      <c r="CMY20" s="51"/>
      <c r="CMZ20" s="51"/>
      <c r="CNA20" s="51"/>
      <c r="CNB20" s="51"/>
      <c r="CNC20" s="51"/>
      <c r="CND20" s="51"/>
      <c r="CNE20" s="51"/>
      <c r="CNF20" s="51"/>
      <c r="CNG20" s="51"/>
      <c r="CNH20" s="51"/>
      <c r="CNI20" s="51"/>
      <c r="CNJ20" s="51"/>
      <c r="CNK20" s="51"/>
      <c r="CNL20" s="51"/>
      <c r="CNM20" s="51"/>
      <c r="CNN20" s="51"/>
      <c r="CNO20" s="51"/>
      <c r="CNP20" s="51"/>
      <c r="CNQ20" s="51"/>
      <c r="CNR20" s="51"/>
      <c r="CNS20" s="51"/>
      <c r="CNT20" s="51"/>
      <c r="CNU20" s="51"/>
      <c r="CNV20" s="51"/>
      <c r="CNW20" s="51"/>
      <c r="CNX20" s="51"/>
      <c r="CNY20" s="51"/>
      <c r="CNZ20" s="51"/>
      <c r="COA20" s="51"/>
      <c r="COB20" s="51"/>
      <c r="COC20" s="51"/>
      <c r="COD20" s="51"/>
      <c r="COE20" s="51"/>
      <c r="COF20" s="51"/>
      <c r="COG20" s="51"/>
      <c r="COH20" s="51"/>
      <c r="COI20" s="51"/>
      <c r="COJ20" s="51"/>
      <c r="COK20" s="51"/>
      <c r="COL20" s="51"/>
      <c r="COM20" s="51"/>
      <c r="CON20" s="51"/>
      <c r="COO20" s="51"/>
      <c r="COP20" s="51"/>
      <c r="COQ20" s="51"/>
      <c r="COR20" s="51"/>
      <c r="COS20" s="51"/>
      <c r="COT20" s="51"/>
      <c r="COU20" s="51"/>
      <c r="COV20" s="51"/>
      <c r="COW20" s="51"/>
      <c r="COX20" s="51"/>
      <c r="COY20" s="51"/>
      <c r="COZ20" s="51"/>
      <c r="CPA20" s="51"/>
      <c r="CPB20" s="51"/>
      <c r="CPC20" s="51"/>
      <c r="CPD20" s="51"/>
      <c r="CPE20" s="51"/>
      <c r="CPF20" s="51"/>
      <c r="CPG20" s="51"/>
      <c r="CPH20" s="51"/>
      <c r="CPI20" s="51"/>
      <c r="CPJ20" s="51"/>
      <c r="CPK20" s="51"/>
      <c r="CPL20" s="51"/>
      <c r="CPM20" s="51"/>
      <c r="CPN20" s="51"/>
      <c r="CPO20" s="51"/>
      <c r="CPP20" s="51"/>
      <c r="CPQ20" s="51"/>
      <c r="CPR20" s="51"/>
      <c r="CPS20" s="51"/>
      <c r="CPT20" s="51"/>
      <c r="CPU20" s="51"/>
      <c r="CPV20" s="51"/>
      <c r="CPW20" s="51"/>
      <c r="CPX20" s="51"/>
      <c r="CPY20" s="51"/>
      <c r="CPZ20" s="51"/>
      <c r="CQA20" s="51"/>
      <c r="CQB20" s="51"/>
      <c r="CQC20" s="51"/>
      <c r="CQD20" s="51"/>
      <c r="CQE20" s="51"/>
      <c r="CQF20" s="51"/>
      <c r="CQG20" s="51"/>
      <c r="CQH20" s="51"/>
      <c r="CQI20" s="51"/>
      <c r="CQJ20" s="51"/>
      <c r="CQK20" s="51"/>
      <c r="CQL20" s="51"/>
      <c r="CQM20" s="51"/>
      <c r="CQN20" s="51"/>
      <c r="CQO20" s="51"/>
      <c r="CQP20" s="51"/>
      <c r="CQQ20" s="51"/>
      <c r="CQR20" s="51"/>
      <c r="CQS20" s="51"/>
      <c r="CQT20" s="51"/>
      <c r="CQU20" s="51"/>
      <c r="CQV20" s="51"/>
      <c r="CQW20" s="51"/>
      <c r="CQX20" s="51"/>
      <c r="CQY20" s="51"/>
      <c r="CQZ20" s="51"/>
      <c r="CRA20" s="51"/>
      <c r="CRB20" s="51"/>
      <c r="CRC20" s="51"/>
      <c r="CRD20" s="51"/>
      <c r="CRE20" s="51"/>
      <c r="CRF20" s="51"/>
      <c r="CRG20" s="51"/>
      <c r="CRH20" s="51"/>
      <c r="CRI20" s="51"/>
      <c r="CRJ20" s="51"/>
      <c r="CRK20" s="51"/>
      <c r="CRL20" s="51"/>
      <c r="CRM20" s="51"/>
      <c r="CRN20" s="51"/>
      <c r="CRO20" s="51"/>
      <c r="CRP20" s="51"/>
      <c r="CRQ20" s="51"/>
      <c r="CRR20" s="51"/>
      <c r="CRS20" s="51"/>
      <c r="CRT20" s="51"/>
      <c r="CRU20" s="51"/>
      <c r="CRV20" s="51"/>
      <c r="CRW20" s="51"/>
      <c r="CRX20" s="51"/>
      <c r="CRY20" s="51"/>
      <c r="CRZ20" s="51"/>
      <c r="CSA20" s="51"/>
      <c r="CSB20" s="51"/>
      <c r="CSC20" s="51"/>
      <c r="CSD20" s="51"/>
      <c r="CSE20" s="51"/>
      <c r="CSF20" s="51"/>
      <c r="CSG20" s="51"/>
      <c r="CSH20" s="51"/>
      <c r="CSI20" s="51"/>
      <c r="CSJ20" s="51"/>
      <c r="CSK20" s="51"/>
      <c r="CSL20" s="51"/>
      <c r="CSM20" s="51"/>
      <c r="CSN20" s="51"/>
      <c r="CSO20" s="51"/>
      <c r="CSP20" s="51"/>
      <c r="CSQ20" s="51"/>
      <c r="CSR20" s="51"/>
      <c r="CSS20" s="51"/>
      <c r="CST20" s="51"/>
      <c r="CSU20" s="51"/>
      <c r="CSV20" s="51"/>
      <c r="CSW20" s="51"/>
      <c r="CSX20" s="51"/>
      <c r="CSY20" s="51"/>
      <c r="CSZ20" s="51"/>
      <c r="CTA20" s="51"/>
      <c r="CTB20" s="51"/>
      <c r="CTC20" s="51"/>
      <c r="CTD20" s="51"/>
      <c r="CTE20" s="51"/>
      <c r="CTF20" s="51"/>
      <c r="CTG20" s="51"/>
      <c r="CTH20" s="51"/>
      <c r="CTI20" s="51"/>
      <c r="CTJ20" s="51"/>
      <c r="CTK20" s="51"/>
      <c r="CTL20" s="51"/>
      <c r="CTM20" s="51"/>
      <c r="CTN20" s="51"/>
      <c r="CTO20" s="51"/>
      <c r="CTP20" s="51"/>
      <c r="CTQ20" s="51"/>
      <c r="CTR20" s="51"/>
      <c r="CTS20" s="51"/>
      <c r="CTT20" s="51"/>
      <c r="CTU20" s="51"/>
      <c r="CTV20" s="51"/>
      <c r="CTW20" s="51"/>
      <c r="CTX20" s="51"/>
      <c r="CTY20" s="51"/>
      <c r="CTZ20" s="51"/>
      <c r="CUA20" s="51"/>
      <c r="CUB20" s="51"/>
      <c r="CUC20" s="51"/>
      <c r="CUD20" s="51"/>
      <c r="CUE20" s="51"/>
      <c r="CUF20" s="51"/>
      <c r="CUG20" s="51"/>
      <c r="CUH20" s="51"/>
      <c r="CUI20" s="51"/>
      <c r="CUJ20" s="51"/>
      <c r="CUK20" s="51"/>
      <c r="CUL20" s="51"/>
      <c r="CUM20" s="51"/>
      <c r="CUN20" s="51"/>
      <c r="CUO20" s="51"/>
      <c r="CUP20" s="51"/>
      <c r="CUQ20" s="51"/>
      <c r="CUR20" s="51"/>
      <c r="CUS20" s="51"/>
      <c r="CUT20" s="51"/>
      <c r="CUU20" s="51"/>
      <c r="CUV20" s="51"/>
      <c r="CUW20" s="51"/>
      <c r="CUX20" s="51"/>
      <c r="CUY20" s="51"/>
      <c r="CUZ20" s="51"/>
      <c r="CVA20" s="51"/>
      <c r="CVB20" s="51"/>
      <c r="CVC20" s="51"/>
      <c r="CVD20" s="51"/>
      <c r="CVE20" s="51"/>
      <c r="CVF20" s="51"/>
      <c r="CVG20" s="51"/>
      <c r="CVH20" s="51"/>
      <c r="CVI20" s="51"/>
      <c r="CVJ20" s="51"/>
      <c r="CVK20" s="51"/>
      <c r="CVL20" s="51"/>
      <c r="CVM20" s="51"/>
      <c r="CVN20" s="51"/>
      <c r="CVO20" s="51"/>
      <c r="CVP20" s="51"/>
      <c r="CVQ20" s="51"/>
      <c r="CVR20" s="51"/>
      <c r="CVS20" s="51"/>
      <c r="CVT20" s="51"/>
      <c r="CVU20" s="51"/>
      <c r="CVV20" s="51"/>
      <c r="CVW20" s="51"/>
      <c r="CVX20" s="51"/>
      <c r="CVY20" s="51"/>
      <c r="CVZ20" s="51"/>
      <c r="CWA20" s="51"/>
      <c r="CWB20" s="51"/>
      <c r="CWC20" s="51"/>
      <c r="CWD20" s="51"/>
      <c r="CWE20" s="51"/>
      <c r="CWF20" s="51"/>
      <c r="CWG20" s="51"/>
      <c r="CWH20" s="51"/>
      <c r="CWI20" s="51"/>
      <c r="CWJ20" s="51"/>
      <c r="CWK20" s="51"/>
      <c r="CWL20" s="51"/>
      <c r="CWM20" s="51"/>
      <c r="CWN20" s="51"/>
      <c r="CWO20" s="51"/>
      <c r="CWP20" s="51"/>
      <c r="CWQ20" s="51"/>
      <c r="CWR20" s="51"/>
      <c r="CWS20" s="51"/>
      <c r="CWT20" s="51"/>
      <c r="CWU20" s="51"/>
      <c r="CWV20" s="51"/>
      <c r="CWW20" s="51"/>
      <c r="CWX20" s="51"/>
      <c r="CWY20" s="51"/>
      <c r="CWZ20" s="51"/>
      <c r="CXA20" s="51"/>
      <c r="CXB20" s="51"/>
      <c r="CXC20" s="51"/>
      <c r="CXD20" s="51"/>
      <c r="CXE20" s="51"/>
      <c r="CXF20" s="51"/>
      <c r="CXG20" s="51"/>
      <c r="CXH20" s="51"/>
      <c r="CXI20" s="51"/>
      <c r="CXJ20" s="51"/>
      <c r="CXK20" s="51"/>
      <c r="CXL20" s="51"/>
      <c r="CXM20" s="51"/>
      <c r="CXN20" s="51"/>
      <c r="CXO20" s="51"/>
      <c r="CXP20" s="51"/>
      <c r="CXQ20" s="51"/>
      <c r="CXR20" s="51"/>
      <c r="CXS20" s="51"/>
      <c r="CXT20" s="51"/>
      <c r="CXU20" s="51"/>
      <c r="CXV20" s="51"/>
      <c r="CXW20" s="51"/>
      <c r="CXX20" s="51"/>
      <c r="CXY20" s="51"/>
      <c r="CXZ20" s="51"/>
      <c r="CYA20" s="51"/>
      <c r="CYB20" s="51"/>
      <c r="CYC20" s="51"/>
      <c r="CYD20" s="51"/>
      <c r="CYE20" s="51"/>
      <c r="CYF20" s="51"/>
      <c r="CYG20" s="51"/>
      <c r="CYH20" s="51"/>
      <c r="CYI20" s="51"/>
      <c r="CYJ20" s="51"/>
      <c r="CYK20" s="51"/>
      <c r="CYL20" s="51"/>
      <c r="CYM20" s="51"/>
      <c r="CYN20" s="51"/>
      <c r="CYO20" s="51"/>
      <c r="CYP20" s="51"/>
      <c r="CYQ20" s="51"/>
      <c r="CYR20" s="51"/>
      <c r="CYS20" s="51"/>
      <c r="CYT20" s="51"/>
      <c r="CYU20" s="51"/>
      <c r="CYV20" s="51"/>
      <c r="CYW20" s="51"/>
      <c r="CYX20" s="51"/>
      <c r="CYY20" s="51"/>
      <c r="CYZ20" s="51"/>
      <c r="CZA20" s="51"/>
      <c r="CZB20" s="51"/>
      <c r="CZC20" s="51"/>
      <c r="CZD20" s="51"/>
      <c r="CZE20" s="51"/>
      <c r="CZF20" s="51"/>
      <c r="CZG20" s="51"/>
      <c r="CZH20" s="51"/>
      <c r="CZI20" s="51"/>
      <c r="CZJ20" s="51"/>
      <c r="CZK20" s="51"/>
      <c r="CZL20" s="51"/>
      <c r="CZM20" s="51"/>
      <c r="CZN20" s="51"/>
      <c r="CZO20" s="51"/>
      <c r="CZP20" s="51"/>
      <c r="CZQ20" s="51"/>
      <c r="CZR20" s="51"/>
      <c r="CZS20" s="51"/>
      <c r="CZT20" s="51"/>
      <c r="CZU20" s="51"/>
      <c r="CZV20" s="51"/>
      <c r="CZW20" s="51"/>
      <c r="CZX20" s="51"/>
      <c r="CZY20" s="51"/>
      <c r="CZZ20" s="51"/>
      <c r="DAA20" s="51"/>
      <c r="DAB20" s="51"/>
      <c r="DAC20" s="51"/>
      <c r="DAD20" s="51"/>
      <c r="DAE20" s="51"/>
      <c r="DAF20" s="51"/>
      <c r="DAG20" s="51"/>
      <c r="DAH20" s="51"/>
      <c r="DAI20" s="51"/>
      <c r="DAJ20" s="51"/>
      <c r="DAK20" s="51"/>
      <c r="DAL20" s="51"/>
      <c r="DAM20" s="51"/>
      <c r="DAN20" s="51"/>
      <c r="DAO20" s="51"/>
      <c r="DAP20" s="51"/>
      <c r="DAQ20" s="51"/>
      <c r="DAR20" s="51"/>
      <c r="DAS20" s="51"/>
      <c r="DAT20" s="51"/>
      <c r="DAU20" s="51"/>
      <c r="DAV20" s="51"/>
      <c r="DAW20" s="51"/>
      <c r="DAX20" s="51"/>
      <c r="DAY20" s="51"/>
      <c r="DAZ20" s="51"/>
      <c r="DBA20" s="51"/>
      <c r="DBB20" s="51"/>
      <c r="DBC20" s="51"/>
      <c r="DBD20" s="51"/>
      <c r="DBE20" s="51"/>
      <c r="DBF20" s="51"/>
      <c r="DBG20" s="51"/>
      <c r="DBH20" s="51"/>
      <c r="DBI20" s="51"/>
      <c r="DBJ20" s="51"/>
      <c r="DBK20" s="51"/>
      <c r="DBL20" s="51"/>
      <c r="DBM20" s="51"/>
      <c r="DBN20" s="51"/>
      <c r="DBO20" s="51"/>
      <c r="DBP20" s="51"/>
      <c r="DBQ20" s="51"/>
      <c r="DBR20" s="51"/>
      <c r="DBS20" s="51"/>
      <c r="DBT20" s="51"/>
      <c r="DBU20" s="51"/>
      <c r="DBV20" s="51"/>
      <c r="DBW20" s="51"/>
      <c r="DBX20" s="51"/>
      <c r="DBY20" s="51"/>
      <c r="DBZ20" s="51"/>
      <c r="DCA20" s="51"/>
      <c r="DCB20" s="51"/>
      <c r="DCC20" s="51"/>
      <c r="DCD20" s="51"/>
      <c r="DCE20" s="51"/>
      <c r="DCF20" s="51"/>
      <c r="DCG20" s="51"/>
      <c r="DCH20" s="51"/>
      <c r="DCI20" s="51"/>
      <c r="DCJ20" s="51"/>
      <c r="DCK20" s="51"/>
      <c r="DCL20" s="51"/>
      <c r="DCM20" s="51"/>
      <c r="DCN20" s="51"/>
      <c r="DCO20" s="51"/>
      <c r="DCP20" s="51"/>
      <c r="DCQ20" s="51"/>
      <c r="DCR20" s="51"/>
      <c r="DCS20" s="51"/>
      <c r="DCT20" s="51"/>
      <c r="DCU20" s="51"/>
      <c r="DCV20" s="51"/>
      <c r="DCW20" s="51"/>
      <c r="DCX20" s="51"/>
      <c r="DCY20" s="51"/>
      <c r="DCZ20" s="51"/>
      <c r="DDA20" s="51"/>
      <c r="DDB20" s="51"/>
      <c r="DDC20" s="51"/>
      <c r="DDD20" s="51"/>
      <c r="DDE20" s="51"/>
      <c r="DDF20" s="51"/>
      <c r="DDG20" s="51"/>
      <c r="DDH20" s="51"/>
      <c r="DDI20" s="51"/>
      <c r="DDJ20" s="51"/>
      <c r="DDK20" s="51"/>
      <c r="DDL20" s="51"/>
      <c r="DDM20" s="51"/>
      <c r="DDN20" s="51"/>
      <c r="DDO20" s="51"/>
      <c r="DDP20" s="51"/>
      <c r="DDQ20" s="51"/>
      <c r="DDR20" s="51"/>
      <c r="DDS20" s="51"/>
      <c r="DDT20" s="51"/>
      <c r="DDU20" s="51"/>
      <c r="DDV20" s="51"/>
      <c r="DDW20" s="51"/>
      <c r="DDX20" s="51"/>
      <c r="DDY20" s="51"/>
      <c r="DDZ20" s="51"/>
      <c r="DEA20" s="51"/>
      <c r="DEB20" s="51"/>
      <c r="DEC20" s="51"/>
      <c r="DED20" s="51"/>
      <c r="DEE20" s="51"/>
      <c r="DEF20" s="51"/>
      <c r="DEG20" s="51"/>
      <c r="DEH20" s="51"/>
      <c r="DEI20" s="51"/>
      <c r="DEJ20" s="51"/>
      <c r="DEK20" s="51"/>
      <c r="DEL20" s="51"/>
      <c r="DEM20" s="51"/>
      <c r="DEN20" s="51"/>
      <c r="DEO20" s="51"/>
      <c r="DEP20" s="51"/>
      <c r="DEQ20" s="51"/>
      <c r="DER20" s="51"/>
      <c r="DES20" s="51"/>
      <c r="DET20" s="51"/>
      <c r="DEU20" s="51"/>
      <c r="DEV20" s="51"/>
      <c r="DEW20" s="51"/>
      <c r="DEX20" s="51"/>
      <c r="DEY20" s="51"/>
      <c r="DEZ20" s="51"/>
      <c r="DFA20" s="51"/>
      <c r="DFB20" s="51"/>
      <c r="DFC20" s="51"/>
      <c r="DFD20" s="51"/>
      <c r="DFE20" s="51"/>
      <c r="DFF20" s="51"/>
      <c r="DFG20" s="51"/>
      <c r="DFH20" s="51"/>
      <c r="DFI20" s="51"/>
      <c r="DFJ20" s="51"/>
      <c r="DFK20" s="51"/>
      <c r="DFL20" s="51"/>
      <c r="DFM20" s="51"/>
      <c r="DFN20" s="51"/>
      <c r="DFO20" s="51"/>
      <c r="DFP20" s="51"/>
      <c r="DFQ20" s="51"/>
      <c r="DFR20" s="51"/>
      <c r="DFS20" s="51"/>
      <c r="DFT20" s="51"/>
      <c r="DFU20" s="51"/>
      <c r="DFV20" s="51"/>
      <c r="DFW20" s="51"/>
      <c r="DFX20" s="51"/>
      <c r="DFY20" s="51"/>
      <c r="DFZ20" s="51"/>
      <c r="DGA20" s="51"/>
      <c r="DGB20" s="51"/>
      <c r="DGC20" s="51"/>
      <c r="DGD20" s="51"/>
      <c r="DGE20" s="51"/>
      <c r="DGF20" s="51"/>
      <c r="DGG20" s="51"/>
      <c r="DGH20" s="51"/>
      <c r="DGI20" s="51"/>
      <c r="DGJ20" s="51"/>
      <c r="DGK20" s="51"/>
      <c r="DGL20" s="51"/>
      <c r="DGM20" s="51"/>
      <c r="DGN20" s="51"/>
      <c r="DGO20" s="51"/>
      <c r="DGP20" s="51"/>
      <c r="DGQ20" s="51"/>
      <c r="DGR20" s="51"/>
      <c r="DGS20" s="51"/>
      <c r="DGT20" s="51"/>
      <c r="DGU20" s="51"/>
      <c r="DGV20" s="51"/>
      <c r="DGW20" s="51"/>
      <c r="DGX20" s="51"/>
      <c r="DGY20" s="51"/>
      <c r="DGZ20" s="51"/>
      <c r="DHA20" s="51"/>
      <c r="DHB20" s="51"/>
      <c r="DHC20" s="51"/>
      <c r="DHD20" s="51"/>
      <c r="DHE20" s="51"/>
      <c r="DHF20" s="51"/>
      <c r="DHG20" s="51"/>
      <c r="DHH20" s="51"/>
      <c r="DHI20" s="51"/>
      <c r="DHJ20" s="51"/>
      <c r="DHK20" s="51"/>
      <c r="DHL20" s="51"/>
      <c r="DHM20" s="51"/>
      <c r="DHN20" s="51"/>
      <c r="DHO20" s="51"/>
      <c r="DHP20" s="51"/>
      <c r="DHQ20" s="51"/>
      <c r="DHR20" s="51"/>
      <c r="DHS20" s="51"/>
      <c r="DHT20" s="51"/>
      <c r="DHU20" s="51"/>
      <c r="DHV20" s="51"/>
      <c r="DHW20" s="51"/>
      <c r="DHX20" s="51"/>
      <c r="DHY20" s="51"/>
      <c r="DHZ20" s="51"/>
      <c r="DIA20" s="51"/>
      <c r="DIB20" s="51"/>
      <c r="DIC20" s="51"/>
      <c r="DID20" s="51"/>
      <c r="DIE20" s="51"/>
      <c r="DIF20" s="51"/>
      <c r="DIG20" s="51"/>
      <c r="DIH20" s="51"/>
      <c r="DII20" s="51"/>
      <c r="DIJ20" s="51"/>
      <c r="DIK20" s="51"/>
      <c r="DIL20" s="51"/>
      <c r="DIM20" s="51"/>
      <c r="DIN20" s="51"/>
      <c r="DIO20" s="51"/>
      <c r="DIP20" s="51"/>
      <c r="DIQ20" s="51"/>
      <c r="DIR20" s="51"/>
      <c r="DIS20" s="51"/>
      <c r="DIT20" s="51"/>
      <c r="DIU20" s="51"/>
      <c r="DIV20" s="51"/>
      <c r="DIW20" s="51"/>
      <c r="DIX20" s="51"/>
      <c r="DIY20" s="51"/>
      <c r="DIZ20" s="51"/>
      <c r="DJA20" s="51"/>
      <c r="DJB20" s="51"/>
      <c r="DJC20" s="51"/>
      <c r="DJD20" s="51"/>
      <c r="DJE20" s="51"/>
      <c r="DJF20" s="51"/>
      <c r="DJG20" s="51"/>
      <c r="DJH20" s="51"/>
      <c r="DJI20" s="51"/>
      <c r="DJJ20" s="51"/>
      <c r="DJK20" s="51"/>
      <c r="DJL20" s="51"/>
      <c r="DJM20" s="51"/>
      <c r="DJN20" s="51"/>
      <c r="DJO20" s="51"/>
      <c r="DJP20" s="51"/>
      <c r="DJQ20" s="51"/>
      <c r="DJR20" s="51"/>
      <c r="DJS20" s="51"/>
      <c r="DJT20" s="51"/>
      <c r="DJU20" s="51"/>
      <c r="DJV20" s="51"/>
      <c r="DJW20" s="51"/>
      <c r="DJX20" s="51"/>
      <c r="DJY20" s="51"/>
      <c r="DJZ20" s="51"/>
      <c r="DKA20" s="51"/>
      <c r="DKB20" s="51"/>
      <c r="DKC20" s="51"/>
      <c r="DKD20" s="51"/>
      <c r="DKE20" s="51"/>
      <c r="DKF20" s="51"/>
      <c r="DKG20" s="51"/>
      <c r="DKH20" s="51"/>
      <c r="DKI20" s="51"/>
      <c r="DKJ20" s="51"/>
      <c r="DKK20" s="51"/>
      <c r="DKL20" s="51"/>
      <c r="DKM20" s="51"/>
      <c r="DKN20" s="51"/>
      <c r="DKO20" s="51"/>
      <c r="DKP20" s="51"/>
      <c r="DKQ20" s="51"/>
      <c r="DKR20" s="51"/>
      <c r="DKS20" s="51"/>
      <c r="DKT20" s="51"/>
      <c r="DKU20" s="51"/>
      <c r="DKV20" s="51"/>
      <c r="DKW20" s="51"/>
      <c r="DKX20" s="51"/>
      <c r="DKY20" s="51"/>
      <c r="DKZ20" s="51"/>
      <c r="DLA20" s="51"/>
      <c r="DLB20" s="51"/>
      <c r="DLC20" s="51"/>
      <c r="DLD20" s="51"/>
      <c r="DLE20" s="51"/>
      <c r="DLF20" s="51"/>
      <c r="DLG20" s="51"/>
      <c r="DLH20" s="51"/>
      <c r="DLI20" s="51"/>
      <c r="DLJ20" s="51"/>
      <c r="DLK20" s="51"/>
      <c r="DLL20" s="51"/>
      <c r="DLM20" s="51"/>
      <c r="DLN20" s="51"/>
      <c r="DLO20" s="51"/>
      <c r="DLP20" s="51"/>
      <c r="DLQ20" s="51"/>
      <c r="DLR20" s="51"/>
      <c r="DLS20" s="51"/>
      <c r="DLT20" s="51"/>
      <c r="DLU20" s="51"/>
      <c r="DLV20" s="51"/>
      <c r="DLW20" s="51"/>
      <c r="DLX20" s="51"/>
      <c r="DLY20" s="51"/>
      <c r="DLZ20" s="51"/>
      <c r="DMA20" s="51"/>
      <c r="DMB20" s="51"/>
      <c r="DMC20" s="51"/>
      <c r="DMD20" s="51"/>
      <c r="DME20" s="51"/>
      <c r="DMF20" s="51"/>
      <c r="DMG20" s="51"/>
      <c r="DMH20" s="51"/>
      <c r="DMI20" s="51"/>
      <c r="DMJ20" s="51"/>
      <c r="DMK20" s="51"/>
      <c r="DML20" s="51"/>
      <c r="DMM20" s="51"/>
      <c r="DMN20" s="51"/>
      <c r="DMO20" s="51"/>
      <c r="DMP20" s="51"/>
      <c r="DMQ20" s="51"/>
      <c r="DMR20" s="51"/>
      <c r="DMS20" s="51"/>
      <c r="DMT20" s="51"/>
      <c r="DMU20" s="51"/>
      <c r="DMV20" s="51"/>
      <c r="DMW20" s="51"/>
      <c r="DMX20" s="51"/>
      <c r="DMY20" s="51"/>
      <c r="DMZ20" s="51"/>
      <c r="DNA20" s="51"/>
      <c r="DNB20" s="51"/>
      <c r="DNC20" s="51"/>
      <c r="DND20" s="51"/>
      <c r="DNE20" s="51"/>
      <c r="DNF20" s="51"/>
      <c r="DNG20" s="51"/>
      <c r="DNH20" s="51"/>
      <c r="DNI20" s="51"/>
      <c r="DNJ20" s="51"/>
      <c r="DNK20" s="51"/>
      <c r="DNL20" s="51"/>
      <c r="DNM20" s="51"/>
      <c r="DNN20" s="51"/>
      <c r="DNO20" s="51"/>
      <c r="DNP20" s="51"/>
      <c r="DNQ20" s="51"/>
      <c r="DNR20" s="51"/>
      <c r="DNS20" s="51"/>
      <c r="DNT20" s="51"/>
      <c r="DNU20" s="51"/>
      <c r="DNV20" s="51"/>
      <c r="DNW20" s="51"/>
      <c r="DNX20" s="51"/>
      <c r="DNY20" s="51"/>
      <c r="DNZ20" s="51"/>
      <c r="DOA20" s="51"/>
      <c r="DOB20" s="51"/>
      <c r="DOC20" s="51"/>
      <c r="DOD20" s="51"/>
      <c r="DOE20" s="51"/>
      <c r="DOF20" s="51"/>
      <c r="DOG20" s="51"/>
      <c r="DOH20" s="51"/>
      <c r="DOI20" s="51"/>
      <c r="DOJ20" s="51"/>
      <c r="DOK20" s="51"/>
      <c r="DOL20" s="51"/>
      <c r="DOM20" s="51"/>
      <c r="DON20" s="51"/>
      <c r="DOO20" s="51"/>
      <c r="DOP20" s="51"/>
      <c r="DOQ20" s="51"/>
      <c r="DOR20" s="51"/>
      <c r="DOS20" s="51"/>
      <c r="DOT20" s="51"/>
      <c r="DOU20" s="51"/>
      <c r="DOV20" s="51"/>
      <c r="DOW20" s="51"/>
      <c r="DOX20" s="51"/>
      <c r="DOY20" s="51"/>
      <c r="DOZ20" s="51"/>
      <c r="DPA20" s="51"/>
      <c r="DPB20" s="51"/>
      <c r="DPC20" s="51"/>
      <c r="DPD20" s="51"/>
      <c r="DPE20" s="51"/>
      <c r="DPF20" s="51"/>
      <c r="DPG20" s="51"/>
      <c r="DPH20" s="51"/>
      <c r="DPI20" s="51"/>
      <c r="DPJ20" s="51"/>
      <c r="DPK20" s="51"/>
      <c r="DPL20" s="51"/>
      <c r="DPM20" s="51"/>
      <c r="DPN20" s="51"/>
      <c r="DPO20" s="51"/>
      <c r="DPP20" s="51"/>
      <c r="DPQ20" s="51"/>
      <c r="DPR20" s="51"/>
      <c r="DPS20" s="51"/>
      <c r="DPT20" s="51"/>
      <c r="DPU20" s="51"/>
      <c r="DPV20" s="51"/>
      <c r="DPW20" s="51"/>
      <c r="DPX20" s="51"/>
      <c r="DPY20" s="51"/>
      <c r="DPZ20" s="51"/>
      <c r="DQA20" s="51"/>
      <c r="DQB20" s="51"/>
      <c r="DQC20" s="51"/>
      <c r="DQD20" s="51"/>
      <c r="DQE20" s="51"/>
      <c r="DQF20" s="51"/>
      <c r="DQG20" s="51"/>
      <c r="DQH20" s="51"/>
      <c r="DQI20" s="51"/>
      <c r="DQJ20" s="51"/>
      <c r="DQK20" s="51"/>
      <c r="DQL20" s="51"/>
      <c r="DQM20" s="51"/>
      <c r="DQN20" s="51"/>
      <c r="DQO20" s="51"/>
      <c r="DQP20" s="51"/>
      <c r="DQQ20" s="51"/>
      <c r="DQR20" s="51"/>
      <c r="DQS20" s="51"/>
      <c r="DQT20" s="51"/>
      <c r="DQU20" s="51"/>
      <c r="DQV20" s="51"/>
      <c r="DQW20" s="51"/>
      <c r="DQX20" s="51"/>
      <c r="DQY20" s="51"/>
      <c r="DQZ20" s="51"/>
      <c r="DRA20" s="51"/>
      <c r="DRB20" s="51"/>
      <c r="DRC20" s="51"/>
      <c r="DRD20" s="51"/>
      <c r="DRE20" s="51"/>
      <c r="DRF20" s="51"/>
      <c r="DRG20" s="51"/>
      <c r="DRH20" s="51"/>
      <c r="DRI20" s="51"/>
      <c r="DRJ20" s="51"/>
      <c r="DRK20" s="51"/>
      <c r="DRL20" s="51"/>
      <c r="DRM20" s="51"/>
      <c r="DRN20" s="51"/>
      <c r="DRO20" s="51"/>
      <c r="DRP20" s="51"/>
      <c r="DRQ20" s="51"/>
      <c r="DRR20" s="51"/>
      <c r="DRS20" s="51"/>
      <c r="DRT20" s="51"/>
      <c r="DRU20" s="51"/>
      <c r="DRV20" s="51"/>
      <c r="DRW20" s="51"/>
      <c r="DRX20" s="51"/>
      <c r="DRY20" s="51"/>
      <c r="DRZ20" s="51"/>
      <c r="DSA20" s="51"/>
      <c r="DSB20" s="51"/>
      <c r="DSC20" s="51"/>
      <c r="DSD20" s="51"/>
      <c r="DSE20" s="51"/>
      <c r="DSF20" s="51"/>
      <c r="DSG20" s="51"/>
      <c r="DSH20" s="51"/>
      <c r="DSI20" s="51"/>
      <c r="DSJ20" s="51"/>
      <c r="DSK20" s="51"/>
      <c r="DSL20" s="51"/>
      <c r="DSM20" s="51"/>
      <c r="DSN20" s="51"/>
      <c r="DSO20" s="51"/>
      <c r="DSP20" s="51"/>
      <c r="DSQ20" s="51"/>
      <c r="DSR20" s="51"/>
      <c r="DSS20" s="51"/>
      <c r="DST20" s="51"/>
      <c r="DSU20" s="51"/>
      <c r="DSV20" s="51"/>
      <c r="DSW20" s="51"/>
      <c r="DSX20" s="51"/>
      <c r="DSY20" s="51"/>
      <c r="DSZ20" s="51"/>
      <c r="DTA20" s="51"/>
    </row>
    <row r="21" spans="1:3225" s="51" customFormat="1" ht="21.75" customHeight="1" x14ac:dyDescent="0.25">
      <c r="A21" s="146"/>
      <c r="B21" s="147"/>
      <c r="C21" s="147"/>
      <c r="D21" s="148"/>
      <c r="E21" s="148"/>
      <c r="F21" s="148"/>
      <c r="G21" s="148"/>
      <c r="H21" s="120"/>
      <c r="I21" s="149"/>
      <c r="J21" s="150"/>
      <c r="K21" s="151"/>
      <c r="L21" s="152"/>
      <c r="M21" s="153"/>
      <c r="N21" s="153"/>
      <c r="O21" s="153"/>
      <c r="P21" s="153"/>
      <c r="Q21" s="154"/>
      <c r="R21" s="153"/>
      <c r="S21" s="153"/>
      <c r="T21" s="153"/>
      <c r="U21" s="153"/>
      <c r="V21" s="153"/>
      <c r="W21" s="152"/>
      <c r="X21" s="152"/>
      <c r="Y21" s="155"/>
      <c r="Z21" s="152"/>
      <c r="AA21" s="152"/>
      <c r="AB21" s="58"/>
    </row>
    <row r="22" spans="1:3225" s="51" customFormat="1" ht="41.25" customHeight="1" thickBot="1" x14ac:dyDescent="0.35">
      <c r="A22" s="280" t="s">
        <v>44</v>
      </c>
      <c r="B22" s="281"/>
      <c r="C22" s="281"/>
      <c r="D22" s="281"/>
      <c r="E22" s="281"/>
      <c r="F22" s="281"/>
      <c r="G22" s="281"/>
      <c r="H22" s="281"/>
      <c r="I22" s="282"/>
      <c r="J22" s="191">
        <f>J8+J12+J14+J16+J19</f>
        <v>76427.5</v>
      </c>
      <c r="K22" s="191">
        <f>K8+K12+K14+K16+K19</f>
        <v>0</v>
      </c>
      <c r="L22" s="191">
        <f>L8+L12+L14+L16+L19</f>
        <v>76574</v>
      </c>
      <c r="M22" s="192">
        <f t="shared" ref="M22:V22" si="42">SUM(M9:M20)</f>
        <v>0</v>
      </c>
      <c r="N22" s="192">
        <f t="shared" si="42"/>
        <v>76574</v>
      </c>
      <c r="O22" s="192">
        <f t="shared" si="42"/>
        <v>57174.83</v>
      </c>
      <c r="P22" s="192">
        <f t="shared" si="42"/>
        <v>19399.169999999998</v>
      </c>
      <c r="Q22" s="192">
        <f t="shared" si="42"/>
        <v>1.3288000000000002</v>
      </c>
      <c r="R22" s="192">
        <f t="shared" si="42"/>
        <v>3682.8966719999994</v>
      </c>
      <c r="S22" s="192">
        <f t="shared" si="42"/>
        <v>7432.2</v>
      </c>
      <c r="T22" s="192">
        <f t="shared" si="42"/>
        <v>11115.096672000001</v>
      </c>
      <c r="U22" s="192">
        <f t="shared" si="42"/>
        <v>145.35</v>
      </c>
      <c r="V22" s="192">
        <f t="shared" si="42"/>
        <v>10969.75</v>
      </c>
      <c r="W22" s="191">
        <f>W8+W12+W14+W16+W19</f>
        <v>0</v>
      </c>
      <c r="X22" s="191">
        <f>X8+X12+X14+X16+X19</f>
        <v>10942.55</v>
      </c>
      <c r="Y22" s="191">
        <f>Y8+Y12+Y14+Y16+Y19</f>
        <v>0</v>
      </c>
      <c r="Z22" s="191">
        <f>Z8+Z12+Z14+Z16+Z19</f>
        <v>10942.55</v>
      </c>
      <c r="AA22" s="191">
        <f>AA8+AA12+AA14+AA16+AA19</f>
        <v>65631.45</v>
      </c>
    </row>
    <row r="23" spans="1:3225" s="51" customFormat="1" ht="12" customHeight="1" thickTop="1" x14ac:dyDescent="0.2"/>
    <row r="24" spans="1:3225" s="51" customFormat="1" ht="12" customHeight="1" x14ac:dyDescent="0.2"/>
    <row r="25" spans="1:3225" s="51" customFormat="1" ht="12" customHeight="1" x14ac:dyDescent="0.2"/>
    <row r="26" spans="1:3225" s="51" customFormat="1" ht="12" customHeight="1" x14ac:dyDescent="0.2"/>
    <row r="27" spans="1:3225" s="51" customFormat="1" ht="12" customHeight="1" x14ac:dyDescent="0.2"/>
    <row r="28" spans="1:3225" s="51" customFormat="1" ht="12" customHeight="1" x14ac:dyDescent="0.2"/>
    <row r="29" spans="1:3225" s="51" customFormat="1" ht="12" customHeight="1" x14ac:dyDescent="0.2"/>
    <row r="39" spans="12:12" x14ac:dyDescent="0.25">
      <c r="L39" s="4" t="s">
        <v>314</v>
      </c>
    </row>
  </sheetData>
  <mergeCells count="7">
    <mergeCell ref="A22:I22"/>
    <mergeCell ref="A1:AB1"/>
    <mergeCell ref="A2:AB2"/>
    <mergeCell ref="A3:AB3"/>
    <mergeCell ref="J5:L5"/>
    <mergeCell ref="O5:T5"/>
    <mergeCell ref="X5:Z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16"/>
  <sheetViews>
    <sheetView topLeftCell="B18" zoomScale="89" zoomScaleNormal="89" workbookViewId="0">
      <selection activeCell="B24" sqref="A24:XFD29"/>
    </sheetView>
  </sheetViews>
  <sheetFormatPr baseColWidth="10" defaultColWidth="11.44140625" defaultRowHeight="13.2" x14ac:dyDescent="0.25"/>
  <cols>
    <col min="1" max="1" width="5.5546875" hidden="1" customWidth="1"/>
    <col min="2" max="2" width="12.44140625" customWidth="1"/>
    <col min="3" max="3" width="9.5546875" customWidth="1"/>
    <col min="4" max="4" width="28.6640625" customWidth="1"/>
    <col min="5" max="5" width="24.6640625" customWidth="1"/>
    <col min="6" max="6" width="33.6640625" customWidth="1"/>
    <col min="7" max="7" width="18" customWidth="1"/>
    <col min="8" max="8" width="6.5546875" hidden="1" customWidth="1"/>
    <col min="9" max="9" width="7.33203125" hidden="1" customWidth="1"/>
    <col min="10" max="10" width="14.5546875" customWidth="1"/>
    <col min="11" max="11" width="10.88671875" customWidth="1"/>
    <col min="12" max="12" width="14.109375" customWidth="1"/>
    <col min="13" max="13" width="13.109375" hidden="1" customWidth="1"/>
    <col min="14" max="14" width="13.88671875" hidden="1" customWidth="1"/>
    <col min="15" max="15" width="13.5546875" hidden="1" customWidth="1"/>
    <col min="16" max="16" width="14" hidden="1" customWidth="1"/>
    <col min="17" max="18" width="13.109375" hidden="1" customWidth="1"/>
    <col min="19" max="19" width="10.5546875" hidden="1" customWidth="1"/>
    <col min="20" max="20" width="13" hidden="1" customWidth="1"/>
    <col min="21" max="21" width="13.109375" hidden="1" customWidth="1"/>
    <col min="22" max="22" width="15.44140625" hidden="1" customWidth="1"/>
    <col min="23" max="23" width="9.6640625" customWidth="1"/>
    <col min="24" max="24" width="14" customWidth="1"/>
    <col min="25" max="25" width="11.6640625" customWidth="1"/>
    <col min="26" max="26" width="12.5546875" customWidth="1"/>
    <col min="27" max="27" width="14.33203125" customWidth="1"/>
    <col min="28" max="28" width="57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252</v>
      </c>
      <c r="J6" s="295" t="s">
        <v>1</v>
      </c>
      <c r="K6" s="296"/>
      <c r="L6" s="297"/>
      <c r="M6" s="24" t="s">
        <v>25</v>
      </c>
      <c r="N6" s="25"/>
      <c r="O6" s="298" t="s">
        <v>8</v>
      </c>
      <c r="P6" s="299"/>
      <c r="Q6" s="299"/>
      <c r="R6" s="299"/>
      <c r="S6" s="299"/>
      <c r="T6" s="300"/>
      <c r="U6" s="24" t="s">
        <v>29</v>
      </c>
      <c r="V6" s="24" t="s">
        <v>9</v>
      </c>
      <c r="W6" s="23" t="s">
        <v>52</v>
      </c>
      <c r="X6" s="301" t="s">
        <v>2</v>
      </c>
      <c r="Y6" s="302"/>
      <c r="Z6" s="303"/>
      <c r="AA6" s="23" t="s">
        <v>0</v>
      </c>
      <c r="AB6" s="34"/>
    </row>
    <row r="7" spans="1:28" ht="2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58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56" t="s">
        <v>451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9"/>
      <c r="J8" s="26" t="s">
        <v>46</v>
      </c>
      <c r="K8" s="26" t="s">
        <v>59</v>
      </c>
      <c r="L8" s="26" t="s">
        <v>28</v>
      </c>
      <c r="M8" s="28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6" t="s">
        <v>51</v>
      </c>
      <c r="X8" s="26"/>
      <c r="Y8" s="26"/>
      <c r="Z8" s="26" t="s">
        <v>43</v>
      </c>
      <c r="AA8" s="26" t="s">
        <v>4</v>
      </c>
      <c r="AB8" s="35"/>
    </row>
    <row r="9" spans="1:28" ht="31.2" x14ac:dyDescent="0.3">
      <c r="A9" s="26"/>
      <c r="B9" s="158" t="s">
        <v>102</v>
      </c>
      <c r="C9" s="158" t="s">
        <v>136</v>
      </c>
      <c r="D9" s="141" t="s">
        <v>332</v>
      </c>
      <c r="E9" s="142" t="s">
        <v>103</v>
      </c>
      <c r="F9" s="142" t="s">
        <v>340</v>
      </c>
      <c r="G9" s="142" t="s">
        <v>61</v>
      </c>
      <c r="H9" s="124"/>
      <c r="I9" s="142"/>
      <c r="J9" s="125">
        <f>J10</f>
        <v>10653</v>
      </c>
      <c r="K9" s="125">
        <f>K10</f>
        <v>0</v>
      </c>
      <c r="L9" s="125">
        <f>L10</f>
        <v>10653</v>
      </c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5">
        <f>W10</f>
        <v>0</v>
      </c>
      <c r="X9" s="125">
        <f>X10</f>
        <v>1452.42</v>
      </c>
      <c r="Y9" s="125">
        <f>Y10</f>
        <v>0</v>
      </c>
      <c r="Z9" s="125">
        <f>Z10</f>
        <v>1452.42</v>
      </c>
      <c r="AA9" s="125">
        <f>AA10</f>
        <v>9200.58</v>
      </c>
      <c r="AB9" s="156"/>
    </row>
    <row r="10" spans="1:28" ht="99" customHeight="1" x14ac:dyDescent="0.35">
      <c r="A10" s="26"/>
      <c r="B10" s="203">
        <v>161</v>
      </c>
      <c r="C10" s="176" t="s">
        <v>127</v>
      </c>
      <c r="D10" s="263" t="s">
        <v>333</v>
      </c>
      <c r="E10" s="178" t="s">
        <v>334</v>
      </c>
      <c r="F10" s="178" t="s">
        <v>359</v>
      </c>
      <c r="G10" s="179" t="s">
        <v>335</v>
      </c>
      <c r="H10" s="204">
        <v>15</v>
      </c>
      <c r="I10" s="205">
        <f>J10/H10</f>
        <v>710.2</v>
      </c>
      <c r="J10" s="182">
        <v>10653</v>
      </c>
      <c r="K10" s="183">
        <v>0</v>
      </c>
      <c r="L10" s="184">
        <f>J10</f>
        <v>10653</v>
      </c>
      <c r="M10" s="185">
        <f>IF(J10/15&lt;=SMG,0,K10/2)</f>
        <v>0</v>
      </c>
      <c r="N10" s="185">
        <f t="shared" ref="N10" si="0">J10+M10</f>
        <v>10653</v>
      </c>
      <c r="O10" s="185">
        <f>VLOOKUP(N10,Tarifa1,1)</f>
        <v>7641.91</v>
      </c>
      <c r="P10" s="185">
        <f t="shared" ref="P10" si="1">N10-O10</f>
        <v>3011.09</v>
      </c>
      <c r="Q10" s="186">
        <f>VLOOKUP(N10,Tarifa1,3)</f>
        <v>0.21360000000000001</v>
      </c>
      <c r="R10" s="185">
        <f t="shared" ref="R10" si="2">P10*Q10</f>
        <v>643.16882400000009</v>
      </c>
      <c r="S10" s="187">
        <f>VLOOKUP(N10,Tarifa1,2)</f>
        <v>809.25</v>
      </c>
      <c r="T10" s="185">
        <f t="shared" ref="T10" si="3">R10+S10</f>
        <v>1452.4188240000001</v>
      </c>
      <c r="U10" s="185">
        <f>VLOOKUP(N10,Credito1,2)</f>
        <v>0</v>
      </c>
      <c r="V10" s="185">
        <f t="shared" ref="V10" si="4">ROUND(T10-U10,2)</f>
        <v>1452.42</v>
      </c>
      <c r="W10" s="184">
        <f t="shared" ref="W10" si="5">-IF(V10&gt;0,0,V10)</f>
        <v>0</v>
      </c>
      <c r="X10" s="184">
        <f>IF(J10/15&lt;=SMG,0,IF(V10&lt;0,0,V10))</f>
        <v>1452.42</v>
      </c>
      <c r="Y10" s="188">
        <v>0</v>
      </c>
      <c r="Z10" s="184">
        <f>SUM(X10:Y10)</f>
        <v>1452.42</v>
      </c>
      <c r="AA10" s="184">
        <f>L10+W10-Z10</f>
        <v>9200.58</v>
      </c>
      <c r="AB10" s="115"/>
    </row>
    <row r="11" spans="1:28" ht="47.25" customHeight="1" x14ac:dyDescent="0.3">
      <c r="A11" s="142"/>
      <c r="B11" s="158" t="s">
        <v>102</v>
      </c>
      <c r="C11" s="158" t="s">
        <v>136</v>
      </c>
      <c r="D11" s="141" t="s">
        <v>138</v>
      </c>
      <c r="E11" s="142" t="s">
        <v>103</v>
      </c>
      <c r="F11" s="142"/>
      <c r="G11" s="142" t="s">
        <v>61</v>
      </c>
      <c r="H11" s="124"/>
      <c r="I11" s="142"/>
      <c r="J11" s="125">
        <f>J12</f>
        <v>7823</v>
      </c>
      <c r="K11" s="125">
        <f>K12</f>
        <v>0</v>
      </c>
      <c r="L11" s="125">
        <f>L12</f>
        <v>7823</v>
      </c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5">
        <f>W12</f>
        <v>0</v>
      </c>
      <c r="X11" s="125">
        <f>X12</f>
        <v>847.93</v>
      </c>
      <c r="Y11" s="125">
        <f>Y12</f>
        <v>0</v>
      </c>
      <c r="Z11" s="125">
        <f>Z12</f>
        <v>847.93</v>
      </c>
      <c r="AA11" s="125">
        <f>AA12</f>
        <v>6975.07</v>
      </c>
      <c r="AB11" s="156"/>
    </row>
    <row r="12" spans="1:28" ht="99" customHeight="1" x14ac:dyDescent="0.35">
      <c r="A12" s="127"/>
      <c r="B12" s="176" t="s">
        <v>323</v>
      </c>
      <c r="C12" s="177" t="s">
        <v>127</v>
      </c>
      <c r="D12" s="263" t="s">
        <v>324</v>
      </c>
      <c r="E12" s="178" t="s">
        <v>325</v>
      </c>
      <c r="F12" s="178" t="s">
        <v>383</v>
      </c>
      <c r="G12" s="179" t="s">
        <v>327</v>
      </c>
      <c r="H12" s="180">
        <v>13</v>
      </c>
      <c r="I12" s="181">
        <f t="shared" ref="I12" si="6">J12/H12</f>
        <v>601.76923076923072</v>
      </c>
      <c r="J12" s="182">
        <v>7823</v>
      </c>
      <c r="K12" s="183">
        <v>0</v>
      </c>
      <c r="L12" s="184">
        <f t="shared" ref="L12" si="7">SUM(J12:K12)</f>
        <v>7823</v>
      </c>
      <c r="M12" s="185">
        <f t="shared" ref="M12" si="8">IF(J12/15&lt;=SMG,0,K12/2)</f>
        <v>0</v>
      </c>
      <c r="N12" s="185">
        <f t="shared" ref="N12" si="9">J12+M12</f>
        <v>7823</v>
      </c>
      <c r="O12" s="185">
        <f t="shared" ref="O12" si="10">VLOOKUP(N12,Tarifa1,1)</f>
        <v>7641.91</v>
      </c>
      <c r="P12" s="185">
        <f t="shared" ref="P12" si="11">N12-O12</f>
        <v>181.09000000000015</v>
      </c>
      <c r="Q12" s="186">
        <f t="shared" ref="Q12" si="12">VLOOKUP(N12,Tarifa1,3)</f>
        <v>0.21360000000000001</v>
      </c>
      <c r="R12" s="185">
        <f t="shared" ref="R12" si="13">P12*Q12</f>
        <v>38.680824000000037</v>
      </c>
      <c r="S12" s="187">
        <f t="shared" ref="S12" si="14">VLOOKUP(N12,Tarifa1,2)</f>
        <v>809.25</v>
      </c>
      <c r="T12" s="185">
        <f t="shared" ref="T12" si="15">R12+S12</f>
        <v>847.93082400000003</v>
      </c>
      <c r="U12" s="185">
        <f t="shared" ref="U12" si="16">VLOOKUP(N12,Credito1,2)</f>
        <v>0</v>
      </c>
      <c r="V12" s="185">
        <f t="shared" ref="V12" si="17">ROUND(T12-U12,2)</f>
        <v>847.93</v>
      </c>
      <c r="W12" s="184">
        <f t="shared" ref="W12" si="18">-IF(V12&gt;0,0,V12)</f>
        <v>0</v>
      </c>
      <c r="X12" s="184">
        <f t="shared" ref="X12" si="19">IF(J12/15&lt;=SMG,0,IF(V12&lt;0,0,V12))</f>
        <v>847.93</v>
      </c>
      <c r="Y12" s="188">
        <v>0</v>
      </c>
      <c r="Z12" s="184">
        <f t="shared" ref="Z12" si="20">SUM(X12:Y12)</f>
        <v>847.93</v>
      </c>
      <c r="AA12" s="184">
        <f t="shared" ref="AA12" si="21">L12+W12-Z12</f>
        <v>6975.07</v>
      </c>
      <c r="AB12" s="115"/>
    </row>
    <row r="13" spans="1:28" ht="47.25" customHeight="1" x14ac:dyDescent="0.3">
      <c r="A13" s="127"/>
      <c r="B13" s="142"/>
      <c r="C13" s="142"/>
      <c r="D13" s="141" t="s">
        <v>77</v>
      </c>
      <c r="E13" s="142" t="s">
        <v>103</v>
      </c>
      <c r="F13" s="142" t="s">
        <v>340</v>
      </c>
      <c r="G13" s="142" t="s">
        <v>61</v>
      </c>
      <c r="H13" s="142"/>
      <c r="I13" s="142"/>
      <c r="J13" s="125">
        <f>SUM(J14)</f>
        <v>12093</v>
      </c>
      <c r="K13" s="125">
        <f>SUM(K14)</f>
        <v>0</v>
      </c>
      <c r="L13" s="125">
        <f>SUM(L14)</f>
        <v>12093</v>
      </c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>
        <f>SUM(W14)</f>
        <v>0</v>
      </c>
      <c r="X13" s="125">
        <f>SUM(X14)</f>
        <v>1760</v>
      </c>
      <c r="Y13" s="125">
        <f>SUM(Y14)</f>
        <v>0</v>
      </c>
      <c r="Z13" s="125">
        <f>SUM(Z14)</f>
        <v>1760</v>
      </c>
      <c r="AA13" s="125">
        <f>SUM(AA14)</f>
        <v>10333</v>
      </c>
      <c r="AB13" s="156"/>
    </row>
    <row r="14" spans="1:28" ht="98.25" customHeight="1" x14ac:dyDescent="0.35">
      <c r="A14" s="127"/>
      <c r="B14" s="203">
        <v>290</v>
      </c>
      <c r="C14" s="176" t="s">
        <v>127</v>
      </c>
      <c r="D14" s="263" t="s">
        <v>338</v>
      </c>
      <c r="E14" s="178" t="s">
        <v>339</v>
      </c>
      <c r="F14" s="178" t="s">
        <v>400</v>
      </c>
      <c r="G14" s="178" t="s">
        <v>77</v>
      </c>
      <c r="H14" s="204">
        <v>15</v>
      </c>
      <c r="I14" s="205">
        <f>J14/H14</f>
        <v>806.2</v>
      </c>
      <c r="J14" s="206">
        <v>12093</v>
      </c>
      <c r="K14" s="207">
        <v>0</v>
      </c>
      <c r="L14" s="208">
        <f>SUM(J14:K14)</f>
        <v>12093</v>
      </c>
      <c r="M14" s="185">
        <f>IF(J14/15&lt;=SMG,0,K14/2)</f>
        <v>0</v>
      </c>
      <c r="N14" s="185">
        <f>J14+M14</f>
        <v>12093</v>
      </c>
      <c r="O14" s="185">
        <f>VLOOKUP(N14,Tarifa1,1)</f>
        <v>7641.91</v>
      </c>
      <c r="P14" s="185">
        <f>N14-O14</f>
        <v>4451.09</v>
      </c>
      <c r="Q14" s="186">
        <f>VLOOKUP(N14,Tarifa1,3)</f>
        <v>0.21360000000000001</v>
      </c>
      <c r="R14" s="185">
        <f>P14*Q14</f>
        <v>950.75282400000003</v>
      </c>
      <c r="S14" s="187">
        <f>VLOOKUP(N14,Tarifa1,2)</f>
        <v>809.25</v>
      </c>
      <c r="T14" s="185">
        <f>R14+S14</f>
        <v>1760.0028240000001</v>
      </c>
      <c r="U14" s="185">
        <f>VLOOKUP(N14,Credito1,2)</f>
        <v>0</v>
      </c>
      <c r="V14" s="185">
        <f>ROUND(T14-U14,2)</f>
        <v>1760</v>
      </c>
      <c r="W14" s="184">
        <f>-IF(V14&gt;0,0,V14)</f>
        <v>0</v>
      </c>
      <c r="X14" s="184">
        <f>IF(J14/15&lt;=SMG,0,IF(V14&lt;0,0,V14))</f>
        <v>1760</v>
      </c>
      <c r="Y14" s="188">
        <v>0</v>
      </c>
      <c r="Z14" s="184">
        <f>SUM(X14:Y14)</f>
        <v>1760</v>
      </c>
      <c r="AA14" s="184">
        <f>L14+W14-Z14</f>
        <v>10333</v>
      </c>
      <c r="AB14" s="115"/>
    </row>
    <row r="15" spans="1:28" ht="40.5" customHeight="1" thickBot="1" x14ac:dyDescent="0.35">
      <c r="A15" s="280" t="s">
        <v>44</v>
      </c>
      <c r="B15" s="281"/>
      <c r="C15" s="281"/>
      <c r="D15" s="281"/>
      <c r="E15" s="281"/>
      <c r="F15" s="281"/>
      <c r="G15" s="281"/>
      <c r="H15" s="281"/>
      <c r="I15" s="282"/>
      <c r="J15" s="255">
        <f>J9+J11+J13</f>
        <v>30569</v>
      </c>
      <c r="K15" s="255">
        <f>K9+K11+K13</f>
        <v>0</v>
      </c>
      <c r="L15" s="255">
        <f>L9+L11+L13</f>
        <v>30569</v>
      </c>
      <c r="M15" s="192">
        <f t="shared" ref="M15:V15" si="22">SUM(M12:M12)</f>
        <v>0</v>
      </c>
      <c r="N15" s="192">
        <f t="shared" si="22"/>
        <v>7823</v>
      </c>
      <c r="O15" s="192">
        <f t="shared" si="22"/>
        <v>7641.91</v>
      </c>
      <c r="P15" s="192">
        <f t="shared" si="22"/>
        <v>181.09000000000015</v>
      </c>
      <c r="Q15" s="192">
        <f t="shared" si="22"/>
        <v>0.21360000000000001</v>
      </c>
      <c r="R15" s="192">
        <f t="shared" si="22"/>
        <v>38.680824000000037</v>
      </c>
      <c r="S15" s="192">
        <f t="shared" si="22"/>
        <v>809.25</v>
      </c>
      <c r="T15" s="192">
        <f t="shared" si="22"/>
        <v>847.93082400000003</v>
      </c>
      <c r="U15" s="192">
        <f t="shared" si="22"/>
        <v>0</v>
      </c>
      <c r="V15" s="192">
        <f t="shared" si="22"/>
        <v>847.93</v>
      </c>
      <c r="W15" s="255">
        <f>W9+W11+W13</f>
        <v>0</v>
      </c>
      <c r="X15" s="255">
        <f>X9+X11+X13</f>
        <v>4060.35</v>
      </c>
      <c r="Y15" s="255">
        <f>Y9+Y11+Y13</f>
        <v>0</v>
      </c>
      <c r="Z15" s="255">
        <f>Z9+Z11+Z13</f>
        <v>4060.35</v>
      </c>
      <c r="AA15" s="255">
        <f>AA9+AA11+AA13</f>
        <v>26508.65</v>
      </c>
      <c r="AB15" s="157"/>
    </row>
    <row r="16" spans="1:28" ht="13.8" thickTop="1" x14ac:dyDescent="0.25"/>
  </sheetData>
  <mergeCells count="7">
    <mergeCell ref="A15:I15"/>
    <mergeCell ref="A1:AB1"/>
    <mergeCell ref="A2:AB2"/>
    <mergeCell ref="A3:AB3"/>
    <mergeCell ref="J6:L6"/>
    <mergeCell ref="O6:T6"/>
    <mergeCell ref="X6:Z6"/>
  </mergeCells>
  <pageMargins left="0.27559055118110237" right="0.27559055118110237" top="0.74803149606299213" bottom="0.74803149606299213" header="0.31496062992125984" footer="0.31496062992125984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B31" zoomScale="66" zoomScaleNormal="66" workbookViewId="0">
      <selection activeCell="B38" sqref="A38:XFD44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38.88671875" customWidth="1"/>
    <col min="5" max="5" width="23.44140625" customWidth="1"/>
    <col min="6" max="6" width="34.44140625" customWidth="1"/>
    <col min="7" max="7" width="31.5546875" customWidth="1"/>
    <col min="8" max="8" width="6.5546875" hidden="1" customWidth="1"/>
    <col min="9" max="9" width="10" hidden="1" customWidth="1"/>
    <col min="10" max="10" width="16.88671875" customWidth="1"/>
    <col min="11" max="11" width="13.44140625" customWidth="1"/>
    <col min="12" max="12" width="17" customWidth="1"/>
    <col min="13" max="13" width="13.109375" hidden="1" customWidth="1"/>
    <col min="14" max="14" width="15.109375" hidden="1" customWidth="1"/>
    <col min="15" max="15" width="14" hidden="1" customWidth="1"/>
    <col min="16" max="16" width="14.5546875" hidden="1" customWidth="1"/>
    <col min="17" max="18" width="13.109375" hidden="1" customWidth="1"/>
    <col min="19" max="20" width="14.33203125" hidden="1" customWidth="1"/>
    <col min="21" max="22" width="13.109375" hidden="1" customWidth="1"/>
    <col min="23" max="23" width="9.6640625" customWidth="1"/>
    <col min="24" max="24" width="14.44140625" customWidth="1"/>
    <col min="25" max="26" width="13.6640625" customWidth="1"/>
    <col min="27" max="27" width="17" customWidth="1"/>
    <col min="28" max="28" width="84.44140625" customWidth="1"/>
    <col min="29" max="29" width="1.44140625" customWidth="1"/>
  </cols>
  <sheetData>
    <row r="1" spans="1:34" ht="19.8" x14ac:dyDescent="0.3">
      <c r="A1" s="283" t="s">
        <v>79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34" ht="19.8" x14ac:dyDescent="0.3">
      <c r="A2" s="283" t="s">
        <v>64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</row>
    <row r="3" spans="1:34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34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34" s="51" customFormat="1" ht="12.75" customHeight="1" x14ac:dyDescent="0.25">
      <c r="A5" s="47"/>
      <c r="B5" s="47"/>
      <c r="C5" s="304" t="s">
        <v>128</v>
      </c>
      <c r="D5" s="47"/>
      <c r="E5" s="47"/>
      <c r="F5" s="47"/>
      <c r="G5" s="47"/>
      <c r="H5" s="48" t="s">
        <v>22</v>
      </c>
      <c r="I5" s="48" t="s">
        <v>5</v>
      </c>
      <c r="J5" s="307" t="s">
        <v>1</v>
      </c>
      <c r="K5" s="308"/>
      <c r="L5" s="309"/>
      <c r="M5" s="49" t="s">
        <v>25</v>
      </c>
      <c r="N5" s="50"/>
      <c r="O5" s="310" t="s">
        <v>8</v>
      </c>
      <c r="P5" s="311"/>
      <c r="Q5" s="311"/>
      <c r="R5" s="311"/>
      <c r="S5" s="311"/>
      <c r="T5" s="312"/>
      <c r="U5" s="49" t="s">
        <v>29</v>
      </c>
      <c r="V5" s="49" t="s">
        <v>9</v>
      </c>
      <c r="W5" s="48" t="s">
        <v>52</v>
      </c>
      <c r="X5" s="313" t="s">
        <v>2</v>
      </c>
      <c r="Y5" s="314"/>
      <c r="Z5" s="315"/>
      <c r="AA5" s="48" t="s">
        <v>0</v>
      </c>
      <c r="AB5" s="47"/>
    </row>
    <row r="6" spans="1:34" s="51" customFormat="1" ht="24" x14ac:dyDescent="0.25">
      <c r="A6" s="52" t="s">
        <v>20</v>
      </c>
      <c r="B6" s="46" t="s">
        <v>102</v>
      </c>
      <c r="C6" s="305"/>
      <c r="D6" s="52" t="s">
        <v>21</v>
      </c>
      <c r="E6" s="52"/>
      <c r="F6" s="52"/>
      <c r="G6" s="52"/>
      <c r="H6" s="53" t="s">
        <v>23</v>
      </c>
      <c r="I6" s="52" t="s">
        <v>24</v>
      </c>
      <c r="J6" s="48" t="s">
        <v>5</v>
      </c>
      <c r="K6" s="48" t="s">
        <v>58</v>
      </c>
      <c r="L6" s="48" t="s">
        <v>27</v>
      </c>
      <c r="M6" s="54" t="s">
        <v>26</v>
      </c>
      <c r="N6" s="50" t="s">
        <v>31</v>
      </c>
      <c r="O6" s="50" t="s">
        <v>11</v>
      </c>
      <c r="P6" s="50" t="s">
        <v>33</v>
      </c>
      <c r="Q6" s="50" t="s">
        <v>35</v>
      </c>
      <c r="R6" s="50" t="s">
        <v>36</v>
      </c>
      <c r="S6" s="50" t="s">
        <v>13</v>
      </c>
      <c r="T6" s="50" t="s">
        <v>9</v>
      </c>
      <c r="U6" s="54" t="s">
        <v>39</v>
      </c>
      <c r="V6" s="54" t="s">
        <v>40</v>
      </c>
      <c r="W6" s="52" t="s">
        <v>30</v>
      </c>
      <c r="X6" s="48" t="s">
        <v>451</v>
      </c>
      <c r="Y6" s="48" t="s">
        <v>56</v>
      </c>
      <c r="Z6" s="48" t="s">
        <v>6</v>
      </c>
      <c r="AA6" s="52" t="s">
        <v>3</v>
      </c>
      <c r="AB6" s="52" t="s">
        <v>57</v>
      </c>
    </row>
    <row r="7" spans="1:34" s="51" customFormat="1" ht="12" x14ac:dyDescent="0.25">
      <c r="A7" s="60"/>
      <c r="B7" s="60"/>
      <c r="C7" s="306"/>
      <c r="D7" s="60"/>
      <c r="E7" s="60"/>
      <c r="F7" s="60"/>
      <c r="G7" s="60"/>
      <c r="H7" s="60"/>
      <c r="I7" s="60"/>
      <c r="J7" s="60" t="s">
        <v>46</v>
      </c>
      <c r="K7" s="60" t="s">
        <v>59</v>
      </c>
      <c r="L7" s="60" t="s">
        <v>28</v>
      </c>
      <c r="M7" s="61" t="s">
        <v>42</v>
      </c>
      <c r="N7" s="49" t="s">
        <v>32</v>
      </c>
      <c r="O7" s="49" t="s">
        <v>12</v>
      </c>
      <c r="P7" s="49" t="s">
        <v>34</v>
      </c>
      <c r="Q7" s="49" t="s">
        <v>34</v>
      </c>
      <c r="R7" s="49" t="s">
        <v>37</v>
      </c>
      <c r="S7" s="49" t="s">
        <v>14</v>
      </c>
      <c r="T7" s="49" t="s">
        <v>38</v>
      </c>
      <c r="U7" s="54" t="s">
        <v>18</v>
      </c>
      <c r="V7" s="55" t="s">
        <v>137</v>
      </c>
      <c r="W7" s="60" t="s">
        <v>51</v>
      </c>
      <c r="X7" s="60"/>
      <c r="Y7" s="60"/>
      <c r="Z7" s="60" t="s">
        <v>43</v>
      </c>
      <c r="AA7" s="60" t="s">
        <v>4</v>
      </c>
      <c r="AB7" s="57"/>
    </row>
    <row r="8" spans="1:34" s="51" customFormat="1" ht="15.6" x14ac:dyDescent="0.3">
      <c r="A8" s="62"/>
      <c r="B8" s="142"/>
      <c r="C8" s="142"/>
      <c r="D8" s="141" t="s">
        <v>69</v>
      </c>
      <c r="E8" s="142" t="s">
        <v>103</v>
      </c>
      <c r="F8" s="142" t="s">
        <v>340</v>
      </c>
      <c r="G8" s="142" t="s">
        <v>61</v>
      </c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4"/>
      <c r="W8" s="142"/>
      <c r="X8" s="142"/>
      <c r="Y8" s="142"/>
      <c r="Z8" s="142"/>
      <c r="AA8" s="142"/>
      <c r="AB8" s="63"/>
    </row>
    <row r="9" spans="1:34" s="94" customFormat="1" ht="149.25" customHeight="1" x14ac:dyDescent="0.35">
      <c r="A9" s="116" t="s">
        <v>86</v>
      </c>
      <c r="B9" s="176" t="s">
        <v>207</v>
      </c>
      <c r="C9" s="177" t="s">
        <v>127</v>
      </c>
      <c r="D9" s="264" t="s">
        <v>199</v>
      </c>
      <c r="E9" s="178" t="s">
        <v>205</v>
      </c>
      <c r="F9" s="178" t="s">
        <v>368</v>
      </c>
      <c r="G9" s="179" t="s">
        <v>240</v>
      </c>
      <c r="H9" s="180">
        <v>15</v>
      </c>
      <c r="I9" s="181">
        <f t="shared" ref="I9:I10" si="0">J9/H9</f>
        <v>757.26666666666665</v>
      </c>
      <c r="J9" s="182">
        <v>11359</v>
      </c>
      <c r="K9" s="183">
        <v>0</v>
      </c>
      <c r="L9" s="184">
        <f>SUM(J9:K9)</f>
        <v>11359</v>
      </c>
      <c r="M9" s="185">
        <f>IF(J9/15&lt;=SMG,0,K9/2)</f>
        <v>0</v>
      </c>
      <c r="N9" s="185">
        <f t="shared" ref="N9" si="1">J9+M9</f>
        <v>11359</v>
      </c>
      <c r="O9" s="185">
        <f t="shared" ref="O9" si="2">VLOOKUP(N9,Tarifa1,1)</f>
        <v>7641.91</v>
      </c>
      <c r="P9" s="185">
        <f t="shared" ref="P9" si="3">N9-O9</f>
        <v>3717.09</v>
      </c>
      <c r="Q9" s="186">
        <f t="shared" ref="Q9" si="4">VLOOKUP(N9,Tarifa1,3)</f>
        <v>0.21360000000000001</v>
      </c>
      <c r="R9" s="185">
        <f t="shared" ref="R9" si="5">P9*Q9</f>
        <v>793.97042400000009</v>
      </c>
      <c r="S9" s="187">
        <f t="shared" ref="S9" si="6">VLOOKUP(N9,Tarifa1,2)</f>
        <v>809.25</v>
      </c>
      <c r="T9" s="185">
        <f t="shared" ref="T9" si="7">R9+S9</f>
        <v>1603.2204240000001</v>
      </c>
      <c r="U9" s="185">
        <f t="shared" ref="U9" si="8">VLOOKUP(N9,Credito1,2)</f>
        <v>0</v>
      </c>
      <c r="V9" s="185">
        <f t="shared" ref="V9" si="9">ROUND(T9-U9,2)</f>
        <v>1603.22</v>
      </c>
      <c r="W9" s="184">
        <f t="shared" ref="W9" si="10">-IF(V9&gt;0,0,V9)</f>
        <v>0</v>
      </c>
      <c r="X9" s="184">
        <f t="shared" ref="X9" si="11">IF(J9/15&lt;=SMG,0,IF(V9&lt;0,0,V9))</f>
        <v>1603.22</v>
      </c>
      <c r="Y9" s="188">
        <v>0</v>
      </c>
      <c r="Z9" s="184">
        <f>SUM(X9:Y9)</f>
        <v>1603.22</v>
      </c>
      <c r="AA9" s="184">
        <f t="shared" ref="AA9" si="12">L9+W9-Z9</f>
        <v>9755.7800000000007</v>
      </c>
      <c r="AB9" s="117"/>
      <c r="AC9" s="96"/>
      <c r="AH9" s="97"/>
    </row>
    <row r="10" spans="1:34" s="94" customFormat="1" ht="149.25" customHeight="1" x14ac:dyDescent="0.35">
      <c r="A10" s="116"/>
      <c r="B10" s="177" t="s">
        <v>241</v>
      </c>
      <c r="C10" s="177" t="s">
        <v>127</v>
      </c>
      <c r="D10" s="263" t="s">
        <v>242</v>
      </c>
      <c r="E10" s="178" t="s">
        <v>243</v>
      </c>
      <c r="F10" s="178" t="s">
        <v>380</v>
      </c>
      <c r="G10" s="179" t="s">
        <v>403</v>
      </c>
      <c r="H10" s="180">
        <v>15</v>
      </c>
      <c r="I10" s="181">
        <f t="shared" si="0"/>
        <v>757.26666666666665</v>
      </c>
      <c r="J10" s="182">
        <v>11359</v>
      </c>
      <c r="K10" s="183">
        <v>0</v>
      </c>
      <c r="L10" s="184">
        <f>SUM(J10:K10)</f>
        <v>11359</v>
      </c>
      <c r="M10" s="185">
        <f>IF(J10/15&lt;=SMG,0,K10/2)</f>
        <v>0</v>
      </c>
      <c r="N10" s="185">
        <f t="shared" ref="N10:N15" si="13">J10+M10</f>
        <v>11359</v>
      </c>
      <c r="O10" s="185">
        <f t="shared" ref="O10:O15" si="14">VLOOKUP(N10,Tarifa1,1)</f>
        <v>7641.91</v>
      </c>
      <c r="P10" s="185">
        <f t="shared" ref="P10:P15" si="15">N10-O10</f>
        <v>3717.09</v>
      </c>
      <c r="Q10" s="186">
        <f t="shared" ref="Q10:Q15" si="16">VLOOKUP(N10,Tarifa1,3)</f>
        <v>0.21360000000000001</v>
      </c>
      <c r="R10" s="185">
        <f t="shared" ref="R10:R15" si="17">P10*Q10</f>
        <v>793.97042400000009</v>
      </c>
      <c r="S10" s="187">
        <f t="shared" ref="S10:S15" si="18">VLOOKUP(N10,Tarifa1,2)</f>
        <v>809.25</v>
      </c>
      <c r="T10" s="185">
        <f t="shared" ref="T10:T15" si="19">R10+S10</f>
        <v>1603.2204240000001</v>
      </c>
      <c r="U10" s="185">
        <f t="shared" ref="U10:U15" si="20">VLOOKUP(N10,Credito1,2)</f>
        <v>0</v>
      </c>
      <c r="V10" s="185">
        <f t="shared" ref="V10:V15" si="21">ROUND(T10-U10,2)</f>
        <v>1603.22</v>
      </c>
      <c r="W10" s="184">
        <f t="shared" ref="W10:W15" si="22">-IF(V10&gt;0,0,V10)</f>
        <v>0</v>
      </c>
      <c r="X10" s="184">
        <f t="shared" ref="X10:X15" si="23">IF(J10/15&lt;=SMG,0,IF(V10&lt;0,0,V10))</f>
        <v>1603.22</v>
      </c>
      <c r="Y10" s="188">
        <v>0</v>
      </c>
      <c r="Z10" s="184">
        <f>SUM(X10:Y10)</f>
        <v>1603.22</v>
      </c>
      <c r="AA10" s="184">
        <f t="shared" ref="AA10" si="24">L10+W10-Z10</f>
        <v>9755.7800000000007</v>
      </c>
      <c r="AB10" s="117"/>
      <c r="AC10" s="96"/>
      <c r="AH10" s="97"/>
    </row>
    <row r="11" spans="1:34" s="94" customFormat="1" ht="149.25" customHeight="1" x14ac:dyDescent="0.35">
      <c r="A11" s="116"/>
      <c r="B11" s="177" t="s">
        <v>442</v>
      </c>
      <c r="C11" s="177" t="s">
        <v>127</v>
      </c>
      <c r="D11" s="263" t="s">
        <v>446</v>
      </c>
      <c r="E11" s="178" t="s">
        <v>445</v>
      </c>
      <c r="F11" s="178" t="s">
        <v>443</v>
      </c>
      <c r="G11" s="179" t="s">
        <v>444</v>
      </c>
      <c r="H11" s="180"/>
      <c r="I11" s="181"/>
      <c r="J11" s="182">
        <v>4467</v>
      </c>
      <c r="K11" s="183">
        <v>0</v>
      </c>
      <c r="L11" s="184">
        <f>SUM(J11:K11)</f>
        <v>4467</v>
      </c>
      <c r="M11" s="185">
        <f>IF(J11/15&lt;=SMG,0,K11/2)</f>
        <v>0</v>
      </c>
      <c r="N11" s="185">
        <f t="shared" si="13"/>
        <v>4467</v>
      </c>
      <c r="O11" s="185">
        <f t="shared" si="14"/>
        <v>3124.36</v>
      </c>
      <c r="P11" s="185">
        <f t="shared" si="15"/>
        <v>1342.6399999999999</v>
      </c>
      <c r="Q11" s="186">
        <f t="shared" si="16"/>
        <v>0.10879999999999999</v>
      </c>
      <c r="R11" s="185">
        <f t="shared" si="17"/>
        <v>146.07923199999999</v>
      </c>
      <c r="S11" s="187">
        <f t="shared" si="18"/>
        <v>183.45</v>
      </c>
      <c r="T11" s="185">
        <f t="shared" si="19"/>
        <v>329.52923199999998</v>
      </c>
      <c r="U11" s="185">
        <f t="shared" si="20"/>
        <v>0</v>
      </c>
      <c r="V11" s="185">
        <f t="shared" si="21"/>
        <v>329.53</v>
      </c>
      <c r="W11" s="184">
        <f t="shared" si="22"/>
        <v>0</v>
      </c>
      <c r="X11" s="184">
        <f t="shared" si="23"/>
        <v>329.53</v>
      </c>
      <c r="Y11" s="188">
        <v>0</v>
      </c>
      <c r="Z11" s="184">
        <f>SUM(X11:Y11)</f>
        <v>329.53</v>
      </c>
      <c r="AA11" s="184">
        <f>L11+W11-Z11</f>
        <v>4137.47</v>
      </c>
      <c r="AB11" s="117"/>
      <c r="AC11" s="96"/>
      <c r="AH11" s="97"/>
    </row>
    <row r="12" spans="1:34" s="94" customFormat="1" ht="149.25" customHeight="1" x14ac:dyDescent="0.35">
      <c r="A12" s="116"/>
      <c r="B12" s="176" t="s">
        <v>248</v>
      </c>
      <c r="C12" s="176" t="s">
        <v>127</v>
      </c>
      <c r="D12" s="265" t="s">
        <v>247</v>
      </c>
      <c r="E12" s="199" t="s">
        <v>251</v>
      </c>
      <c r="F12" s="199" t="s">
        <v>382</v>
      </c>
      <c r="G12" s="179" t="s">
        <v>67</v>
      </c>
      <c r="H12" s="180">
        <v>15</v>
      </c>
      <c r="I12" s="181"/>
      <c r="J12" s="182">
        <v>6253</v>
      </c>
      <c r="K12" s="183">
        <v>0</v>
      </c>
      <c r="L12" s="182">
        <f>J12</f>
        <v>6253</v>
      </c>
      <c r="M12" s="185">
        <f t="shared" ref="M12" si="25">IF(J12/15&lt;=SMG,0,K12/2)</f>
        <v>0</v>
      </c>
      <c r="N12" s="185">
        <f t="shared" si="13"/>
        <v>6253</v>
      </c>
      <c r="O12" s="185">
        <f t="shared" si="14"/>
        <v>5490.76</v>
      </c>
      <c r="P12" s="185">
        <f t="shared" si="15"/>
        <v>762.23999999999978</v>
      </c>
      <c r="Q12" s="186">
        <f t="shared" si="16"/>
        <v>0.16</v>
      </c>
      <c r="R12" s="185">
        <f t="shared" si="17"/>
        <v>121.95839999999997</v>
      </c>
      <c r="S12" s="187">
        <f t="shared" si="18"/>
        <v>441</v>
      </c>
      <c r="T12" s="185">
        <f t="shared" si="19"/>
        <v>562.95839999999998</v>
      </c>
      <c r="U12" s="185">
        <f t="shared" si="20"/>
        <v>0</v>
      </c>
      <c r="V12" s="185">
        <f t="shared" si="21"/>
        <v>562.96</v>
      </c>
      <c r="W12" s="184">
        <f t="shared" si="22"/>
        <v>0</v>
      </c>
      <c r="X12" s="184">
        <f t="shared" si="23"/>
        <v>562.96</v>
      </c>
      <c r="Y12" s="188">
        <v>0</v>
      </c>
      <c r="Z12" s="184">
        <f>SUM(X12:Y12)</f>
        <v>562.96</v>
      </c>
      <c r="AA12" s="184">
        <f>L12+W12-Z12+K12</f>
        <v>5690.04</v>
      </c>
      <c r="AB12" s="117"/>
      <c r="AH12" s="97"/>
    </row>
    <row r="13" spans="1:34" s="94" customFormat="1" ht="149.25" customHeight="1" x14ac:dyDescent="0.35">
      <c r="A13" s="116"/>
      <c r="B13" s="176" t="s">
        <v>447</v>
      </c>
      <c r="C13" s="176" t="s">
        <v>127</v>
      </c>
      <c r="D13" s="265" t="s">
        <v>448</v>
      </c>
      <c r="E13" s="199" t="s">
        <v>449</v>
      </c>
      <c r="F13" s="118" t="s">
        <v>450</v>
      </c>
      <c r="G13" s="179" t="s">
        <v>67</v>
      </c>
      <c r="H13" s="180"/>
      <c r="I13" s="181"/>
      <c r="J13" s="182">
        <v>6253</v>
      </c>
      <c r="K13" s="183">
        <v>0</v>
      </c>
      <c r="L13" s="182">
        <f>J13</f>
        <v>6253</v>
      </c>
      <c r="M13" s="185">
        <f t="shared" ref="M13" si="26">IF(J13/15&lt;=SMG,0,K13/2)</f>
        <v>0</v>
      </c>
      <c r="N13" s="185">
        <f t="shared" si="13"/>
        <v>6253</v>
      </c>
      <c r="O13" s="185">
        <f t="shared" si="14"/>
        <v>5490.76</v>
      </c>
      <c r="P13" s="185">
        <f t="shared" si="15"/>
        <v>762.23999999999978</v>
      </c>
      <c r="Q13" s="186">
        <f t="shared" si="16"/>
        <v>0.16</v>
      </c>
      <c r="R13" s="185">
        <f t="shared" si="17"/>
        <v>121.95839999999997</v>
      </c>
      <c r="S13" s="187">
        <f t="shared" si="18"/>
        <v>441</v>
      </c>
      <c r="T13" s="185">
        <f t="shared" si="19"/>
        <v>562.95839999999998</v>
      </c>
      <c r="U13" s="185">
        <f t="shared" si="20"/>
        <v>0</v>
      </c>
      <c r="V13" s="185">
        <f t="shared" si="21"/>
        <v>562.96</v>
      </c>
      <c r="W13" s="184">
        <f t="shared" si="22"/>
        <v>0</v>
      </c>
      <c r="X13" s="184">
        <f t="shared" si="23"/>
        <v>562.96</v>
      </c>
      <c r="Y13" s="188">
        <v>758.68</v>
      </c>
      <c r="Z13" s="184">
        <f>SUM(X13:Y13)</f>
        <v>1321.6399999999999</v>
      </c>
      <c r="AA13" s="184">
        <f>L13+W13-Z13+K13</f>
        <v>4931.3600000000006</v>
      </c>
      <c r="AB13" s="117"/>
      <c r="AH13" s="97"/>
    </row>
    <row r="14" spans="1:34" s="94" customFormat="1" ht="149.25" customHeight="1" x14ac:dyDescent="0.35">
      <c r="A14" s="116"/>
      <c r="B14" s="177" t="s">
        <v>123</v>
      </c>
      <c r="C14" s="177" t="s">
        <v>127</v>
      </c>
      <c r="D14" s="263" t="s">
        <v>68</v>
      </c>
      <c r="E14" s="178" t="s">
        <v>124</v>
      </c>
      <c r="F14" s="178" t="s">
        <v>346</v>
      </c>
      <c r="G14" s="179" t="s">
        <v>158</v>
      </c>
      <c r="H14" s="180">
        <v>15</v>
      </c>
      <c r="I14" s="181">
        <f>J14/H14</f>
        <v>570.13333333333333</v>
      </c>
      <c r="J14" s="182">
        <v>8552</v>
      </c>
      <c r="K14" s="183">
        <v>0</v>
      </c>
      <c r="L14" s="184">
        <f>SUM(J14:K14)</f>
        <v>8552</v>
      </c>
      <c r="M14" s="185">
        <f t="shared" ref="M14:M15" si="27">IF(J14/15&lt;=SMG,0,K14/2)</f>
        <v>0</v>
      </c>
      <c r="N14" s="185">
        <f t="shared" si="13"/>
        <v>8552</v>
      </c>
      <c r="O14" s="185">
        <f t="shared" si="14"/>
        <v>7641.91</v>
      </c>
      <c r="P14" s="185">
        <f t="shared" si="15"/>
        <v>910.09000000000015</v>
      </c>
      <c r="Q14" s="186">
        <f t="shared" si="16"/>
        <v>0.21360000000000001</v>
      </c>
      <c r="R14" s="185">
        <f t="shared" si="17"/>
        <v>194.39522400000004</v>
      </c>
      <c r="S14" s="187">
        <f t="shared" si="18"/>
        <v>809.25</v>
      </c>
      <c r="T14" s="185">
        <f t="shared" si="19"/>
        <v>1003.6452240000001</v>
      </c>
      <c r="U14" s="185">
        <f t="shared" si="20"/>
        <v>0</v>
      </c>
      <c r="V14" s="185">
        <f t="shared" si="21"/>
        <v>1003.65</v>
      </c>
      <c r="W14" s="184">
        <f t="shared" si="22"/>
        <v>0</v>
      </c>
      <c r="X14" s="184">
        <f t="shared" si="23"/>
        <v>1003.65</v>
      </c>
      <c r="Y14" s="188">
        <v>0</v>
      </c>
      <c r="Z14" s="184">
        <f t="shared" ref="Z14:Z31" si="28">SUM(X14:Y14)</f>
        <v>1003.65</v>
      </c>
      <c r="AA14" s="184">
        <f>L14+W14-Z14</f>
        <v>7548.35</v>
      </c>
      <c r="AB14" s="117"/>
      <c r="AH14" s="97"/>
    </row>
    <row r="15" spans="1:34" s="94" customFormat="1" ht="149.25" customHeight="1" x14ac:dyDescent="0.35">
      <c r="A15" s="116"/>
      <c r="B15" s="177" t="s">
        <v>232</v>
      </c>
      <c r="C15" s="177" t="s">
        <v>127</v>
      </c>
      <c r="D15" s="261" t="s">
        <v>233</v>
      </c>
      <c r="E15" s="190" t="s">
        <v>234</v>
      </c>
      <c r="F15" s="190" t="s">
        <v>378</v>
      </c>
      <c r="G15" s="179" t="s">
        <v>188</v>
      </c>
      <c r="H15" s="180">
        <v>15</v>
      </c>
      <c r="I15" s="181"/>
      <c r="J15" s="182">
        <v>6843</v>
      </c>
      <c r="K15" s="183">
        <v>456.2</v>
      </c>
      <c r="L15" s="184">
        <f>SUM(J15:K15)</f>
        <v>7299.2</v>
      </c>
      <c r="M15" s="185">
        <f t="shared" si="27"/>
        <v>228.1</v>
      </c>
      <c r="N15" s="185">
        <f t="shared" si="13"/>
        <v>7071.1</v>
      </c>
      <c r="O15" s="185">
        <f t="shared" si="14"/>
        <v>6382.81</v>
      </c>
      <c r="P15" s="185">
        <f t="shared" si="15"/>
        <v>688.29</v>
      </c>
      <c r="Q15" s="186">
        <f t="shared" si="16"/>
        <v>0.1792</v>
      </c>
      <c r="R15" s="185">
        <f t="shared" si="17"/>
        <v>123.341568</v>
      </c>
      <c r="S15" s="187">
        <f t="shared" si="18"/>
        <v>583.65</v>
      </c>
      <c r="T15" s="185">
        <f t="shared" si="19"/>
        <v>706.99156799999992</v>
      </c>
      <c r="U15" s="185">
        <f t="shared" si="20"/>
        <v>0</v>
      </c>
      <c r="V15" s="185">
        <f t="shared" si="21"/>
        <v>706.99</v>
      </c>
      <c r="W15" s="184">
        <f t="shared" si="22"/>
        <v>0</v>
      </c>
      <c r="X15" s="184">
        <f t="shared" si="23"/>
        <v>706.99</v>
      </c>
      <c r="Y15" s="188">
        <v>0</v>
      </c>
      <c r="Z15" s="184">
        <f t="shared" si="28"/>
        <v>706.99</v>
      </c>
      <c r="AA15" s="184">
        <f>L15+W15-Z15</f>
        <v>6592.21</v>
      </c>
      <c r="AB15" s="117"/>
      <c r="AH15" s="97"/>
    </row>
    <row r="16" spans="1:34" s="94" customFormat="1" ht="44.25" customHeight="1" x14ac:dyDescent="0.3">
      <c r="A16" s="214"/>
      <c r="B16" s="229"/>
      <c r="C16" s="229"/>
      <c r="D16" s="237"/>
      <c r="E16" s="238"/>
      <c r="F16" s="238"/>
      <c r="G16" s="239"/>
      <c r="H16" s="240"/>
      <c r="I16" s="241"/>
      <c r="J16" s="242"/>
      <c r="K16" s="243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118"/>
      <c r="AH16" s="97"/>
    </row>
    <row r="17" spans="1:34" s="94" customFormat="1" ht="39" customHeight="1" x14ac:dyDescent="0.3">
      <c r="A17" s="214"/>
      <c r="B17" s="229"/>
      <c r="C17" s="229"/>
      <c r="D17" s="237"/>
      <c r="E17" s="238"/>
      <c r="F17" s="238"/>
      <c r="G17" s="239"/>
      <c r="H17" s="240"/>
      <c r="I17" s="241"/>
      <c r="J17" s="242"/>
      <c r="K17" s="243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118"/>
      <c r="AH17" s="97"/>
    </row>
    <row r="18" spans="1:34" s="94" customFormat="1" ht="40.5" customHeight="1" x14ac:dyDescent="0.3">
      <c r="A18" s="214"/>
      <c r="B18" s="229"/>
      <c r="C18" s="229"/>
      <c r="D18" s="237"/>
      <c r="E18" s="238"/>
      <c r="F18" s="238"/>
      <c r="G18" s="239"/>
      <c r="H18" s="240"/>
      <c r="I18" s="241"/>
      <c r="J18" s="242"/>
      <c r="K18" s="243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118"/>
      <c r="AH18" s="97"/>
    </row>
    <row r="19" spans="1:34" s="94" customFormat="1" ht="32.25" customHeight="1" x14ac:dyDescent="0.3">
      <c r="A19" s="214"/>
      <c r="B19" s="229"/>
      <c r="C19" s="229"/>
      <c r="D19" s="237"/>
      <c r="E19" s="238"/>
      <c r="F19" s="238"/>
      <c r="G19" s="239"/>
      <c r="H19" s="240"/>
      <c r="I19" s="241"/>
      <c r="J19" s="242"/>
      <c r="K19" s="243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118"/>
      <c r="AH19" s="97"/>
    </row>
    <row r="20" spans="1:34" s="94" customFormat="1" ht="32.25" customHeight="1" x14ac:dyDescent="0.3">
      <c r="A20" s="214"/>
      <c r="B20" s="229"/>
      <c r="C20" s="229"/>
      <c r="D20" s="237"/>
      <c r="E20" s="238"/>
      <c r="F20" s="238"/>
      <c r="G20" s="239"/>
      <c r="H20" s="240"/>
      <c r="I20" s="241"/>
      <c r="J20" s="242"/>
      <c r="K20" s="243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118"/>
      <c r="AH20" s="97"/>
    </row>
    <row r="21" spans="1:34" s="94" customFormat="1" ht="32.25" customHeight="1" x14ac:dyDescent="0.3">
      <c r="A21" s="214"/>
      <c r="B21" s="229"/>
      <c r="C21" s="229"/>
      <c r="D21" s="237"/>
      <c r="E21" s="238"/>
      <c r="F21" s="238"/>
      <c r="G21" s="239"/>
      <c r="H21" s="240"/>
      <c r="I21" s="241"/>
      <c r="J21" s="242"/>
      <c r="K21" s="243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118"/>
      <c r="AH21" s="97"/>
    </row>
    <row r="22" spans="1:34" s="94" customFormat="1" ht="29.25" customHeight="1" x14ac:dyDescent="0.3">
      <c r="A22" s="214"/>
      <c r="B22" s="283" t="s">
        <v>79</v>
      </c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H22" s="97"/>
    </row>
    <row r="23" spans="1:34" s="94" customFormat="1" ht="28.5" customHeight="1" x14ac:dyDescent="0.3">
      <c r="A23" s="214"/>
      <c r="B23" s="283" t="s">
        <v>64</v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H23" s="97"/>
    </row>
    <row r="24" spans="1:34" s="94" customFormat="1" ht="28.5" customHeight="1" x14ac:dyDescent="0.3">
      <c r="A24" s="214"/>
      <c r="B24" s="284" t="s">
        <v>485</v>
      </c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H24" s="97"/>
    </row>
    <row r="25" spans="1:34" s="94" customFormat="1" ht="28.5" customHeight="1" x14ac:dyDescent="0.3">
      <c r="A25" s="214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H25" s="97"/>
    </row>
    <row r="26" spans="1:34" s="94" customFormat="1" ht="132" customHeight="1" x14ac:dyDescent="0.35">
      <c r="A26" s="214"/>
      <c r="B26" s="177" t="s">
        <v>206</v>
      </c>
      <c r="C26" s="177" t="s">
        <v>127</v>
      </c>
      <c r="D26" s="261" t="s">
        <v>193</v>
      </c>
      <c r="E26" s="189" t="s">
        <v>200</v>
      </c>
      <c r="F26" s="189" t="s">
        <v>369</v>
      </c>
      <c r="G26" s="179" t="s">
        <v>188</v>
      </c>
      <c r="H26" s="180">
        <v>15</v>
      </c>
      <c r="I26" s="181"/>
      <c r="J26" s="182">
        <v>8552</v>
      </c>
      <c r="K26" s="183">
        <v>570.13</v>
      </c>
      <c r="L26" s="184">
        <f t="shared" ref="L26" si="29">SUM(J26:K26)</f>
        <v>9122.1299999999992</v>
      </c>
      <c r="M26" s="185">
        <f t="shared" ref="M26" si="30">IF(J26/15&lt;=SMG,0,K26/2)</f>
        <v>285.065</v>
      </c>
      <c r="N26" s="185">
        <f t="shared" ref="N26" si="31">J26+M26</f>
        <v>8837.0650000000005</v>
      </c>
      <c r="O26" s="185">
        <f t="shared" ref="O26:O31" si="32">VLOOKUP(N26,Tarifa1,1)</f>
        <v>7641.91</v>
      </c>
      <c r="P26" s="185">
        <f t="shared" ref="P26" si="33">N26-O26</f>
        <v>1195.1550000000007</v>
      </c>
      <c r="Q26" s="186">
        <f t="shared" ref="Q26:Q31" si="34">VLOOKUP(N26,Tarifa1,3)</f>
        <v>0.21360000000000001</v>
      </c>
      <c r="R26" s="185">
        <f t="shared" ref="R26" si="35">P26*Q26</f>
        <v>255.28510800000015</v>
      </c>
      <c r="S26" s="187">
        <f t="shared" ref="S26:S31" si="36">VLOOKUP(N26,Tarifa1,2)</f>
        <v>809.25</v>
      </c>
      <c r="T26" s="185">
        <f t="shared" ref="T26" si="37">R26+S26</f>
        <v>1064.535108</v>
      </c>
      <c r="U26" s="185">
        <f t="shared" ref="U26:U31" si="38">VLOOKUP(N26,Credito1,2)</f>
        <v>0</v>
      </c>
      <c r="V26" s="185">
        <f t="shared" ref="V26" si="39">ROUND(T26-U26,2)</f>
        <v>1064.54</v>
      </c>
      <c r="W26" s="184">
        <f t="shared" ref="W26:W31" si="40">-IF(V26&gt;0,0,V26)</f>
        <v>0</v>
      </c>
      <c r="X26" s="184">
        <f t="shared" ref="X26:X31" si="41">IF(J26/15&lt;=SMG,0,IF(V26&lt;0,0,V26))</f>
        <v>1064.54</v>
      </c>
      <c r="Y26" s="188">
        <v>0</v>
      </c>
      <c r="Z26" s="184">
        <f t="shared" ref="Z26" si="42">SUM(X26:Y26)</f>
        <v>1064.54</v>
      </c>
      <c r="AA26" s="184">
        <f t="shared" ref="AA26" si="43">L26+W26-Z26</f>
        <v>8057.5899999999992</v>
      </c>
      <c r="AB26" s="117"/>
      <c r="AC26" s="236"/>
      <c r="AH26" s="97"/>
    </row>
    <row r="27" spans="1:34" s="94" customFormat="1" ht="132" customHeight="1" x14ac:dyDescent="0.35">
      <c r="A27" s="116"/>
      <c r="B27" s="177" t="s">
        <v>213</v>
      </c>
      <c r="C27" s="177" t="s">
        <v>127</v>
      </c>
      <c r="D27" s="261" t="s">
        <v>214</v>
      </c>
      <c r="E27" s="189" t="s">
        <v>215</v>
      </c>
      <c r="F27" s="189" t="s">
        <v>374</v>
      </c>
      <c r="G27" s="179" t="s">
        <v>188</v>
      </c>
      <c r="H27" s="180">
        <v>15</v>
      </c>
      <c r="I27" s="181"/>
      <c r="J27" s="182">
        <v>8552</v>
      </c>
      <c r="K27" s="183">
        <v>0</v>
      </c>
      <c r="L27" s="184">
        <f t="shared" ref="L27" si="44">SUM(J27:K27)</f>
        <v>8552</v>
      </c>
      <c r="M27" s="185">
        <f t="shared" ref="M27:M30" si="45">IF(J27/15&lt;=SMG,0,K27/2)</f>
        <v>0</v>
      </c>
      <c r="N27" s="185">
        <f t="shared" ref="N27:N31" si="46">J27+M27</f>
        <v>8552</v>
      </c>
      <c r="O27" s="185">
        <f t="shared" si="32"/>
        <v>7641.91</v>
      </c>
      <c r="P27" s="185">
        <f t="shared" ref="P27:P31" si="47">N27-O27</f>
        <v>910.09000000000015</v>
      </c>
      <c r="Q27" s="186">
        <f t="shared" si="34"/>
        <v>0.21360000000000001</v>
      </c>
      <c r="R27" s="185">
        <f t="shared" ref="R27:R31" si="48">P27*Q27</f>
        <v>194.39522400000004</v>
      </c>
      <c r="S27" s="187">
        <f t="shared" si="36"/>
        <v>809.25</v>
      </c>
      <c r="T27" s="185">
        <f t="shared" ref="T27:T31" si="49">R27+S27</f>
        <v>1003.6452240000001</v>
      </c>
      <c r="U27" s="185">
        <f t="shared" si="38"/>
        <v>0</v>
      </c>
      <c r="V27" s="185">
        <f t="shared" ref="V27:V31" si="50">ROUND(T27-U27,2)</f>
        <v>1003.65</v>
      </c>
      <c r="W27" s="184">
        <f t="shared" si="40"/>
        <v>0</v>
      </c>
      <c r="X27" s="184">
        <f t="shared" si="41"/>
        <v>1003.65</v>
      </c>
      <c r="Y27" s="188">
        <v>0</v>
      </c>
      <c r="Z27" s="184">
        <f t="shared" si="28"/>
        <v>1003.65</v>
      </c>
      <c r="AA27" s="184">
        <f t="shared" ref="AA27" si="51">L27+W27-Z27</f>
        <v>7548.35</v>
      </c>
      <c r="AB27" s="117"/>
      <c r="AH27" s="97"/>
    </row>
    <row r="28" spans="1:34" s="94" customFormat="1" ht="132" customHeight="1" x14ac:dyDescent="0.35">
      <c r="A28" s="116"/>
      <c r="B28" s="177" t="s">
        <v>407</v>
      </c>
      <c r="C28" s="177" t="s">
        <v>127</v>
      </c>
      <c r="D28" s="261" t="s">
        <v>408</v>
      </c>
      <c r="E28" s="189" t="s">
        <v>409</v>
      </c>
      <c r="F28" s="189" t="s">
        <v>410</v>
      </c>
      <c r="G28" s="179" t="s">
        <v>188</v>
      </c>
      <c r="H28" s="180"/>
      <c r="I28" s="181"/>
      <c r="J28" s="182">
        <v>8552</v>
      </c>
      <c r="K28" s="183">
        <v>0</v>
      </c>
      <c r="L28" s="184">
        <f>SUM(J28:K28)</f>
        <v>8552</v>
      </c>
      <c r="M28" s="185">
        <f t="shared" si="45"/>
        <v>0</v>
      </c>
      <c r="N28" s="185">
        <f t="shared" si="46"/>
        <v>8552</v>
      </c>
      <c r="O28" s="185">
        <f t="shared" si="32"/>
        <v>7641.91</v>
      </c>
      <c r="P28" s="185">
        <f t="shared" si="47"/>
        <v>910.09000000000015</v>
      </c>
      <c r="Q28" s="186">
        <f t="shared" si="34"/>
        <v>0.21360000000000001</v>
      </c>
      <c r="R28" s="185">
        <f t="shared" si="48"/>
        <v>194.39522400000004</v>
      </c>
      <c r="S28" s="187">
        <f t="shared" si="36"/>
        <v>809.25</v>
      </c>
      <c r="T28" s="185">
        <f t="shared" si="49"/>
        <v>1003.6452240000001</v>
      </c>
      <c r="U28" s="185">
        <f t="shared" si="38"/>
        <v>0</v>
      </c>
      <c r="V28" s="185">
        <f t="shared" si="50"/>
        <v>1003.65</v>
      </c>
      <c r="W28" s="184">
        <f t="shared" si="40"/>
        <v>0</v>
      </c>
      <c r="X28" s="184">
        <f t="shared" si="41"/>
        <v>1003.65</v>
      </c>
      <c r="Y28" s="188">
        <v>0</v>
      </c>
      <c r="Z28" s="184">
        <f t="shared" ref="Z28:Z29" si="52">SUM(X28:Y28)</f>
        <v>1003.65</v>
      </c>
      <c r="AA28" s="184">
        <f>L28+W28-Z28</f>
        <v>7548.35</v>
      </c>
      <c r="AB28" s="117"/>
      <c r="AH28" s="97"/>
    </row>
    <row r="29" spans="1:34" s="94" customFormat="1" ht="132" customHeight="1" x14ac:dyDescent="0.35">
      <c r="A29" s="116"/>
      <c r="B29" s="177" t="s">
        <v>237</v>
      </c>
      <c r="C29" s="177" t="s">
        <v>127</v>
      </c>
      <c r="D29" s="264" t="s">
        <v>238</v>
      </c>
      <c r="E29" s="178" t="s">
        <v>239</v>
      </c>
      <c r="F29" s="178" t="s">
        <v>379</v>
      </c>
      <c r="G29" s="179" t="s">
        <v>188</v>
      </c>
      <c r="H29" s="180"/>
      <c r="I29" s="181"/>
      <c r="J29" s="182">
        <v>6843</v>
      </c>
      <c r="K29" s="183">
        <v>456.2</v>
      </c>
      <c r="L29" s="184">
        <f>SUM(J29:K29)</f>
        <v>7299.2</v>
      </c>
      <c r="M29" s="185">
        <f t="shared" si="45"/>
        <v>228.1</v>
      </c>
      <c r="N29" s="185">
        <f t="shared" si="46"/>
        <v>7071.1</v>
      </c>
      <c r="O29" s="185">
        <f t="shared" si="32"/>
        <v>6382.81</v>
      </c>
      <c r="P29" s="185">
        <f t="shared" si="47"/>
        <v>688.29</v>
      </c>
      <c r="Q29" s="186">
        <f t="shared" si="34"/>
        <v>0.1792</v>
      </c>
      <c r="R29" s="185">
        <f t="shared" si="48"/>
        <v>123.341568</v>
      </c>
      <c r="S29" s="187">
        <f t="shared" si="36"/>
        <v>583.65</v>
      </c>
      <c r="T29" s="185">
        <f t="shared" si="49"/>
        <v>706.99156799999992</v>
      </c>
      <c r="U29" s="185">
        <f t="shared" si="38"/>
        <v>0</v>
      </c>
      <c r="V29" s="185">
        <f t="shared" si="50"/>
        <v>706.99</v>
      </c>
      <c r="W29" s="184">
        <f t="shared" si="40"/>
        <v>0</v>
      </c>
      <c r="X29" s="184">
        <f t="shared" si="41"/>
        <v>706.99</v>
      </c>
      <c r="Y29" s="188">
        <v>0</v>
      </c>
      <c r="Z29" s="184">
        <f t="shared" si="52"/>
        <v>706.99</v>
      </c>
      <c r="AA29" s="184">
        <f>L29+W29-Z29</f>
        <v>6592.21</v>
      </c>
      <c r="AB29" s="117"/>
      <c r="AH29" s="97"/>
    </row>
    <row r="30" spans="1:34" s="94" customFormat="1" ht="132" customHeight="1" x14ac:dyDescent="0.35">
      <c r="A30" s="116"/>
      <c r="B30" s="177" t="s">
        <v>415</v>
      </c>
      <c r="C30" s="177" t="s">
        <v>127</v>
      </c>
      <c r="D30" s="261" t="s">
        <v>413</v>
      </c>
      <c r="E30" s="189" t="s">
        <v>411</v>
      </c>
      <c r="F30" s="189" t="s">
        <v>412</v>
      </c>
      <c r="G30" s="179" t="s">
        <v>414</v>
      </c>
      <c r="H30" s="180"/>
      <c r="I30" s="181"/>
      <c r="J30" s="182">
        <v>6253</v>
      </c>
      <c r="K30" s="183">
        <v>416.87</v>
      </c>
      <c r="L30" s="182">
        <f>J30</f>
        <v>6253</v>
      </c>
      <c r="M30" s="185">
        <f t="shared" si="45"/>
        <v>208.435</v>
      </c>
      <c r="N30" s="185">
        <f t="shared" si="46"/>
        <v>6461.4350000000004</v>
      </c>
      <c r="O30" s="185">
        <f t="shared" si="32"/>
        <v>6382.81</v>
      </c>
      <c r="P30" s="185">
        <f t="shared" si="47"/>
        <v>78.625</v>
      </c>
      <c r="Q30" s="186">
        <f t="shared" si="34"/>
        <v>0.1792</v>
      </c>
      <c r="R30" s="185">
        <f t="shared" si="48"/>
        <v>14.089599999999999</v>
      </c>
      <c r="S30" s="187">
        <f t="shared" si="36"/>
        <v>583.65</v>
      </c>
      <c r="T30" s="185">
        <f t="shared" si="49"/>
        <v>597.7396</v>
      </c>
      <c r="U30" s="185">
        <f t="shared" si="38"/>
        <v>0</v>
      </c>
      <c r="V30" s="185">
        <f t="shared" si="50"/>
        <v>597.74</v>
      </c>
      <c r="W30" s="184">
        <f t="shared" si="40"/>
        <v>0</v>
      </c>
      <c r="X30" s="184">
        <f t="shared" si="41"/>
        <v>597.74</v>
      </c>
      <c r="Y30" s="188">
        <v>0</v>
      </c>
      <c r="Z30" s="184">
        <f>SUM(X30:Y30)</f>
        <v>597.74</v>
      </c>
      <c r="AA30" s="184">
        <f>L30+W30-Z30+K30</f>
        <v>6072.13</v>
      </c>
      <c r="AB30" s="117"/>
      <c r="AH30" s="97"/>
    </row>
    <row r="31" spans="1:34" s="94" customFormat="1" ht="132" customHeight="1" x14ac:dyDescent="0.35">
      <c r="A31" s="116"/>
      <c r="B31" s="177" t="s">
        <v>208</v>
      </c>
      <c r="C31" s="177" t="s">
        <v>127</v>
      </c>
      <c r="D31" s="261" t="s">
        <v>190</v>
      </c>
      <c r="E31" s="189" t="s">
        <v>201</v>
      </c>
      <c r="F31" s="189" t="s">
        <v>370</v>
      </c>
      <c r="G31" s="179" t="s">
        <v>404</v>
      </c>
      <c r="H31" s="180">
        <v>15</v>
      </c>
      <c r="I31" s="181">
        <f t="shared" ref="I31" si="53">J31/H31</f>
        <v>310.2</v>
      </c>
      <c r="J31" s="182">
        <v>4653</v>
      </c>
      <c r="K31" s="183">
        <v>0</v>
      </c>
      <c r="L31" s="184">
        <f t="shared" ref="L31" si="54">SUM(J31:K31)</f>
        <v>4653</v>
      </c>
      <c r="M31" s="185">
        <f t="shared" ref="M31" si="55">IF(J31/15&lt;=SMG,0,K31/2)</f>
        <v>0</v>
      </c>
      <c r="N31" s="185">
        <f t="shared" si="46"/>
        <v>4653</v>
      </c>
      <c r="O31" s="185">
        <f t="shared" si="32"/>
        <v>3124.36</v>
      </c>
      <c r="P31" s="185">
        <f t="shared" si="47"/>
        <v>1528.6399999999999</v>
      </c>
      <c r="Q31" s="186">
        <f t="shared" si="34"/>
        <v>0.10879999999999999</v>
      </c>
      <c r="R31" s="185">
        <f t="shared" si="48"/>
        <v>166.31603199999998</v>
      </c>
      <c r="S31" s="187">
        <f t="shared" si="36"/>
        <v>183.45</v>
      </c>
      <c r="T31" s="185">
        <f t="shared" si="49"/>
        <v>349.766032</v>
      </c>
      <c r="U31" s="185">
        <f t="shared" si="38"/>
        <v>0</v>
      </c>
      <c r="V31" s="185">
        <f t="shared" si="50"/>
        <v>349.77</v>
      </c>
      <c r="W31" s="184">
        <f t="shared" si="40"/>
        <v>0</v>
      </c>
      <c r="X31" s="184">
        <f t="shared" si="41"/>
        <v>349.77</v>
      </c>
      <c r="Y31" s="188">
        <v>0</v>
      </c>
      <c r="Z31" s="184">
        <f t="shared" si="28"/>
        <v>349.77</v>
      </c>
      <c r="AA31" s="184">
        <f>L31+W31-Z31</f>
        <v>4303.2299999999996</v>
      </c>
      <c r="AB31" s="117"/>
      <c r="AH31" s="97"/>
    </row>
    <row r="32" spans="1:34" s="51" customFormat="1" ht="39" customHeight="1" thickBot="1" x14ac:dyDescent="0.35">
      <c r="A32" s="280" t="s">
        <v>44</v>
      </c>
      <c r="B32" s="281"/>
      <c r="C32" s="281"/>
      <c r="D32" s="281"/>
      <c r="E32" s="281"/>
      <c r="F32" s="281"/>
      <c r="G32" s="281"/>
      <c r="H32" s="281"/>
      <c r="I32" s="282"/>
      <c r="J32" s="191">
        <f t="shared" ref="J32:AA32" si="56">SUM(J9:J31)</f>
        <v>98491</v>
      </c>
      <c r="K32" s="191">
        <f t="shared" si="56"/>
        <v>1899.4</v>
      </c>
      <c r="L32" s="191">
        <f t="shared" si="56"/>
        <v>99973.529999999984</v>
      </c>
      <c r="M32" s="192">
        <f t="shared" si="56"/>
        <v>949.7</v>
      </c>
      <c r="N32" s="192">
        <f t="shared" si="56"/>
        <v>99440.700000000012</v>
      </c>
      <c r="O32" s="192">
        <f t="shared" si="56"/>
        <v>82230.13</v>
      </c>
      <c r="P32" s="192">
        <f t="shared" si="56"/>
        <v>17210.57</v>
      </c>
      <c r="Q32" s="192">
        <f t="shared" si="56"/>
        <v>2.3567999999999998</v>
      </c>
      <c r="R32" s="192">
        <f t="shared" si="56"/>
        <v>3243.4964279999995</v>
      </c>
      <c r="S32" s="192">
        <f t="shared" si="56"/>
        <v>7855.3499999999995</v>
      </c>
      <c r="T32" s="192">
        <f t="shared" si="56"/>
        <v>11098.846427999999</v>
      </c>
      <c r="U32" s="192">
        <f t="shared" si="56"/>
        <v>0</v>
      </c>
      <c r="V32" s="192">
        <f t="shared" si="56"/>
        <v>11098.869999999999</v>
      </c>
      <c r="W32" s="191">
        <f t="shared" si="56"/>
        <v>0</v>
      </c>
      <c r="X32" s="191">
        <f t="shared" si="56"/>
        <v>11098.869999999999</v>
      </c>
      <c r="Y32" s="191">
        <f t="shared" si="56"/>
        <v>758.68</v>
      </c>
      <c r="Z32" s="191">
        <f t="shared" si="56"/>
        <v>11857.55</v>
      </c>
      <c r="AA32" s="191">
        <f t="shared" si="56"/>
        <v>88532.85</v>
      </c>
      <c r="AB32" s="118"/>
    </row>
    <row r="33" spans="1:27" s="51" customFormat="1" ht="39" customHeight="1" thickTop="1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2"/>
      <c r="K33" s="112"/>
      <c r="L33" s="112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2"/>
      <c r="X33" s="112"/>
      <c r="Y33" s="112"/>
      <c r="Z33" s="112"/>
      <c r="AA33" s="112"/>
    </row>
    <row r="34" spans="1:27" s="51" customFormat="1" ht="39" customHeight="1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2"/>
      <c r="K34" s="112"/>
      <c r="L34" s="112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2"/>
      <c r="X34" s="112"/>
      <c r="Y34" s="112"/>
      <c r="Z34" s="112"/>
      <c r="AA34" s="112"/>
    </row>
    <row r="35" spans="1:27" s="51" customFormat="1" ht="39" customHeight="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2"/>
      <c r="K35" s="112"/>
      <c r="L35" s="112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2"/>
      <c r="X35" s="112"/>
      <c r="Y35" s="112"/>
      <c r="Z35" s="112"/>
      <c r="AA35" s="112"/>
    </row>
    <row r="36" spans="1:27" s="51" customFormat="1" ht="39" customHeight="1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2"/>
      <c r="K36" s="112"/>
      <c r="L36" s="112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2"/>
      <c r="X36" s="112"/>
      <c r="Y36" s="112"/>
      <c r="Z36" s="112"/>
      <c r="AA36" s="112"/>
    </row>
    <row r="37" spans="1:27" s="51" customFormat="1" ht="39" customHeight="1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2"/>
      <c r="K37" s="112"/>
      <c r="L37" s="112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2"/>
      <c r="X37" s="112"/>
      <c r="Y37" s="112"/>
      <c r="Z37" s="112"/>
      <c r="AA37" s="112"/>
    </row>
  </sheetData>
  <mergeCells count="11">
    <mergeCell ref="A32:I32"/>
    <mergeCell ref="C5:C7"/>
    <mergeCell ref="A1:AB1"/>
    <mergeCell ref="A2:AB2"/>
    <mergeCell ref="A3:AB3"/>
    <mergeCell ref="J5:L5"/>
    <mergeCell ref="O5:T5"/>
    <mergeCell ref="X5:Z5"/>
    <mergeCell ref="B22:AC22"/>
    <mergeCell ref="B23:AC23"/>
    <mergeCell ref="B24:AC2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26:F31 D15:F21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B31" zoomScale="69" zoomScaleNormal="69" workbookViewId="0">
      <selection activeCell="B36" sqref="A36:XFD43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7.109375" customWidth="1"/>
    <col min="5" max="5" width="24.5546875" customWidth="1"/>
    <col min="6" max="6" width="31" customWidth="1"/>
    <col min="7" max="7" width="31.5546875" customWidth="1"/>
    <col min="8" max="8" width="7.88671875" hidden="1" customWidth="1"/>
    <col min="9" max="9" width="2.5546875" hidden="1" customWidth="1"/>
    <col min="10" max="10" width="14" customWidth="1"/>
    <col min="11" max="11" width="13.33203125" customWidth="1"/>
    <col min="12" max="12" width="13.6640625" customWidth="1"/>
    <col min="13" max="13" width="13.109375" hidden="1" customWidth="1"/>
    <col min="14" max="15" width="13" hidden="1" customWidth="1"/>
    <col min="16" max="16" width="14.5546875" hidden="1" customWidth="1"/>
    <col min="17" max="18" width="13.109375" hidden="1" customWidth="1"/>
    <col min="19" max="19" width="10.5546875" hidden="1" customWidth="1"/>
    <col min="20" max="20" width="10.44140625" hidden="1" customWidth="1"/>
    <col min="21" max="21" width="13.109375" hidden="1" customWidth="1"/>
    <col min="22" max="22" width="11.5546875" hidden="1" customWidth="1"/>
    <col min="23" max="23" width="9.6640625" customWidth="1"/>
    <col min="24" max="24" width="13.44140625" customWidth="1"/>
    <col min="25" max="25" width="13.109375" customWidth="1"/>
    <col min="26" max="26" width="13" customWidth="1"/>
    <col min="27" max="27" width="13.5546875" customWidth="1"/>
    <col min="28" max="28" width="47.3320312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s="51" customFormat="1" ht="12" x14ac:dyDescent="0.25">
      <c r="A5" s="47"/>
      <c r="B5" s="47"/>
      <c r="C5" s="47"/>
      <c r="D5" s="47"/>
      <c r="E5" s="47"/>
      <c r="F5" s="47"/>
      <c r="G5" s="47"/>
      <c r="H5" s="48" t="s">
        <v>22</v>
      </c>
      <c r="I5" s="48" t="s">
        <v>5</v>
      </c>
      <c r="J5" s="307" t="s">
        <v>1</v>
      </c>
      <c r="K5" s="308"/>
      <c r="L5" s="309"/>
      <c r="M5" s="49" t="s">
        <v>25</v>
      </c>
      <c r="N5" s="50"/>
      <c r="O5" s="310" t="s">
        <v>8</v>
      </c>
      <c r="P5" s="311"/>
      <c r="Q5" s="311"/>
      <c r="R5" s="311"/>
      <c r="S5" s="311"/>
      <c r="T5" s="312"/>
      <c r="U5" s="49" t="s">
        <v>29</v>
      </c>
      <c r="V5" s="49" t="s">
        <v>9</v>
      </c>
      <c r="W5" s="48" t="s">
        <v>52</v>
      </c>
      <c r="X5" s="313" t="s">
        <v>2</v>
      </c>
      <c r="Y5" s="314"/>
      <c r="Z5" s="315"/>
      <c r="AA5" s="48" t="s">
        <v>0</v>
      </c>
      <c r="AB5" s="47"/>
    </row>
    <row r="6" spans="1:28" s="51" customFormat="1" ht="24" x14ac:dyDescent="0.25">
      <c r="A6" s="52" t="s">
        <v>109</v>
      </c>
      <c r="B6" s="46" t="s">
        <v>102</v>
      </c>
      <c r="C6" s="46" t="s">
        <v>136</v>
      </c>
      <c r="D6" s="52" t="s">
        <v>21</v>
      </c>
      <c r="E6" s="52"/>
      <c r="F6" s="52"/>
      <c r="G6" s="52"/>
      <c r="H6" s="53" t="s">
        <v>23</v>
      </c>
      <c r="I6" s="52" t="s">
        <v>24</v>
      </c>
      <c r="J6" s="48" t="s">
        <v>5</v>
      </c>
      <c r="K6" s="48" t="s">
        <v>58</v>
      </c>
      <c r="L6" s="48" t="s">
        <v>27</v>
      </c>
      <c r="M6" s="54" t="s">
        <v>26</v>
      </c>
      <c r="N6" s="50" t="s">
        <v>31</v>
      </c>
      <c r="O6" s="50" t="s">
        <v>11</v>
      </c>
      <c r="P6" s="50" t="s">
        <v>33</v>
      </c>
      <c r="Q6" s="50" t="s">
        <v>35</v>
      </c>
      <c r="R6" s="50" t="s">
        <v>36</v>
      </c>
      <c r="S6" s="86" t="s">
        <v>13</v>
      </c>
      <c r="T6" s="50" t="s">
        <v>9</v>
      </c>
      <c r="U6" s="54" t="s">
        <v>39</v>
      </c>
      <c r="V6" s="54" t="s">
        <v>40</v>
      </c>
      <c r="W6" s="52" t="s">
        <v>30</v>
      </c>
      <c r="X6" s="48" t="s">
        <v>451</v>
      </c>
      <c r="Y6" s="48" t="s">
        <v>56</v>
      </c>
      <c r="Z6" s="48" t="s">
        <v>6</v>
      </c>
      <c r="AA6" s="52" t="s">
        <v>3</v>
      </c>
      <c r="AB6" s="52" t="s">
        <v>57</v>
      </c>
    </row>
    <row r="7" spans="1:28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/>
      <c r="J7" s="52" t="s">
        <v>46</v>
      </c>
      <c r="K7" s="52" t="s">
        <v>59</v>
      </c>
      <c r="L7" s="52" t="s">
        <v>28</v>
      </c>
      <c r="M7" s="54" t="s">
        <v>42</v>
      </c>
      <c r="N7" s="49" t="s">
        <v>32</v>
      </c>
      <c r="O7" s="49" t="s">
        <v>12</v>
      </c>
      <c r="P7" s="49" t="s">
        <v>34</v>
      </c>
      <c r="Q7" s="49" t="s">
        <v>34</v>
      </c>
      <c r="R7" s="49" t="s">
        <v>37</v>
      </c>
      <c r="S7" s="87" t="s">
        <v>14</v>
      </c>
      <c r="T7" s="49" t="s">
        <v>38</v>
      </c>
      <c r="U7" s="54" t="s">
        <v>18</v>
      </c>
      <c r="V7" s="55" t="s">
        <v>137</v>
      </c>
      <c r="W7" s="52" t="s">
        <v>51</v>
      </c>
      <c r="X7" s="52"/>
      <c r="Y7" s="52"/>
      <c r="Z7" s="52" t="s">
        <v>43</v>
      </c>
      <c r="AA7" s="52" t="s">
        <v>4</v>
      </c>
      <c r="AB7" s="56"/>
    </row>
    <row r="8" spans="1:28" s="4" customFormat="1" ht="39.75" customHeight="1" x14ac:dyDescent="0.3">
      <c r="A8" s="98"/>
      <c r="B8" s="124"/>
      <c r="C8" s="124"/>
      <c r="D8" s="124" t="s">
        <v>70</v>
      </c>
      <c r="E8" s="124" t="s">
        <v>103</v>
      </c>
      <c r="F8" s="124" t="s">
        <v>340</v>
      </c>
      <c r="G8" s="124" t="s">
        <v>61</v>
      </c>
      <c r="H8" s="124"/>
      <c r="I8" s="124"/>
      <c r="J8" s="125">
        <f>SUM(J9:J20)</f>
        <v>46735</v>
      </c>
      <c r="K8" s="125">
        <f>SUM(K9:K20)</f>
        <v>2189.62</v>
      </c>
      <c r="L8" s="125">
        <f>SUM(L9:L20)</f>
        <v>48924.62</v>
      </c>
      <c r="M8" s="124"/>
      <c r="N8" s="124"/>
      <c r="O8" s="124"/>
      <c r="P8" s="124"/>
      <c r="Q8" s="124"/>
      <c r="R8" s="124"/>
      <c r="S8" s="126"/>
      <c r="T8" s="124"/>
      <c r="U8" s="124"/>
      <c r="V8" s="124"/>
      <c r="W8" s="125">
        <f>SUM(W9:W20)</f>
        <v>49.98</v>
      </c>
      <c r="X8" s="125">
        <f>SUM(X9:X20)</f>
        <v>2779.51</v>
      </c>
      <c r="Y8" s="125">
        <f>SUM(Y9:Y20)</f>
        <v>500</v>
      </c>
      <c r="Z8" s="125">
        <f>SUM(Z9:Z20)</f>
        <v>3279.51</v>
      </c>
      <c r="AA8" s="125">
        <f>SUM(AA9:AA20)</f>
        <v>45695.089999999989</v>
      </c>
      <c r="AB8" s="99"/>
    </row>
    <row r="9" spans="1:28" s="4" customFormat="1" ht="77.25" customHeight="1" x14ac:dyDescent="0.35">
      <c r="A9" s="43"/>
      <c r="B9" s="177" t="s">
        <v>209</v>
      </c>
      <c r="C9" s="177" t="s">
        <v>127</v>
      </c>
      <c r="D9" s="264" t="s">
        <v>198</v>
      </c>
      <c r="E9" s="178" t="s">
        <v>204</v>
      </c>
      <c r="F9" s="178" t="s">
        <v>372</v>
      </c>
      <c r="G9" s="179" t="s">
        <v>197</v>
      </c>
      <c r="H9" s="180">
        <v>15</v>
      </c>
      <c r="I9" s="181">
        <f>J9/H9</f>
        <v>265.66666666666669</v>
      </c>
      <c r="J9" s="182">
        <v>3985</v>
      </c>
      <c r="K9" s="183">
        <v>0</v>
      </c>
      <c r="L9" s="184">
        <f t="shared" ref="L9" si="0">SUM(J9:K9)</f>
        <v>3985</v>
      </c>
      <c r="M9" s="185">
        <f t="shared" ref="M9:M13" si="1">IF(J9/15&lt;=SMG,0,K9/2)</f>
        <v>0</v>
      </c>
      <c r="N9" s="185">
        <f>J9+M9</f>
        <v>3985</v>
      </c>
      <c r="O9" s="185">
        <f t="shared" ref="O9:O20" si="2">VLOOKUP(N9,Tarifa1,1)</f>
        <v>3124.36</v>
      </c>
      <c r="P9" s="185">
        <f>N9-O9</f>
        <v>860.63999999999987</v>
      </c>
      <c r="Q9" s="186">
        <f t="shared" ref="Q9:Q20" si="3">VLOOKUP(N9,Tarifa1,3)</f>
        <v>0.10879999999999999</v>
      </c>
      <c r="R9" s="185">
        <f>P9*Q9</f>
        <v>93.637631999999982</v>
      </c>
      <c r="S9" s="187">
        <f t="shared" ref="S9:S20" si="4">VLOOKUP(N9,Tarifa1,2)</f>
        <v>183.45</v>
      </c>
      <c r="T9" s="185">
        <f>R9+S9</f>
        <v>277.08763199999999</v>
      </c>
      <c r="U9" s="185">
        <f t="shared" ref="U9:U20" si="5">VLOOKUP(N9,Credito1,2)</f>
        <v>0</v>
      </c>
      <c r="V9" s="185">
        <f>ROUND(T9-U9,2)</f>
        <v>277.08999999999997</v>
      </c>
      <c r="W9" s="184">
        <f>-IF(V9&gt;0,0,V9)</f>
        <v>0</v>
      </c>
      <c r="X9" s="184">
        <f t="shared" ref="X9:X20" si="6">IF(J9/15&lt;=SMG,0,IF(V9&lt;0,0,V9))</f>
        <v>277.08999999999997</v>
      </c>
      <c r="Y9" s="188">
        <v>0</v>
      </c>
      <c r="Z9" s="184">
        <f t="shared" ref="Z9" si="7">SUM(X9:Y9)</f>
        <v>277.08999999999997</v>
      </c>
      <c r="AA9" s="184">
        <f t="shared" ref="AA9" si="8">L9+W9-Z9</f>
        <v>3707.91</v>
      </c>
      <c r="AB9" s="90"/>
    </row>
    <row r="10" spans="1:28" s="4" customFormat="1" ht="77.25" customHeight="1" x14ac:dyDescent="0.35">
      <c r="A10" s="43"/>
      <c r="B10" s="177" t="s">
        <v>105</v>
      </c>
      <c r="C10" s="177" t="s">
        <v>127</v>
      </c>
      <c r="D10" s="263" t="s">
        <v>71</v>
      </c>
      <c r="E10" s="178" t="s">
        <v>107</v>
      </c>
      <c r="F10" s="178" t="s">
        <v>347</v>
      </c>
      <c r="G10" s="178" t="s">
        <v>72</v>
      </c>
      <c r="H10" s="180">
        <v>15</v>
      </c>
      <c r="I10" s="181">
        <f>J10/H10</f>
        <v>265.66666666666669</v>
      </c>
      <c r="J10" s="182">
        <v>3985</v>
      </c>
      <c r="K10" s="183">
        <v>797.01</v>
      </c>
      <c r="L10" s="184">
        <f t="shared" ref="L10" si="9">SUM(J10:K10)</f>
        <v>4782.01</v>
      </c>
      <c r="M10" s="185">
        <f t="shared" si="1"/>
        <v>398.505</v>
      </c>
      <c r="N10" s="185">
        <f t="shared" ref="N10:N20" si="10">J10+M10</f>
        <v>4383.5050000000001</v>
      </c>
      <c r="O10" s="185">
        <f t="shared" si="2"/>
        <v>3124.36</v>
      </c>
      <c r="P10" s="185">
        <f t="shared" ref="P10:P20" si="11">N10-O10</f>
        <v>1259.145</v>
      </c>
      <c r="Q10" s="186">
        <f t="shared" si="3"/>
        <v>0.10879999999999999</v>
      </c>
      <c r="R10" s="185">
        <f t="shared" ref="R10:R20" si="12">P10*Q10</f>
        <v>136.99497599999998</v>
      </c>
      <c r="S10" s="187">
        <f t="shared" si="4"/>
        <v>183.45</v>
      </c>
      <c r="T10" s="185">
        <f t="shared" ref="T10:T20" si="13">R10+S10</f>
        <v>320.444976</v>
      </c>
      <c r="U10" s="185">
        <f t="shared" si="5"/>
        <v>0</v>
      </c>
      <c r="V10" s="185">
        <f t="shared" ref="V10:V20" si="14">ROUND(T10-U10,2)</f>
        <v>320.44</v>
      </c>
      <c r="W10" s="184">
        <f t="shared" ref="W10:W20" si="15">-IF(V10&gt;0,0,V10)</f>
        <v>0</v>
      </c>
      <c r="X10" s="184">
        <f t="shared" si="6"/>
        <v>320.44</v>
      </c>
      <c r="Y10" s="188">
        <v>500</v>
      </c>
      <c r="Z10" s="184">
        <f t="shared" ref="Z10:Z11" si="16">SUM(X10:Y10)</f>
        <v>820.44</v>
      </c>
      <c r="AA10" s="184">
        <f t="shared" ref="AA10:AA11" si="17">L10+W10-Z10</f>
        <v>3961.57</v>
      </c>
      <c r="AB10" s="90"/>
    </row>
    <row r="11" spans="1:28" s="4" customFormat="1" ht="77.25" customHeight="1" x14ac:dyDescent="0.35">
      <c r="A11" s="43"/>
      <c r="B11" s="177" t="s">
        <v>418</v>
      </c>
      <c r="C11" s="177" t="s">
        <v>127</v>
      </c>
      <c r="D11" s="263" t="s">
        <v>424</v>
      </c>
      <c r="E11" s="117" t="s">
        <v>426</v>
      </c>
      <c r="F11" s="117" t="s">
        <v>427</v>
      </c>
      <c r="G11" s="179" t="s">
        <v>197</v>
      </c>
      <c r="H11" s="180">
        <v>15</v>
      </c>
      <c r="I11" s="181"/>
      <c r="J11" s="182">
        <v>3985</v>
      </c>
      <c r="K11" s="183">
        <v>797.01</v>
      </c>
      <c r="L11" s="184">
        <f t="shared" ref="L11" si="18">SUM(J11:K11)</f>
        <v>4782.01</v>
      </c>
      <c r="M11" s="185">
        <f t="shared" si="1"/>
        <v>398.505</v>
      </c>
      <c r="N11" s="185">
        <f t="shared" si="10"/>
        <v>4383.5050000000001</v>
      </c>
      <c r="O11" s="185">
        <f t="shared" si="2"/>
        <v>3124.36</v>
      </c>
      <c r="P11" s="185">
        <f t="shared" si="11"/>
        <v>1259.145</v>
      </c>
      <c r="Q11" s="186">
        <f t="shared" si="3"/>
        <v>0.10879999999999999</v>
      </c>
      <c r="R11" s="185">
        <f t="shared" si="12"/>
        <v>136.99497599999998</v>
      </c>
      <c r="S11" s="187">
        <f t="shared" si="4"/>
        <v>183.45</v>
      </c>
      <c r="T11" s="185">
        <f t="shared" si="13"/>
        <v>320.444976</v>
      </c>
      <c r="U11" s="185">
        <f t="shared" si="5"/>
        <v>0</v>
      </c>
      <c r="V11" s="185">
        <f t="shared" si="14"/>
        <v>320.44</v>
      </c>
      <c r="W11" s="184">
        <f t="shared" si="15"/>
        <v>0</v>
      </c>
      <c r="X11" s="184">
        <f t="shared" si="6"/>
        <v>320.44</v>
      </c>
      <c r="Y11" s="188">
        <v>0</v>
      </c>
      <c r="Z11" s="184">
        <f t="shared" si="16"/>
        <v>320.44</v>
      </c>
      <c r="AA11" s="184">
        <f t="shared" si="17"/>
        <v>4461.5700000000006</v>
      </c>
      <c r="AB11" s="90"/>
    </row>
    <row r="12" spans="1:28" s="4" customFormat="1" ht="77.25" customHeight="1" x14ac:dyDescent="0.35">
      <c r="A12" s="43"/>
      <c r="B12" s="177" t="s">
        <v>144</v>
      </c>
      <c r="C12" s="177" t="s">
        <v>127</v>
      </c>
      <c r="D12" s="265" t="s">
        <v>143</v>
      </c>
      <c r="E12" s="199" t="s">
        <v>145</v>
      </c>
      <c r="F12" s="199" t="s">
        <v>353</v>
      </c>
      <c r="G12" s="179" t="s">
        <v>104</v>
      </c>
      <c r="H12" s="180">
        <v>15</v>
      </c>
      <c r="I12" s="181">
        <f>J12/H12</f>
        <v>297.8</v>
      </c>
      <c r="J12" s="182">
        <v>4467</v>
      </c>
      <c r="K12" s="183">
        <v>595.6</v>
      </c>
      <c r="L12" s="184">
        <f>SUM(J12:K12)</f>
        <v>5062.6000000000004</v>
      </c>
      <c r="M12" s="185">
        <f t="shared" si="1"/>
        <v>297.8</v>
      </c>
      <c r="N12" s="185">
        <f t="shared" si="10"/>
        <v>4764.8</v>
      </c>
      <c r="O12" s="185">
        <f t="shared" si="2"/>
        <v>3124.36</v>
      </c>
      <c r="P12" s="185">
        <f t="shared" si="11"/>
        <v>1640.44</v>
      </c>
      <c r="Q12" s="186">
        <f t="shared" si="3"/>
        <v>0.10879999999999999</v>
      </c>
      <c r="R12" s="185">
        <f t="shared" si="12"/>
        <v>178.479872</v>
      </c>
      <c r="S12" s="187">
        <f t="shared" si="4"/>
        <v>183.45</v>
      </c>
      <c r="T12" s="185">
        <f t="shared" si="13"/>
        <v>361.92987199999999</v>
      </c>
      <c r="U12" s="185">
        <f t="shared" si="5"/>
        <v>0</v>
      </c>
      <c r="V12" s="185">
        <f t="shared" si="14"/>
        <v>361.93</v>
      </c>
      <c r="W12" s="184">
        <f t="shared" si="15"/>
        <v>0</v>
      </c>
      <c r="X12" s="184">
        <f t="shared" si="6"/>
        <v>361.93</v>
      </c>
      <c r="Y12" s="188">
        <v>0</v>
      </c>
      <c r="Z12" s="184">
        <f>SUM(X12:Y12)</f>
        <v>361.93</v>
      </c>
      <c r="AA12" s="184">
        <f>L12+W12-Z12</f>
        <v>4700.67</v>
      </c>
      <c r="AB12" s="90"/>
    </row>
    <row r="13" spans="1:28" s="4" customFormat="1" ht="77.25" customHeight="1" x14ac:dyDescent="0.35">
      <c r="A13" s="43"/>
      <c r="B13" s="177" t="s">
        <v>222</v>
      </c>
      <c r="C13" s="177" t="s">
        <v>127</v>
      </c>
      <c r="D13" s="269" t="s">
        <v>223</v>
      </c>
      <c r="E13" s="199" t="s">
        <v>224</v>
      </c>
      <c r="F13" s="199" t="s">
        <v>376</v>
      </c>
      <c r="G13" s="179" t="s">
        <v>317</v>
      </c>
      <c r="H13" s="180">
        <v>15</v>
      </c>
      <c r="I13" s="181"/>
      <c r="J13" s="182">
        <v>3403</v>
      </c>
      <c r="K13" s="183">
        <v>0</v>
      </c>
      <c r="L13" s="184">
        <f t="shared" ref="L13" si="19">SUM(J13:K13)</f>
        <v>3403</v>
      </c>
      <c r="M13" s="185">
        <f t="shared" si="1"/>
        <v>0</v>
      </c>
      <c r="N13" s="185">
        <f t="shared" si="10"/>
        <v>3403</v>
      </c>
      <c r="O13" s="185">
        <f t="shared" si="2"/>
        <v>3124.36</v>
      </c>
      <c r="P13" s="185">
        <f t="shared" si="11"/>
        <v>278.63999999999987</v>
      </c>
      <c r="Q13" s="186">
        <f t="shared" si="3"/>
        <v>0.10879999999999999</v>
      </c>
      <c r="R13" s="185">
        <f t="shared" si="12"/>
        <v>30.316031999999986</v>
      </c>
      <c r="S13" s="187">
        <f t="shared" si="4"/>
        <v>183.45</v>
      </c>
      <c r="T13" s="185">
        <f t="shared" si="13"/>
        <v>213.76603199999997</v>
      </c>
      <c r="U13" s="185">
        <f t="shared" si="5"/>
        <v>125.1</v>
      </c>
      <c r="V13" s="185">
        <f t="shared" si="14"/>
        <v>88.67</v>
      </c>
      <c r="W13" s="184">
        <f t="shared" si="15"/>
        <v>0</v>
      </c>
      <c r="X13" s="184">
        <f t="shared" si="6"/>
        <v>88.67</v>
      </c>
      <c r="Y13" s="188">
        <v>0</v>
      </c>
      <c r="Z13" s="184">
        <f t="shared" ref="Z13:Z16" si="20">SUM(X13:Y13)</f>
        <v>88.67</v>
      </c>
      <c r="AA13" s="184">
        <f t="shared" ref="AA13" si="21">L13+W13-Z13</f>
        <v>3314.33</v>
      </c>
      <c r="AB13" s="90"/>
    </row>
    <row r="14" spans="1:28" s="4" customFormat="1" ht="77.25" customHeight="1" x14ac:dyDescent="0.35">
      <c r="A14" s="43"/>
      <c r="B14" s="177" t="s">
        <v>318</v>
      </c>
      <c r="C14" s="177" t="s">
        <v>127</v>
      </c>
      <c r="D14" s="265" t="s">
        <v>320</v>
      </c>
      <c r="E14" s="199" t="s">
        <v>422</v>
      </c>
      <c r="F14" s="199" t="s">
        <v>398</v>
      </c>
      <c r="G14" s="179" t="s">
        <v>319</v>
      </c>
      <c r="H14" s="180">
        <v>15</v>
      </c>
      <c r="I14" s="181"/>
      <c r="J14" s="182">
        <v>2373</v>
      </c>
      <c r="K14" s="183">
        <v>0</v>
      </c>
      <c r="L14" s="184">
        <f>SUM(J14:K14)</f>
        <v>2373</v>
      </c>
      <c r="M14" s="185">
        <f>IF(J14/15&lt;=SMG,0,K14/2)</f>
        <v>0</v>
      </c>
      <c r="N14" s="185">
        <f t="shared" si="10"/>
        <v>2373</v>
      </c>
      <c r="O14" s="185">
        <f t="shared" si="2"/>
        <v>368.11</v>
      </c>
      <c r="P14" s="185">
        <f t="shared" si="11"/>
        <v>2004.8899999999999</v>
      </c>
      <c r="Q14" s="186">
        <f t="shared" si="3"/>
        <v>6.4000000000000001E-2</v>
      </c>
      <c r="R14" s="185">
        <f t="shared" si="12"/>
        <v>128.31296</v>
      </c>
      <c r="S14" s="187">
        <f t="shared" si="4"/>
        <v>7.05</v>
      </c>
      <c r="T14" s="185">
        <f t="shared" si="13"/>
        <v>135.36296000000002</v>
      </c>
      <c r="U14" s="185">
        <f t="shared" si="5"/>
        <v>160.35</v>
      </c>
      <c r="V14" s="185">
        <f t="shared" si="14"/>
        <v>-24.99</v>
      </c>
      <c r="W14" s="184">
        <f t="shared" si="15"/>
        <v>24.99</v>
      </c>
      <c r="X14" s="184">
        <f t="shared" si="6"/>
        <v>0</v>
      </c>
      <c r="Y14" s="257">
        <v>0</v>
      </c>
      <c r="Z14" s="184">
        <f t="shared" si="20"/>
        <v>0</v>
      </c>
      <c r="AA14" s="184">
        <f>L14+W14-Z14</f>
        <v>2397.9899999999998</v>
      </c>
      <c r="AB14" s="90"/>
    </row>
    <row r="15" spans="1:28" s="4" customFormat="1" ht="77.25" customHeight="1" x14ac:dyDescent="0.35">
      <c r="A15" s="43"/>
      <c r="B15" s="177" t="s">
        <v>460</v>
      </c>
      <c r="C15" s="177" t="s">
        <v>127</v>
      </c>
      <c r="D15" s="265" t="s">
        <v>461</v>
      </c>
      <c r="E15" s="199" t="s">
        <v>462</v>
      </c>
      <c r="F15" s="199" t="s">
        <v>463</v>
      </c>
      <c r="G15" s="179" t="s">
        <v>464</v>
      </c>
      <c r="H15" s="180"/>
      <c r="I15" s="181"/>
      <c r="J15" s="182">
        <v>2373</v>
      </c>
      <c r="K15" s="183">
        <v>0</v>
      </c>
      <c r="L15" s="184">
        <f>SUM(J15:K15)</f>
        <v>2373</v>
      </c>
      <c r="M15" s="185">
        <f>IF(J15/15&lt;=SMG,0,K15/2)</f>
        <v>0</v>
      </c>
      <c r="N15" s="185">
        <f t="shared" ref="N15" si="22">J15+M15</f>
        <v>2373</v>
      </c>
      <c r="O15" s="185">
        <f t="shared" ref="O15" si="23">VLOOKUP(N15,Tarifa1,1)</f>
        <v>368.11</v>
      </c>
      <c r="P15" s="185">
        <f t="shared" ref="P15" si="24">N15-O15</f>
        <v>2004.8899999999999</v>
      </c>
      <c r="Q15" s="186">
        <f t="shared" ref="Q15" si="25">VLOOKUP(N15,Tarifa1,3)</f>
        <v>6.4000000000000001E-2</v>
      </c>
      <c r="R15" s="185">
        <f t="shared" ref="R15" si="26">P15*Q15</f>
        <v>128.31296</v>
      </c>
      <c r="S15" s="187">
        <f t="shared" ref="S15" si="27">VLOOKUP(N15,Tarifa1,2)</f>
        <v>7.05</v>
      </c>
      <c r="T15" s="185">
        <f t="shared" ref="T15" si="28">R15+S15</f>
        <v>135.36296000000002</v>
      </c>
      <c r="U15" s="185">
        <f t="shared" ref="U15" si="29">VLOOKUP(N15,Credito1,2)</f>
        <v>160.35</v>
      </c>
      <c r="V15" s="185">
        <f t="shared" ref="V15" si="30">ROUND(T15-U15,2)</f>
        <v>-24.99</v>
      </c>
      <c r="W15" s="184">
        <f t="shared" ref="W15" si="31">-IF(V15&gt;0,0,V15)</f>
        <v>24.99</v>
      </c>
      <c r="X15" s="184">
        <f t="shared" ref="X15" si="32">IF(J15/15&lt;=SMG,0,IF(V15&lt;0,0,V15))</f>
        <v>0</v>
      </c>
      <c r="Y15" s="257">
        <v>0</v>
      </c>
      <c r="Z15" s="184">
        <f t="shared" ref="Z15" si="33">SUM(X15:Y15)</f>
        <v>0</v>
      </c>
      <c r="AA15" s="184">
        <f>L15+W15-Z15</f>
        <v>2397.9899999999998</v>
      </c>
      <c r="AB15" s="90"/>
    </row>
    <row r="16" spans="1:28" s="4" customFormat="1" ht="77.25" customHeight="1" x14ac:dyDescent="0.35">
      <c r="A16" s="43"/>
      <c r="B16" s="176" t="s">
        <v>270</v>
      </c>
      <c r="C16" s="177" t="s">
        <v>127</v>
      </c>
      <c r="D16" s="263" t="s">
        <v>301</v>
      </c>
      <c r="E16" s="178" t="s">
        <v>302</v>
      </c>
      <c r="F16" s="178" t="s">
        <v>385</v>
      </c>
      <c r="G16" s="178" t="s">
        <v>73</v>
      </c>
      <c r="H16" s="180">
        <v>15</v>
      </c>
      <c r="I16" s="181">
        <f>J16/H16</f>
        <v>497.6</v>
      </c>
      <c r="J16" s="182">
        <v>7464</v>
      </c>
      <c r="K16" s="183">
        <v>0</v>
      </c>
      <c r="L16" s="184">
        <f t="shared" ref="L16" si="34">SUM(J16:K16)</f>
        <v>7464</v>
      </c>
      <c r="M16" s="185">
        <f t="shared" ref="M16" si="35">IF(J16/15&lt;=SMG,0,K16/2)</f>
        <v>0</v>
      </c>
      <c r="N16" s="185">
        <f t="shared" si="10"/>
        <v>7464</v>
      </c>
      <c r="O16" s="185">
        <f t="shared" si="2"/>
        <v>6382.81</v>
      </c>
      <c r="P16" s="185">
        <f t="shared" si="11"/>
        <v>1081.1899999999996</v>
      </c>
      <c r="Q16" s="186">
        <f t="shared" si="3"/>
        <v>0.1792</v>
      </c>
      <c r="R16" s="185">
        <f t="shared" si="12"/>
        <v>193.74924799999994</v>
      </c>
      <c r="S16" s="187">
        <f t="shared" si="4"/>
        <v>583.65</v>
      </c>
      <c r="T16" s="185">
        <f t="shared" si="13"/>
        <v>777.39924799999994</v>
      </c>
      <c r="U16" s="185">
        <f t="shared" si="5"/>
        <v>0</v>
      </c>
      <c r="V16" s="185">
        <f t="shared" si="14"/>
        <v>777.4</v>
      </c>
      <c r="W16" s="184">
        <f t="shared" si="15"/>
        <v>0</v>
      </c>
      <c r="X16" s="184">
        <f t="shared" si="6"/>
        <v>777.4</v>
      </c>
      <c r="Y16" s="188">
        <v>0</v>
      </c>
      <c r="Z16" s="184">
        <f t="shared" si="20"/>
        <v>777.4</v>
      </c>
      <c r="AA16" s="184">
        <f t="shared" ref="AA16" si="36">L16+W16-Z16</f>
        <v>6686.6</v>
      </c>
      <c r="AB16" s="90"/>
    </row>
    <row r="17" spans="1:34" s="4" customFormat="1" ht="77.25" customHeight="1" x14ac:dyDescent="0.35">
      <c r="A17" s="43"/>
      <c r="B17" s="176" t="s">
        <v>271</v>
      </c>
      <c r="C17" s="177" t="s">
        <v>127</v>
      </c>
      <c r="D17" s="263" t="s">
        <v>299</v>
      </c>
      <c r="E17" s="178" t="s">
        <v>300</v>
      </c>
      <c r="F17" s="178" t="s">
        <v>386</v>
      </c>
      <c r="G17" s="179" t="s">
        <v>196</v>
      </c>
      <c r="H17" s="180">
        <v>15</v>
      </c>
      <c r="I17" s="181"/>
      <c r="J17" s="182">
        <v>4241</v>
      </c>
      <c r="K17" s="183">
        <v>0</v>
      </c>
      <c r="L17" s="184">
        <f>SUM(J17:K17)</f>
        <v>4241</v>
      </c>
      <c r="M17" s="185">
        <f>IF(J17/15&lt;=SMG,0,K17/2)</f>
        <v>0</v>
      </c>
      <c r="N17" s="185">
        <f t="shared" si="10"/>
        <v>4241</v>
      </c>
      <c r="O17" s="185">
        <f t="shared" si="2"/>
        <v>3124.36</v>
      </c>
      <c r="P17" s="185">
        <f t="shared" si="11"/>
        <v>1116.6399999999999</v>
      </c>
      <c r="Q17" s="186">
        <f t="shared" si="3"/>
        <v>0.10879999999999999</v>
      </c>
      <c r="R17" s="185">
        <f t="shared" si="12"/>
        <v>121.49043199999998</v>
      </c>
      <c r="S17" s="187">
        <f t="shared" si="4"/>
        <v>183.45</v>
      </c>
      <c r="T17" s="185">
        <f t="shared" si="13"/>
        <v>304.94043199999999</v>
      </c>
      <c r="U17" s="185">
        <f t="shared" si="5"/>
        <v>0</v>
      </c>
      <c r="V17" s="185">
        <f t="shared" si="14"/>
        <v>304.94</v>
      </c>
      <c r="W17" s="184">
        <f t="shared" si="15"/>
        <v>0</v>
      </c>
      <c r="X17" s="184">
        <f t="shared" si="6"/>
        <v>304.94</v>
      </c>
      <c r="Y17" s="188">
        <v>0</v>
      </c>
      <c r="Z17" s="184">
        <f>SUM(X17:Y17)</f>
        <v>304.94</v>
      </c>
      <c r="AA17" s="184">
        <f>L17+W17-Z17</f>
        <v>3936.06</v>
      </c>
      <c r="AB17" s="90"/>
    </row>
    <row r="18" spans="1:34" s="4" customFormat="1" ht="77.25" customHeight="1" x14ac:dyDescent="0.35">
      <c r="A18" s="119"/>
      <c r="B18" s="176" t="s">
        <v>235</v>
      </c>
      <c r="C18" s="177" t="s">
        <v>127</v>
      </c>
      <c r="D18" s="263" t="s">
        <v>82</v>
      </c>
      <c r="E18" s="178" t="s">
        <v>114</v>
      </c>
      <c r="F18" s="178" t="s">
        <v>344</v>
      </c>
      <c r="G18" s="179" t="s">
        <v>216</v>
      </c>
      <c r="H18" s="180">
        <v>15</v>
      </c>
      <c r="I18" s="181">
        <f>J18/H18</f>
        <v>214.73333333333332</v>
      </c>
      <c r="J18" s="182">
        <v>3221</v>
      </c>
      <c r="K18" s="183">
        <v>0</v>
      </c>
      <c r="L18" s="184">
        <f>SUM(J18:K18)</f>
        <v>3221</v>
      </c>
      <c r="M18" s="185">
        <f>IF(J18/15&lt;=SMG,0,K18/2)</f>
        <v>0</v>
      </c>
      <c r="N18" s="185">
        <f t="shared" si="10"/>
        <v>3221</v>
      </c>
      <c r="O18" s="185">
        <f t="shared" si="2"/>
        <v>3124.36</v>
      </c>
      <c r="P18" s="185">
        <f t="shared" si="11"/>
        <v>96.639999999999873</v>
      </c>
      <c r="Q18" s="186">
        <f t="shared" si="3"/>
        <v>0.10879999999999999</v>
      </c>
      <c r="R18" s="185">
        <f t="shared" si="12"/>
        <v>10.514431999999985</v>
      </c>
      <c r="S18" s="187">
        <f t="shared" si="4"/>
        <v>183.45</v>
      </c>
      <c r="T18" s="185">
        <f t="shared" si="13"/>
        <v>193.96443199999999</v>
      </c>
      <c r="U18" s="185">
        <f t="shared" si="5"/>
        <v>125.1</v>
      </c>
      <c r="V18" s="185">
        <f t="shared" si="14"/>
        <v>68.86</v>
      </c>
      <c r="W18" s="184">
        <f t="shared" si="15"/>
        <v>0</v>
      </c>
      <c r="X18" s="184">
        <f t="shared" si="6"/>
        <v>68.86</v>
      </c>
      <c r="Y18" s="188">
        <v>0</v>
      </c>
      <c r="Z18" s="184">
        <f>SUM(X18:Y18)</f>
        <v>68.86</v>
      </c>
      <c r="AA18" s="184">
        <f>L18+W18-Z18</f>
        <v>3152.14</v>
      </c>
      <c r="AB18" s="90"/>
      <c r="AC18" s="88"/>
    </row>
    <row r="19" spans="1:34" s="4" customFormat="1" ht="77.25" customHeight="1" x14ac:dyDescent="0.35">
      <c r="A19" s="119"/>
      <c r="B19" s="176" t="s">
        <v>272</v>
      </c>
      <c r="C19" s="177" t="s">
        <v>127</v>
      </c>
      <c r="D19" s="263" t="s">
        <v>291</v>
      </c>
      <c r="E19" s="178" t="s">
        <v>292</v>
      </c>
      <c r="F19" s="178" t="s">
        <v>387</v>
      </c>
      <c r="G19" s="179" t="s">
        <v>159</v>
      </c>
      <c r="H19" s="180">
        <v>15</v>
      </c>
      <c r="I19" s="181"/>
      <c r="J19" s="182">
        <v>3619</v>
      </c>
      <c r="K19" s="183">
        <v>0</v>
      </c>
      <c r="L19" s="184">
        <f t="shared" ref="L19" si="37">SUM(J19:K19)</f>
        <v>3619</v>
      </c>
      <c r="M19" s="185">
        <f t="shared" ref="M19" si="38">IF(J19/15&lt;=SMG,0,K19/2)</f>
        <v>0</v>
      </c>
      <c r="N19" s="185">
        <f t="shared" si="10"/>
        <v>3619</v>
      </c>
      <c r="O19" s="185">
        <f t="shared" si="2"/>
        <v>3124.36</v>
      </c>
      <c r="P19" s="185">
        <f t="shared" si="11"/>
        <v>494.63999999999987</v>
      </c>
      <c r="Q19" s="186">
        <f t="shared" si="3"/>
        <v>0.10879999999999999</v>
      </c>
      <c r="R19" s="185">
        <f t="shared" si="12"/>
        <v>53.816831999999984</v>
      </c>
      <c r="S19" s="187">
        <f t="shared" si="4"/>
        <v>183.45</v>
      </c>
      <c r="T19" s="185">
        <f t="shared" si="13"/>
        <v>237.26683199999997</v>
      </c>
      <c r="U19" s="185">
        <f t="shared" si="5"/>
        <v>107.4</v>
      </c>
      <c r="V19" s="185">
        <f t="shared" si="14"/>
        <v>129.87</v>
      </c>
      <c r="W19" s="184">
        <f t="shared" si="15"/>
        <v>0</v>
      </c>
      <c r="X19" s="184">
        <f t="shared" si="6"/>
        <v>129.87</v>
      </c>
      <c r="Y19" s="188">
        <v>0</v>
      </c>
      <c r="Z19" s="184">
        <f t="shared" ref="Z19" si="39">SUM(X19:Y19)</f>
        <v>129.87</v>
      </c>
      <c r="AA19" s="184">
        <f t="shared" ref="AA19" si="40">L19+W19-Z19</f>
        <v>3489.13</v>
      </c>
      <c r="AB19" s="90"/>
      <c r="AC19" s="88"/>
    </row>
    <row r="20" spans="1:34" s="4" customFormat="1" ht="77.25" customHeight="1" x14ac:dyDescent="0.35">
      <c r="A20" s="119"/>
      <c r="B20" s="176" t="s">
        <v>322</v>
      </c>
      <c r="C20" s="177" t="s">
        <v>127</v>
      </c>
      <c r="D20" s="263" t="s">
        <v>295</v>
      </c>
      <c r="E20" s="178" t="s">
        <v>296</v>
      </c>
      <c r="F20" s="178" t="s">
        <v>352</v>
      </c>
      <c r="G20" s="179" t="s">
        <v>159</v>
      </c>
      <c r="H20" s="180">
        <v>15</v>
      </c>
      <c r="I20" s="181"/>
      <c r="J20" s="182">
        <v>3619</v>
      </c>
      <c r="K20" s="183">
        <v>0</v>
      </c>
      <c r="L20" s="184">
        <f>SUM(J20:K20)</f>
        <v>3619</v>
      </c>
      <c r="M20" s="185">
        <f>IF(J20/15&lt;=SMG,0,K20/2)</f>
        <v>0</v>
      </c>
      <c r="N20" s="185">
        <f t="shared" si="10"/>
        <v>3619</v>
      </c>
      <c r="O20" s="185">
        <f t="shared" si="2"/>
        <v>3124.36</v>
      </c>
      <c r="P20" s="185">
        <f t="shared" si="11"/>
        <v>494.63999999999987</v>
      </c>
      <c r="Q20" s="186">
        <f t="shared" si="3"/>
        <v>0.10879999999999999</v>
      </c>
      <c r="R20" s="185">
        <f t="shared" si="12"/>
        <v>53.816831999999984</v>
      </c>
      <c r="S20" s="187">
        <f t="shared" si="4"/>
        <v>183.45</v>
      </c>
      <c r="T20" s="185">
        <f t="shared" si="13"/>
        <v>237.26683199999997</v>
      </c>
      <c r="U20" s="185">
        <f t="shared" si="5"/>
        <v>107.4</v>
      </c>
      <c r="V20" s="185">
        <f t="shared" si="14"/>
        <v>129.87</v>
      </c>
      <c r="W20" s="184">
        <f t="shared" si="15"/>
        <v>0</v>
      </c>
      <c r="X20" s="184">
        <f t="shared" si="6"/>
        <v>129.87</v>
      </c>
      <c r="Y20" s="188">
        <v>0</v>
      </c>
      <c r="Z20" s="184">
        <f>SUM(X20:Y20)</f>
        <v>129.87</v>
      </c>
      <c r="AA20" s="184">
        <f>L20+W20-Z20</f>
        <v>3489.13</v>
      </c>
      <c r="AB20" s="90"/>
      <c r="AC20" s="88"/>
    </row>
    <row r="21" spans="1:34" s="4" customFormat="1" ht="75" customHeight="1" x14ac:dyDescent="0.3">
      <c r="A21" s="119"/>
      <c r="B21" s="159"/>
      <c r="C21" s="119"/>
      <c r="D21" s="171"/>
      <c r="E21" s="171"/>
      <c r="F21" s="171"/>
      <c r="G21" s="171"/>
      <c r="H21" s="160"/>
      <c r="I21" s="161"/>
      <c r="J21" s="162"/>
      <c r="K21" s="163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C21" s="88"/>
    </row>
    <row r="22" spans="1:34" s="4" customFormat="1" ht="24" customHeight="1" x14ac:dyDescent="0.3">
      <c r="A22" s="119"/>
      <c r="B22" s="294" t="s">
        <v>79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</row>
    <row r="23" spans="1:34" s="4" customFormat="1" ht="24" customHeight="1" x14ac:dyDescent="0.3">
      <c r="A23" s="119"/>
      <c r="B23" s="294" t="s">
        <v>64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</row>
    <row r="24" spans="1:34" s="4" customFormat="1" ht="25.5" customHeight="1" x14ac:dyDescent="0.3">
      <c r="A24" s="119"/>
      <c r="B24" s="284" t="s">
        <v>485</v>
      </c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</row>
    <row r="25" spans="1:34" s="4" customFormat="1" ht="24" customHeight="1" x14ac:dyDescent="0.3">
      <c r="A25" s="119"/>
      <c r="B25" s="159"/>
      <c r="C25" s="119"/>
      <c r="D25" s="171"/>
      <c r="E25" s="171"/>
      <c r="F25" s="171"/>
      <c r="G25" s="171"/>
      <c r="H25" s="160"/>
      <c r="I25" s="161"/>
      <c r="J25" s="162"/>
      <c r="K25" s="163"/>
      <c r="L25" s="164"/>
      <c r="M25" s="165"/>
      <c r="N25" s="165"/>
      <c r="O25" s="165"/>
      <c r="P25" s="165"/>
      <c r="Q25" s="166"/>
      <c r="R25" s="165"/>
      <c r="S25" s="167"/>
      <c r="T25" s="165"/>
      <c r="U25" s="168"/>
      <c r="V25" s="165"/>
      <c r="W25" s="164"/>
      <c r="X25" s="164"/>
      <c r="Y25" s="169"/>
      <c r="Z25" s="164"/>
      <c r="AA25" s="164"/>
      <c r="AC25" s="88"/>
    </row>
    <row r="26" spans="1:34" s="4" customFormat="1" ht="21.75" customHeight="1" x14ac:dyDescent="0.3">
      <c r="A26" s="119"/>
      <c r="B26" s="159"/>
      <c r="C26" s="119"/>
      <c r="D26" s="171"/>
      <c r="E26" s="171"/>
      <c r="F26" s="171"/>
      <c r="G26" s="171"/>
      <c r="H26" s="160"/>
      <c r="I26" s="161"/>
      <c r="J26" s="162"/>
      <c r="K26" s="163"/>
      <c r="L26" s="164"/>
      <c r="M26" s="165"/>
      <c r="N26" s="165"/>
      <c r="O26" s="165"/>
      <c r="P26" s="165"/>
      <c r="Q26" s="166"/>
      <c r="R26" s="165"/>
      <c r="S26" s="167"/>
      <c r="T26" s="165"/>
      <c r="U26" s="168"/>
      <c r="V26" s="165"/>
      <c r="W26" s="164"/>
      <c r="X26" s="164"/>
      <c r="Y26" s="169"/>
      <c r="Z26" s="164"/>
      <c r="AA26" s="164"/>
      <c r="AC26" s="88"/>
    </row>
    <row r="27" spans="1:34" s="4" customFormat="1" ht="57.75" customHeight="1" x14ac:dyDescent="0.3">
      <c r="A27" s="114"/>
      <c r="B27" s="123" t="s">
        <v>102</v>
      </c>
      <c r="C27" s="123" t="s">
        <v>136</v>
      </c>
      <c r="D27" s="124" t="s">
        <v>135</v>
      </c>
      <c r="E27" s="124" t="s">
        <v>103</v>
      </c>
      <c r="F27" s="124"/>
      <c r="G27" s="124" t="s">
        <v>61</v>
      </c>
      <c r="H27" s="124"/>
      <c r="I27" s="124"/>
      <c r="J27" s="125">
        <f>SUM(J28:J29)</f>
        <v>9794</v>
      </c>
      <c r="K27" s="125">
        <f>SUM(K28:K29)</f>
        <v>0</v>
      </c>
      <c r="L27" s="125">
        <f>SUM(L28:L29)</f>
        <v>9794</v>
      </c>
      <c r="M27" s="124"/>
      <c r="N27" s="124"/>
      <c r="O27" s="124"/>
      <c r="P27" s="124"/>
      <c r="Q27" s="124"/>
      <c r="R27" s="124"/>
      <c r="S27" s="126"/>
      <c r="T27" s="124"/>
      <c r="U27" s="124"/>
      <c r="V27" s="124"/>
      <c r="W27" s="125">
        <f>SUM(W28:W29)</f>
        <v>0</v>
      </c>
      <c r="X27" s="125">
        <f>SUM(X28:X29)</f>
        <v>752.63</v>
      </c>
      <c r="Y27" s="125">
        <f>SUM(Y28:Y29)</f>
        <v>0</v>
      </c>
      <c r="Z27" s="125">
        <f>SUM(Z28:Z29)</f>
        <v>752.63</v>
      </c>
      <c r="AA27" s="125">
        <f>SUM(AA28:AA29)</f>
        <v>9041.369999999999</v>
      </c>
      <c r="AB27" s="99"/>
    </row>
    <row r="28" spans="1:34" s="4" customFormat="1" ht="99.75" customHeight="1" x14ac:dyDescent="0.35">
      <c r="A28" s="116" t="s">
        <v>85</v>
      </c>
      <c r="B28" s="176" t="s">
        <v>182</v>
      </c>
      <c r="C28" s="177" t="s">
        <v>127</v>
      </c>
      <c r="D28" s="263" t="s">
        <v>161</v>
      </c>
      <c r="E28" s="178" t="s">
        <v>174</v>
      </c>
      <c r="F28" s="178" t="s">
        <v>360</v>
      </c>
      <c r="G28" s="179" t="s">
        <v>160</v>
      </c>
      <c r="H28" s="180">
        <v>15</v>
      </c>
      <c r="I28" s="181">
        <f>J28/H28</f>
        <v>342.73333333333335</v>
      </c>
      <c r="J28" s="182">
        <v>5141</v>
      </c>
      <c r="K28" s="183">
        <v>0</v>
      </c>
      <c r="L28" s="184">
        <f>SUM(J28:K28)</f>
        <v>5141</v>
      </c>
      <c r="M28" s="185">
        <f>IF(J28/15&lt;=SMG,0,K28/2)</f>
        <v>0</v>
      </c>
      <c r="N28" s="185">
        <f t="shared" ref="N28:N29" si="41">J28+M28</f>
        <v>5141</v>
      </c>
      <c r="O28" s="185">
        <f>VLOOKUP(N28,Tarifa1,1)</f>
        <v>3124.36</v>
      </c>
      <c r="P28" s="185">
        <f t="shared" ref="P28:P29" si="42">N28-O28</f>
        <v>2016.6399999999999</v>
      </c>
      <c r="Q28" s="186">
        <f>VLOOKUP(N28,Tarifa1,3)</f>
        <v>0.10879999999999999</v>
      </c>
      <c r="R28" s="185">
        <f t="shared" ref="R28:R29" si="43">P28*Q28</f>
        <v>219.41043199999999</v>
      </c>
      <c r="S28" s="187">
        <f>VLOOKUP(N28,Tarifa1,2)</f>
        <v>183.45</v>
      </c>
      <c r="T28" s="185">
        <f t="shared" ref="T28:T29" si="44">R28+S28</f>
        <v>402.86043199999995</v>
      </c>
      <c r="U28" s="185">
        <f>VLOOKUP(N28,Credito1,2)</f>
        <v>0</v>
      </c>
      <c r="V28" s="185">
        <f t="shared" ref="V28:V29" si="45">ROUND(T28-U28,2)</f>
        <v>402.86</v>
      </c>
      <c r="W28" s="184">
        <f t="shared" ref="W28:W29" si="46">-IF(V28&gt;0,0,V28)</f>
        <v>0</v>
      </c>
      <c r="X28" s="184">
        <f>IF(J28/15&lt;=SMG,0,IF(V28&lt;0,0,V28))</f>
        <v>402.86</v>
      </c>
      <c r="Y28" s="188">
        <v>0</v>
      </c>
      <c r="Z28" s="184">
        <f>SUM(X28:Y28)</f>
        <v>402.86</v>
      </c>
      <c r="AA28" s="184">
        <f>L28+W28-Z28</f>
        <v>4738.1400000000003</v>
      </c>
      <c r="AB28" s="90"/>
      <c r="AH28" s="95"/>
    </row>
    <row r="29" spans="1:34" s="4" customFormat="1" ht="99.75" customHeight="1" x14ac:dyDescent="0.35">
      <c r="A29" s="116"/>
      <c r="B29" s="176" t="s">
        <v>210</v>
      </c>
      <c r="C29" s="177" t="s">
        <v>127</v>
      </c>
      <c r="D29" s="263" t="s">
        <v>194</v>
      </c>
      <c r="E29" s="178" t="s">
        <v>202</v>
      </c>
      <c r="F29" s="178" t="s">
        <v>373</v>
      </c>
      <c r="G29" s="179" t="s">
        <v>195</v>
      </c>
      <c r="H29" s="180">
        <v>15</v>
      </c>
      <c r="I29" s="181"/>
      <c r="J29" s="182">
        <v>4653</v>
      </c>
      <c r="K29" s="183">
        <v>0</v>
      </c>
      <c r="L29" s="184">
        <f>SUM(J29:K29)</f>
        <v>4653</v>
      </c>
      <c r="M29" s="185">
        <f>IF(J29/15&lt;=SMG,0,K29/2)</f>
        <v>0</v>
      </c>
      <c r="N29" s="185">
        <f t="shared" si="41"/>
        <v>4653</v>
      </c>
      <c r="O29" s="185">
        <f>VLOOKUP(N29,Tarifa1,1)</f>
        <v>3124.36</v>
      </c>
      <c r="P29" s="185">
        <f t="shared" si="42"/>
        <v>1528.6399999999999</v>
      </c>
      <c r="Q29" s="186">
        <f>VLOOKUP(N29,Tarifa1,3)</f>
        <v>0.10879999999999999</v>
      </c>
      <c r="R29" s="185">
        <f t="shared" si="43"/>
        <v>166.31603199999998</v>
      </c>
      <c r="S29" s="187">
        <f>VLOOKUP(N29,Tarifa1,2)</f>
        <v>183.45</v>
      </c>
      <c r="T29" s="185">
        <f t="shared" si="44"/>
        <v>349.766032</v>
      </c>
      <c r="U29" s="185">
        <f>VLOOKUP(N29,Credito1,2)</f>
        <v>0</v>
      </c>
      <c r="V29" s="185">
        <f t="shared" si="45"/>
        <v>349.77</v>
      </c>
      <c r="W29" s="184">
        <f t="shared" si="46"/>
        <v>0</v>
      </c>
      <c r="X29" s="184">
        <f>IF(J29/15&lt;=SMG,0,IF(V29&lt;0,0,V29))</f>
        <v>349.77</v>
      </c>
      <c r="Y29" s="188">
        <v>0</v>
      </c>
      <c r="Z29" s="184">
        <f>SUM(X29:Y29)</f>
        <v>349.77</v>
      </c>
      <c r="AA29" s="184">
        <f>L29+W29-Z29</f>
        <v>4303.2299999999996</v>
      </c>
      <c r="AB29" s="90"/>
      <c r="AH29" s="95"/>
    </row>
    <row r="30" spans="1:34" s="4" customFormat="1" ht="27.75" customHeight="1" x14ac:dyDescent="0.3">
      <c r="A30" s="209"/>
      <c r="B30" s="209"/>
      <c r="C30" s="209"/>
      <c r="D30" s="209"/>
      <c r="E30" s="209"/>
      <c r="F30" s="209"/>
      <c r="G30" s="209"/>
      <c r="H30" s="209"/>
      <c r="I30" s="209"/>
      <c r="J30" s="215"/>
      <c r="K30" s="215"/>
      <c r="L30" s="215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</row>
    <row r="31" spans="1:34" s="4" customFormat="1" ht="75" customHeight="1" thickBot="1" x14ac:dyDescent="0.35">
      <c r="A31" s="280" t="s">
        <v>44</v>
      </c>
      <c r="B31" s="281"/>
      <c r="C31" s="281"/>
      <c r="D31" s="281"/>
      <c r="E31" s="281"/>
      <c r="F31" s="281"/>
      <c r="G31" s="281"/>
      <c r="H31" s="281"/>
      <c r="I31" s="282"/>
      <c r="J31" s="191">
        <f>J8+J27</f>
        <v>56529</v>
      </c>
      <c r="K31" s="191">
        <f>K8+K27</f>
        <v>2189.62</v>
      </c>
      <c r="L31" s="191">
        <f>L8+L27</f>
        <v>58718.62</v>
      </c>
      <c r="M31" s="192">
        <f t="shared" ref="M31:V31" si="47">SUM(M9:M30)</f>
        <v>1094.81</v>
      </c>
      <c r="N31" s="192">
        <f t="shared" si="47"/>
        <v>57623.81</v>
      </c>
      <c r="O31" s="192">
        <f t="shared" si="47"/>
        <v>41486.990000000005</v>
      </c>
      <c r="P31" s="192">
        <f t="shared" si="47"/>
        <v>16136.819999999996</v>
      </c>
      <c r="Q31" s="192">
        <f t="shared" si="47"/>
        <v>1.504</v>
      </c>
      <c r="R31" s="192">
        <f t="shared" si="47"/>
        <v>1652.1636479999995</v>
      </c>
      <c r="S31" s="192">
        <f t="shared" si="47"/>
        <v>2615.6999999999994</v>
      </c>
      <c r="T31" s="192">
        <f t="shared" si="47"/>
        <v>4267.8636479999996</v>
      </c>
      <c r="U31" s="192">
        <f t="shared" si="47"/>
        <v>785.69999999999993</v>
      </c>
      <c r="V31" s="192">
        <f t="shared" si="47"/>
        <v>3482.1600000000003</v>
      </c>
      <c r="W31" s="191">
        <f>W8+W27</f>
        <v>49.98</v>
      </c>
      <c r="X31" s="191">
        <f>X8+X27</f>
        <v>3532.1400000000003</v>
      </c>
      <c r="Y31" s="191">
        <f>Y8+Y27</f>
        <v>500</v>
      </c>
      <c r="Z31" s="191">
        <f>Z8+Z27</f>
        <v>4032.1400000000003</v>
      </c>
      <c r="AA31" s="191">
        <f>AA8+AA27</f>
        <v>54736.459999999992</v>
      </c>
    </row>
    <row r="32" spans="1:34" s="4" customFormat="1" ht="18" customHeight="1" thickTop="1" x14ac:dyDescent="0.3">
      <c r="A32" s="172"/>
      <c r="B32" s="172"/>
      <c r="C32" s="172"/>
      <c r="D32" s="172"/>
      <c r="E32" s="172"/>
      <c r="F32" s="172"/>
      <c r="G32" s="172"/>
      <c r="H32" s="172"/>
      <c r="I32" s="172"/>
      <c r="J32" s="173"/>
      <c r="K32" s="173"/>
      <c r="L32" s="173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3"/>
      <c r="X32" s="173"/>
      <c r="Y32" s="173"/>
      <c r="Z32" s="173"/>
      <c r="AA32" s="173"/>
    </row>
    <row r="33" spans="1:27" s="4" customFormat="1" ht="18" customHeight="1" x14ac:dyDescent="0.3">
      <c r="A33" s="172"/>
      <c r="B33" s="172"/>
      <c r="C33" s="172"/>
      <c r="D33" s="172"/>
      <c r="E33" s="172"/>
      <c r="F33" s="172"/>
      <c r="G33" s="172"/>
      <c r="H33" s="172"/>
      <c r="I33" s="172"/>
      <c r="J33" s="173"/>
      <c r="K33" s="173"/>
      <c r="L33" s="173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3"/>
      <c r="X33" s="173"/>
      <c r="Y33" s="173"/>
      <c r="Z33" s="173"/>
      <c r="AA33" s="173"/>
    </row>
    <row r="34" spans="1:27" s="4" customFormat="1" ht="18" customHeight="1" x14ac:dyDescent="0.3">
      <c r="A34" s="172"/>
      <c r="B34" s="172"/>
      <c r="C34" s="172"/>
      <c r="D34" s="172"/>
      <c r="E34" s="172"/>
      <c r="F34" s="172"/>
      <c r="G34" s="172"/>
      <c r="H34" s="172"/>
      <c r="I34" s="172"/>
      <c r="J34" s="173"/>
      <c r="K34" s="173"/>
      <c r="L34" s="173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3"/>
      <c r="X34" s="173"/>
      <c r="Y34" s="173"/>
      <c r="Z34" s="173"/>
      <c r="AA34" s="173"/>
    </row>
    <row r="35" spans="1:27" s="4" customFormat="1" ht="18" customHeight="1" x14ac:dyDescent="0.3">
      <c r="A35" s="172"/>
      <c r="B35" s="172"/>
      <c r="C35" s="172"/>
      <c r="D35" s="172"/>
      <c r="E35" s="172"/>
      <c r="F35" s="172"/>
      <c r="G35" s="172"/>
      <c r="H35" s="172"/>
      <c r="I35" s="172"/>
      <c r="J35" s="173"/>
      <c r="K35" s="173"/>
      <c r="L35" s="173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3"/>
      <c r="X35" s="173"/>
      <c r="Y35" s="173"/>
      <c r="Z35" s="173"/>
      <c r="AA35" s="173"/>
    </row>
    <row r="36" spans="1:27" s="4" customFormat="1" x14ac:dyDescent="0.25"/>
  </sheetData>
  <mergeCells count="10">
    <mergeCell ref="A31:I31"/>
    <mergeCell ref="A1:AB1"/>
    <mergeCell ref="A2:AB2"/>
    <mergeCell ref="A3:AB3"/>
    <mergeCell ref="J5:L5"/>
    <mergeCell ref="O5:T5"/>
    <mergeCell ref="X5:Z5"/>
    <mergeCell ref="B22:AC22"/>
    <mergeCell ref="B23:AC23"/>
    <mergeCell ref="B24:AC24"/>
  </mergeCells>
  <pageMargins left="0.27559055118110237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B36" zoomScale="57" zoomScaleNormal="57" workbookViewId="0">
      <selection activeCell="B44" sqref="A44:XFD52"/>
    </sheetView>
  </sheetViews>
  <sheetFormatPr baseColWidth="10" defaultColWidth="11.44140625" defaultRowHeight="13.2" x14ac:dyDescent="0.25"/>
  <cols>
    <col min="1" max="1" width="5.5546875" hidden="1" customWidth="1"/>
    <col min="2" max="2" width="13.109375" customWidth="1"/>
    <col min="3" max="3" width="9.6640625" customWidth="1"/>
    <col min="4" max="4" width="39.6640625" customWidth="1"/>
    <col min="5" max="5" width="26.33203125" customWidth="1"/>
    <col min="6" max="6" width="33" customWidth="1"/>
    <col min="7" max="7" width="29" customWidth="1"/>
    <col min="8" max="8" width="7.44140625" hidden="1" customWidth="1"/>
    <col min="9" max="9" width="10" hidden="1" customWidth="1"/>
    <col min="10" max="10" width="14.5546875" customWidth="1"/>
    <col min="11" max="11" width="12.109375" customWidth="1"/>
    <col min="12" max="12" width="14.44140625" customWidth="1"/>
    <col min="13" max="13" width="13.109375" hidden="1" customWidth="1"/>
    <col min="14" max="14" width="14.6640625" hidden="1" customWidth="1"/>
    <col min="15" max="15" width="15.5546875" hidden="1" customWidth="1"/>
    <col min="16" max="16" width="14.5546875" hidden="1" customWidth="1"/>
    <col min="17" max="18" width="13.109375" hidden="1" customWidth="1"/>
    <col min="19" max="19" width="10.5546875" hidden="1" customWidth="1"/>
    <col min="20" max="20" width="10.44140625" hidden="1" customWidth="1"/>
    <col min="21" max="21" width="13.109375" hidden="1" customWidth="1"/>
    <col min="22" max="22" width="11.5546875" hidden="1" customWidth="1"/>
    <col min="23" max="23" width="9.6640625" customWidth="1"/>
    <col min="24" max="24" width="12.5546875" customWidth="1"/>
    <col min="25" max="25" width="13.44140625" customWidth="1"/>
    <col min="26" max="26" width="14.88671875" customWidth="1"/>
    <col min="27" max="27" width="15.33203125" customWidth="1"/>
    <col min="28" max="28" width="68.109375" customWidth="1"/>
    <col min="29" max="29" width="1.33203125" customWidth="1"/>
  </cols>
  <sheetData>
    <row r="1" spans="1:34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34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34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34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34" s="51" customFormat="1" ht="12.75" customHeight="1" x14ac:dyDescent="0.25">
      <c r="A5" s="47"/>
      <c r="B5" s="47"/>
      <c r="C5" s="304" t="s">
        <v>136</v>
      </c>
      <c r="D5" s="47"/>
      <c r="E5" s="47"/>
      <c r="F5" s="47"/>
      <c r="G5" s="47"/>
      <c r="H5" s="48" t="s">
        <v>22</v>
      </c>
      <c r="I5" s="48" t="s">
        <v>5</v>
      </c>
      <c r="J5" s="307" t="s">
        <v>1</v>
      </c>
      <c r="K5" s="308"/>
      <c r="L5" s="309"/>
      <c r="M5" s="49" t="s">
        <v>25</v>
      </c>
      <c r="N5" s="50"/>
      <c r="O5" s="310" t="s">
        <v>8</v>
      </c>
      <c r="P5" s="311"/>
      <c r="Q5" s="311"/>
      <c r="R5" s="311"/>
      <c r="S5" s="311"/>
      <c r="T5" s="312"/>
      <c r="U5" s="49" t="s">
        <v>29</v>
      </c>
      <c r="V5" s="49" t="s">
        <v>9</v>
      </c>
      <c r="W5" s="48" t="s">
        <v>52</v>
      </c>
      <c r="X5" s="313" t="s">
        <v>2</v>
      </c>
      <c r="Y5" s="314"/>
      <c r="Z5" s="315"/>
      <c r="AA5" s="48" t="s">
        <v>0</v>
      </c>
      <c r="AB5" s="47"/>
    </row>
    <row r="6" spans="1:34" s="51" customFormat="1" ht="24" x14ac:dyDescent="0.25">
      <c r="A6" s="52" t="s">
        <v>20</v>
      </c>
      <c r="B6" s="46" t="s">
        <v>102</v>
      </c>
      <c r="C6" s="305"/>
      <c r="D6" s="52" t="s">
        <v>21</v>
      </c>
      <c r="E6" s="52"/>
      <c r="F6" s="52"/>
      <c r="G6" s="52"/>
      <c r="H6" s="53" t="s">
        <v>23</v>
      </c>
      <c r="I6" s="52" t="s">
        <v>24</v>
      </c>
      <c r="J6" s="48" t="s">
        <v>5</v>
      </c>
      <c r="K6" s="48" t="s">
        <v>58</v>
      </c>
      <c r="L6" s="48" t="s">
        <v>27</v>
      </c>
      <c r="M6" s="54" t="s">
        <v>26</v>
      </c>
      <c r="N6" s="50" t="s">
        <v>31</v>
      </c>
      <c r="O6" s="50" t="s">
        <v>11</v>
      </c>
      <c r="P6" s="50" t="s">
        <v>33</v>
      </c>
      <c r="Q6" s="50" t="s">
        <v>35</v>
      </c>
      <c r="R6" s="50" t="s">
        <v>36</v>
      </c>
      <c r="S6" s="86" t="s">
        <v>13</v>
      </c>
      <c r="T6" s="50" t="s">
        <v>9</v>
      </c>
      <c r="U6" s="54" t="s">
        <v>39</v>
      </c>
      <c r="V6" s="54" t="s">
        <v>40</v>
      </c>
      <c r="W6" s="52" t="s">
        <v>30</v>
      </c>
      <c r="X6" s="48" t="s">
        <v>451</v>
      </c>
      <c r="Y6" s="48" t="s">
        <v>56</v>
      </c>
      <c r="Z6" s="48" t="s">
        <v>6</v>
      </c>
      <c r="AA6" s="52" t="s">
        <v>3</v>
      </c>
      <c r="AB6" s="52" t="s">
        <v>57</v>
      </c>
    </row>
    <row r="7" spans="1:34" s="51" customFormat="1" ht="12" x14ac:dyDescent="0.25">
      <c r="A7" s="52"/>
      <c r="B7" s="52"/>
      <c r="C7" s="306"/>
      <c r="D7" s="52"/>
      <c r="E7" s="52"/>
      <c r="F7" s="52"/>
      <c r="G7" s="52"/>
      <c r="H7" s="52"/>
      <c r="I7" s="52"/>
      <c r="J7" s="52" t="s">
        <v>46</v>
      </c>
      <c r="K7" s="52" t="s">
        <v>59</v>
      </c>
      <c r="L7" s="52" t="s">
        <v>28</v>
      </c>
      <c r="M7" s="54" t="s">
        <v>42</v>
      </c>
      <c r="N7" s="49" t="s">
        <v>32</v>
      </c>
      <c r="O7" s="49" t="s">
        <v>12</v>
      </c>
      <c r="P7" s="49" t="s">
        <v>34</v>
      </c>
      <c r="Q7" s="49" t="s">
        <v>34</v>
      </c>
      <c r="R7" s="49" t="s">
        <v>37</v>
      </c>
      <c r="S7" s="87" t="s">
        <v>14</v>
      </c>
      <c r="T7" s="49" t="s">
        <v>38</v>
      </c>
      <c r="U7" s="54" t="s">
        <v>18</v>
      </c>
      <c r="V7" s="55" t="s">
        <v>137</v>
      </c>
      <c r="W7" s="52" t="s">
        <v>51</v>
      </c>
      <c r="X7" s="52"/>
      <c r="Y7" s="52"/>
      <c r="Z7" s="52" t="s">
        <v>43</v>
      </c>
      <c r="AA7" s="52" t="s">
        <v>4</v>
      </c>
      <c r="AB7" s="56"/>
    </row>
    <row r="8" spans="1:34" s="51" customFormat="1" ht="84.9" customHeight="1" x14ac:dyDescent="0.25">
      <c r="A8" s="37"/>
      <c r="B8" s="103" t="s">
        <v>102</v>
      </c>
      <c r="C8" s="103" t="s">
        <v>136</v>
      </c>
      <c r="D8" s="37" t="s">
        <v>164</v>
      </c>
      <c r="E8" s="37" t="s">
        <v>103</v>
      </c>
      <c r="F8" s="37" t="s">
        <v>340</v>
      </c>
      <c r="G8" s="37" t="s">
        <v>61</v>
      </c>
      <c r="H8" s="37"/>
      <c r="I8" s="37"/>
      <c r="J8" s="100">
        <f>SUM(J9:J9)</f>
        <v>7013</v>
      </c>
      <c r="K8" s="100">
        <f>SUM(K9:K9)</f>
        <v>0</v>
      </c>
      <c r="L8" s="100">
        <f>SUM(L9:L9)</f>
        <v>7013</v>
      </c>
      <c r="M8" s="37"/>
      <c r="N8" s="37"/>
      <c r="O8" s="37"/>
      <c r="P8" s="37"/>
      <c r="Q8" s="37"/>
      <c r="R8" s="37"/>
      <c r="S8" s="101"/>
      <c r="T8" s="37"/>
      <c r="U8" s="37"/>
      <c r="V8" s="37"/>
      <c r="W8" s="100">
        <f>SUM(W9:W9)</f>
        <v>0</v>
      </c>
      <c r="X8" s="100">
        <f>SUM(X9:X9)</f>
        <v>696.58</v>
      </c>
      <c r="Y8" s="100">
        <f>SUM(Y9:Y9)</f>
        <v>0</v>
      </c>
      <c r="Z8" s="100">
        <f>SUM(Z9:Z9)</f>
        <v>696.58</v>
      </c>
      <c r="AA8" s="100">
        <f>SUM(AA9:AA9)</f>
        <v>6316.42</v>
      </c>
      <c r="AB8" s="102"/>
    </row>
    <row r="9" spans="1:34" s="51" customFormat="1" ht="91.5" customHeight="1" x14ac:dyDescent="0.35">
      <c r="A9" s="37"/>
      <c r="B9" s="216">
        <v>275</v>
      </c>
      <c r="C9" s="217" t="s">
        <v>127</v>
      </c>
      <c r="D9" s="266" t="s">
        <v>315</v>
      </c>
      <c r="E9" s="218" t="s">
        <v>316</v>
      </c>
      <c r="F9" s="218" t="s">
        <v>388</v>
      </c>
      <c r="G9" s="219" t="s">
        <v>267</v>
      </c>
      <c r="H9" s="203">
        <v>15</v>
      </c>
      <c r="I9" s="203"/>
      <c r="J9" s="182">
        <v>7013</v>
      </c>
      <c r="K9" s="183">
        <v>0</v>
      </c>
      <c r="L9" s="184">
        <f>SUM(J9:K9)</f>
        <v>7013</v>
      </c>
      <c r="M9" s="185">
        <f>IF(J9/15&lt;=SMG,0,K9/2)</f>
        <v>0</v>
      </c>
      <c r="N9" s="185">
        <f>J9+M9</f>
        <v>7013</v>
      </c>
      <c r="O9" s="185">
        <f>VLOOKUP(N9,Tarifa1,1)</f>
        <v>6382.81</v>
      </c>
      <c r="P9" s="185">
        <f>N9-O9</f>
        <v>630.1899999999996</v>
      </c>
      <c r="Q9" s="186">
        <f>VLOOKUP(N9,Tarifa1,3)</f>
        <v>0.1792</v>
      </c>
      <c r="R9" s="185">
        <f>P9*Q9</f>
        <v>112.93004799999993</v>
      </c>
      <c r="S9" s="187">
        <f>VLOOKUP(N9,Tarifa1,2)</f>
        <v>583.65</v>
      </c>
      <c r="T9" s="185">
        <f>R9+S9</f>
        <v>696.58004799999992</v>
      </c>
      <c r="U9" s="185">
        <f>VLOOKUP(N9,Credito1,2)</f>
        <v>0</v>
      </c>
      <c r="V9" s="185">
        <f>ROUND(T9-U9,2)</f>
        <v>696.58</v>
      </c>
      <c r="W9" s="184">
        <f>-IF(V9&gt;0,0,V9)</f>
        <v>0</v>
      </c>
      <c r="X9" s="184">
        <f>IF(J9/15&lt;=SMG,0,IF(V9&lt;0,0,V9))</f>
        <v>696.58</v>
      </c>
      <c r="Y9" s="188">
        <v>0</v>
      </c>
      <c r="Z9" s="184">
        <f>SUM(X9:Y9)</f>
        <v>696.58</v>
      </c>
      <c r="AA9" s="184">
        <f>L9+W9-Z9</f>
        <v>6316.42</v>
      </c>
      <c r="AB9" s="170"/>
    </row>
    <row r="10" spans="1:34" s="51" customFormat="1" ht="91.5" customHeight="1" x14ac:dyDescent="0.3">
      <c r="A10" s="37"/>
      <c r="B10" s="176" t="s">
        <v>180</v>
      </c>
      <c r="C10" s="177" t="s">
        <v>127</v>
      </c>
      <c r="D10" s="267" t="s">
        <v>156</v>
      </c>
      <c r="E10" s="190" t="s">
        <v>172</v>
      </c>
      <c r="F10" s="234" t="s">
        <v>357</v>
      </c>
      <c r="G10" s="179" t="s">
        <v>419</v>
      </c>
      <c r="H10" s="180">
        <v>15</v>
      </c>
      <c r="I10" s="181">
        <v>341.11</v>
      </c>
      <c r="J10" s="182">
        <v>4814</v>
      </c>
      <c r="K10" s="183">
        <v>0</v>
      </c>
      <c r="L10" s="184">
        <f>SUM(J10:K10)</f>
        <v>4814</v>
      </c>
      <c r="M10" s="185">
        <f>IF(J10/15&lt;=SMG,0,K10/2)</f>
        <v>0</v>
      </c>
      <c r="N10" s="185">
        <f>J10+M10</f>
        <v>4814</v>
      </c>
      <c r="O10" s="185">
        <f>VLOOKUP(N10,Tarifa1,1)</f>
        <v>3124.36</v>
      </c>
      <c r="P10" s="185">
        <f>N10-O10</f>
        <v>1689.6399999999999</v>
      </c>
      <c r="Q10" s="186">
        <f>VLOOKUP(N10,Tarifa1,3)</f>
        <v>0.10879999999999999</v>
      </c>
      <c r="R10" s="185">
        <f>P10*Q10</f>
        <v>183.83283199999997</v>
      </c>
      <c r="S10" s="187">
        <f>VLOOKUP(N10,Tarifa1,2)</f>
        <v>183.45</v>
      </c>
      <c r="T10" s="185">
        <f>R10+S10</f>
        <v>367.28283199999998</v>
      </c>
      <c r="U10" s="185">
        <f>VLOOKUP(N10,Credito1,2)</f>
        <v>0</v>
      </c>
      <c r="V10" s="185">
        <f>ROUND(T10-U10,2)</f>
        <v>367.28</v>
      </c>
      <c r="W10" s="184">
        <f>-IF(V10&gt;0,0,V10)</f>
        <v>0</v>
      </c>
      <c r="X10" s="184">
        <f>IF(J10/15&lt;=SMG,0,IF(V10&lt;0,0,V10))</f>
        <v>367.28</v>
      </c>
      <c r="Y10" s="188">
        <v>0</v>
      </c>
      <c r="Z10" s="184">
        <f>SUM(X10:Y10)</f>
        <v>367.28</v>
      </c>
      <c r="AA10" s="184">
        <f>L10+W10-Z10</f>
        <v>4446.72</v>
      </c>
      <c r="AB10" s="170"/>
    </row>
    <row r="11" spans="1:34" s="51" customFormat="1" ht="84.9" customHeight="1" x14ac:dyDescent="0.25">
      <c r="A11" s="45"/>
      <c r="B11" s="103" t="s">
        <v>102</v>
      </c>
      <c r="C11" s="103" t="s">
        <v>136</v>
      </c>
      <c r="D11" s="37" t="s">
        <v>229</v>
      </c>
      <c r="E11" s="37" t="s">
        <v>103</v>
      </c>
      <c r="F11" s="37"/>
      <c r="G11" s="37" t="s">
        <v>61</v>
      </c>
      <c r="H11" s="37"/>
      <c r="I11" s="37"/>
      <c r="J11" s="100">
        <f>SUM(J12)</f>
        <v>7013</v>
      </c>
      <c r="K11" s="100">
        <f>SUM(K12)</f>
        <v>0</v>
      </c>
      <c r="L11" s="100">
        <f>SUM(L12)</f>
        <v>7013</v>
      </c>
      <c r="M11" s="37"/>
      <c r="N11" s="37"/>
      <c r="O11" s="37"/>
      <c r="P11" s="37"/>
      <c r="Q11" s="37"/>
      <c r="R11" s="37"/>
      <c r="S11" s="101"/>
      <c r="T11" s="37"/>
      <c r="U11" s="37"/>
      <c r="V11" s="37"/>
      <c r="W11" s="100">
        <f>SUM(W12)</f>
        <v>0</v>
      </c>
      <c r="X11" s="100">
        <f>SUM(X12)</f>
        <v>696.58</v>
      </c>
      <c r="Y11" s="100">
        <f>SUM(Y12)</f>
        <v>0</v>
      </c>
      <c r="Z11" s="100">
        <f>SUM(Z12)</f>
        <v>696.58</v>
      </c>
      <c r="AA11" s="100">
        <f>SUM(AA12)</f>
        <v>6316.42</v>
      </c>
      <c r="AB11" s="102"/>
      <c r="AH11" s="59"/>
    </row>
    <row r="12" spans="1:34" s="51" customFormat="1" ht="84.9" customHeight="1" x14ac:dyDescent="0.3">
      <c r="A12" s="45"/>
      <c r="B12" s="176" t="s">
        <v>230</v>
      </c>
      <c r="C12" s="177" t="s">
        <v>127</v>
      </c>
      <c r="D12" s="267" t="s">
        <v>227</v>
      </c>
      <c r="E12" s="190" t="s">
        <v>228</v>
      </c>
      <c r="F12" s="190" t="s">
        <v>377</v>
      </c>
      <c r="G12" s="179" t="s">
        <v>326</v>
      </c>
      <c r="H12" s="180">
        <v>15</v>
      </c>
      <c r="I12" s="181">
        <f>J12/H12</f>
        <v>467.53333333333336</v>
      </c>
      <c r="J12" s="182">
        <v>7013</v>
      </c>
      <c r="K12" s="183">
        <v>0</v>
      </c>
      <c r="L12" s="184">
        <f>SUM(J12:K12)</f>
        <v>7013</v>
      </c>
      <c r="M12" s="185">
        <f>IF(J12/15&lt;=SMG,0,K12/2)</f>
        <v>0</v>
      </c>
      <c r="N12" s="185">
        <f>J12+M12</f>
        <v>7013</v>
      </c>
      <c r="O12" s="185">
        <f>VLOOKUP(N12,Tarifa1,1)</f>
        <v>6382.81</v>
      </c>
      <c r="P12" s="185">
        <f>N12-O12</f>
        <v>630.1899999999996</v>
      </c>
      <c r="Q12" s="186">
        <f>VLOOKUP(N12,Tarifa1,3)</f>
        <v>0.1792</v>
      </c>
      <c r="R12" s="185">
        <f>P12*Q12</f>
        <v>112.93004799999993</v>
      </c>
      <c r="S12" s="187">
        <f>VLOOKUP(N12,Tarifa1,2)</f>
        <v>583.65</v>
      </c>
      <c r="T12" s="185">
        <f>R12+S12</f>
        <v>696.58004799999992</v>
      </c>
      <c r="U12" s="185">
        <f>VLOOKUP(N12,Credito1,2)</f>
        <v>0</v>
      </c>
      <c r="V12" s="185">
        <f>ROUND(T12-U12,2)</f>
        <v>696.58</v>
      </c>
      <c r="W12" s="184">
        <f>-IF(V12&gt;0,0,V12)</f>
        <v>0</v>
      </c>
      <c r="X12" s="184">
        <f>IF(J12/15&lt;=SMG,0,IF(V12&lt;0,0,V12))</f>
        <v>696.58</v>
      </c>
      <c r="Y12" s="188">
        <v>0</v>
      </c>
      <c r="Z12" s="184">
        <f>SUM(X12:Y12)</f>
        <v>696.58</v>
      </c>
      <c r="AA12" s="184">
        <f>L12+W12-Z12</f>
        <v>6316.42</v>
      </c>
      <c r="AB12" s="93"/>
      <c r="AH12" s="59"/>
    </row>
    <row r="13" spans="1:34" s="51" customFormat="1" ht="84.9" customHeight="1" x14ac:dyDescent="0.25">
      <c r="A13" s="45"/>
      <c r="B13" s="103" t="s">
        <v>102</v>
      </c>
      <c r="C13" s="103" t="s">
        <v>136</v>
      </c>
      <c r="D13" s="37" t="s">
        <v>139</v>
      </c>
      <c r="E13" s="37" t="s">
        <v>103</v>
      </c>
      <c r="F13" s="37"/>
      <c r="G13" s="37" t="s">
        <v>61</v>
      </c>
      <c r="H13" s="37"/>
      <c r="I13" s="37"/>
      <c r="J13" s="100">
        <f>SUM(J14:J15)</f>
        <v>10858</v>
      </c>
      <c r="K13" s="100">
        <f>SUM(K14:K15)</f>
        <v>0</v>
      </c>
      <c r="L13" s="100">
        <f>SUM(L14:L15)</f>
        <v>10858</v>
      </c>
      <c r="M13" s="37"/>
      <c r="N13" s="37"/>
      <c r="O13" s="37"/>
      <c r="P13" s="37"/>
      <c r="Q13" s="37"/>
      <c r="R13" s="37"/>
      <c r="S13" s="101"/>
      <c r="T13" s="37"/>
      <c r="U13" s="37"/>
      <c r="V13" s="37"/>
      <c r="W13" s="100">
        <f>SUM(W14:W15)</f>
        <v>0</v>
      </c>
      <c r="X13" s="100">
        <f>SUM(X14:X15)</f>
        <v>948.57999999999993</v>
      </c>
      <c r="Y13" s="100">
        <f>SUM(Y14:Y15)</f>
        <v>251.22</v>
      </c>
      <c r="Z13" s="100">
        <f>SUM(Z14:Z15)</f>
        <v>1199.8</v>
      </c>
      <c r="AA13" s="100">
        <f>SUM(AA14:AA15)</f>
        <v>9658.2000000000007</v>
      </c>
      <c r="AB13" s="102"/>
      <c r="AH13" s="59"/>
    </row>
    <row r="14" spans="1:34" s="51" customFormat="1" ht="84.9" customHeight="1" x14ac:dyDescent="0.3">
      <c r="A14" s="45" t="s">
        <v>88</v>
      </c>
      <c r="B14" s="177" t="s">
        <v>125</v>
      </c>
      <c r="C14" s="177" t="s">
        <v>127</v>
      </c>
      <c r="D14" s="267" t="s">
        <v>94</v>
      </c>
      <c r="E14" s="190" t="s">
        <v>126</v>
      </c>
      <c r="F14" s="190" t="s">
        <v>351</v>
      </c>
      <c r="G14" s="179" t="s">
        <v>95</v>
      </c>
      <c r="H14" s="180">
        <v>15</v>
      </c>
      <c r="I14" s="181">
        <f t="shared" ref="I14:I33" si="0">J14/H14</f>
        <v>458.2</v>
      </c>
      <c r="J14" s="182">
        <v>6873</v>
      </c>
      <c r="K14" s="183">
        <v>0</v>
      </c>
      <c r="L14" s="184">
        <f>SUM(J14:K14)</f>
        <v>6873</v>
      </c>
      <c r="M14" s="185">
        <f>IF(J14/15&lt;=SMG,0,K14/2)</f>
        <v>0</v>
      </c>
      <c r="N14" s="185">
        <f>J14+M14</f>
        <v>6873</v>
      </c>
      <c r="O14" s="185">
        <f>VLOOKUP(N14,Tarifa1,1)</f>
        <v>6382.81</v>
      </c>
      <c r="P14" s="185">
        <f>N14-O14</f>
        <v>490.1899999999996</v>
      </c>
      <c r="Q14" s="186">
        <f>VLOOKUP(N14,Tarifa1,3)</f>
        <v>0.1792</v>
      </c>
      <c r="R14" s="185">
        <f>P14*Q14</f>
        <v>87.842047999999934</v>
      </c>
      <c r="S14" s="187">
        <f>VLOOKUP(N14,Tarifa1,2)</f>
        <v>583.65</v>
      </c>
      <c r="T14" s="185">
        <f>R14+S14</f>
        <v>671.49204799999995</v>
      </c>
      <c r="U14" s="185">
        <f>VLOOKUP(N14,Credito1,2)</f>
        <v>0</v>
      </c>
      <c r="V14" s="185">
        <f>ROUND(T14-U14,2)</f>
        <v>671.49</v>
      </c>
      <c r="W14" s="184">
        <f>-IF(V14&gt;0,0,V14)</f>
        <v>0</v>
      </c>
      <c r="X14" s="184">
        <f>IF(J14/15&lt;=SMG,0,IF(V14&lt;0,0,V14))</f>
        <v>671.49</v>
      </c>
      <c r="Y14" s="188">
        <v>0</v>
      </c>
      <c r="Z14" s="184">
        <f>SUM(X14:Y14)</f>
        <v>671.49</v>
      </c>
      <c r="AA14" s="184">
        <f>L14+W14-Z14</f>
        <v>6201.51</v>
      </c>
      <c r="AB14" s="93"/>
      <c r="AH14" s="64"/>
    </row>
    <row r="15" spans="1:34" s="51" customFormat="1" ht="84.9" customHeight="1" x14ac:dyDescent="0.3">
      <c r="A15" s="45"/>
      <c r="B15" s="176" t="s">
        <v>211</v>
      </c>
      <c r="C15" s="177" t="s">
        <v>127</v>
      </c>
      <c r="D15" s="267" t="s">
        <v>191</v>
      </c>
      <c r="E15" s="190" t="s">
        <v>203</v>
      </c>
      <c r="F15" s="190" t="s">
        <v>441</v>
      </c>
      <c r="G15" s="179" t="s">
        <v>192</v>
      </c>
      <c r="H15" s="180">
        <v>15</v>
      </c>
      <c r="I15" s="181"/>
      <c r="J15" s="182">
        <v>3985</v>
      </c>
      <c r="K15" s="183">
        <v>0</v>
      </c>
      <c r="L15" s="184">
        <f>SUM(J15:K15)</f>
        <v>3985</v>
      </c>
      <c r="M15" s="185">
        <f>IF(J15/15&lt;=SMG,0,K15/2)</f>
        <v>0</v>
      </c>
      <c r="N15" s="185">
        <f>J15+M15</f>
        <v>3985</v>
      </c>
      <c r="O15" s="185">
        <f>VLOOKUP(N15,Tarifa1,1)</f>
        <v>3124.36</v>
      </c>
      <c r="P15" s="185">
        <f>N15-O15</f>
        <v>860.63999999999987</v>
      </c>
      <c r="Q15" s="186">
        <f>VLOOKUP(N15,Tarifa1,3)</f>
        <v>0.10879999999999999</v>
      </c>
      <c r="R15" s="185">
        <f>P15*Q15</f>
        <v>93.637631999999982</v>
      </c>
      <c r="S15" s="187">
        <f>VLOOKUP(N15,Tarifa1,2)</f>
        <v>183.45</v>
      </c>
      <c r="T15" s="185">
        <f>R15+S15</f>
        <v>277.08763199999999</v>
      </c>
      <c r="U15" s="185">
        <f>VLOOKUP(N15,Credito1,2)</f>
        <v>0</v>
      </c>
      <c r="V15" s="185">
        <f>ROUND(T15-U15,2)</f>
        <v>277.08999999999997</v>
      </c>
      <c r="W15" s="184">
        <f>-IF(V15&gt;0,0,V15)</f>
        <v>0</v>
      </c>
      <c r="X15" s="184">
        <f>IF(J15/15&lt;=SMG,0,IF(V15&lt;0,0,V15))</f>
        <v>277.08999999999997</v>
      </c>
      <c r="Y15" s="188">
        <v>251.22</v>
      </c>
      <c r="Z15" s="184">
        <f>SUM(X15:Y15)</f>
        <v>528.30999999999995</v>
      </c>
      <c r="AA15" s="184">
        <f>L15+W15-Z15</f>
        <v>3456.69</v>
      </c>
      <c r="AB15" s="117"/>
      <c r="AH15" s="64"/>
    </row>
    <row r="16" spans="1:34" s="51" customFormat="1" ht="51.75" customHeight="1" x14ac:dyDescent="0.25">
      <c r="A16" s="45"/>
      <c r="B16" s="103" t="s">
        <v>102</v>
      </c>
      <c r="C16" s="103" t="s">
        <v>136</v>
      </c>
      <c r="D16" s="37" t="s">
        <v>140</v>
      </c>
      <c r="E16" s="37" t="s">
        <v>103</v>
      </c>
      <c r="F16" s="37"/>
      <c r="G16" s="37" t="s">
        <v>61</v>
      </c>
      <c r="H16" s="37"/>
      <c r="I16" s="37"/>
      <c r="J16" s="100">
        <f>SUM(J17:J19)</f>
        <v>16828</v>
      </c>
      <c r="K16" s="100">
        <f>SUM(K17:K19)</f>
        <v>265.67</v>
      </c>
      <c r="L16" s="100">
        <f>SUM(L17:L19)</f>
        <v>17093.669999999998</v>
      </c>
      <c r="M16" s="37"/>
      <c r="N16" s="37"/>
      <c r="O16" s="37"/>
      <c r="P16" s="37"/>
      <c r="Q16" s="37"/>
      <c r="R16" s="37"/>
      <c r="S16" s="101"/>
      <c r="T16" s="37"/>
      <c r="U16" s="37"/>
      <c r="V16" s="37"/>
      <c r="W16" s="100">
        <f>SUM(W17:W19)</f>
        <v>0</v>
      </c>
      <c r="X16" s="100">
        <f>SUM(X17:X19)</f>
        <v>1497.69</v>
      </c>
      <c r="Y16" s="100">
        <f>SUM(Y17:Y19)</f>
        <v>1500</v>
      </c>
      <c r="Z16" s="100">
        <f>SUM(Z17:Z19)</f>
        <v>2997.69</v>
      </c>
      <c r="AA16" s="100">
        <f>SUM(AA17:AA19)</f>
        <v>14095.98</v>
      </c>
      <c r="AB16" s="102"/>
      <c r="AH16" s="64"/>
    </row>
    <row r="17" spans="1:34" s="51" customFormat="1" ht="84.9" customHeight="1" x14ac:dyDescent="0.35">
      <c r="A17" s="45" t="s">
        <v>89</v>
      </c>
      <c r="B17" s="220">
        <v>185</v>
      </c>
      <c r="C17" s="177" t="s">
        <v>127</v>
      </c>
      <c r="D17" s="268" t="s">
        <v>169</v>
      </c>
      <c r="E17" s="221" t="s">
        <v>179</v>
      </c>
      <c r="F17" s="221" t="s">
        <v>366</v>
      </c>
      <c r="G17" s="179" t="s">
        <v>96</v>
      </c>
      <c r="H17" s="180">
        <v>15</v>
      </c>
      <c r="I17" s="181">
        <f t="shared" si="0"/>
        <v>497.6</v>
      </c>
      <c r="J17" s="182">
        <v>7464</v>
      </c>
      <c r="K17" s="183">
        <v>0</v>
      </c>
      <c r="L17" s="184">
        <f t="shared" ref="L17" si="1">SUM(J17:K17)</f>
        <v>7464</v>
      </c>
      <c r="M17" s="185">
        <f>IF(J17/15&lt;=SMG,0,K17/2)</f>
        <v>0</v>
      </c>
      <c r="N17" s="185">
        <f>J17+M17</f>
        <v>7464</v>
      </c>
      <c r="O17" s="185">
        <f>VLOOKUP(N17,Tarifa1,1)</f>
        <v>6382.81</v>
      </c>
      <c r="P17" s="185">
        <f>N17-O17</f>
        <v>1081.1899999999996</v>
      </c>
      <c r="Q17" s="186">
        <f>VLOOKUP(N17,Tarifa1,3)</f>
        <v>0.1792</v>
      </c>
      <c r="R17" s="185">
        <f>P17*Q17</f>
        <v>193.74924799999994</v>
      </c>
      <c r="S17" s="187">
        <f>VLOOKUP(N17,Tarifa1,2)</f>
        <v>583.65</v>
      </c>
      <c r="T17" s="185">
        <f>R17+S17</f>
        <v>777.39924799999994</v>
      </c>
      <c r="U17" s="185">
        <f>VLOOKUP(N17,Credito1,2)</f>
        <v>0</v>
      </c>
      <c r="V17" s="185">
        <f>ROUND(T17-U17,2)</f>
        <v>777.4</v>
      </c>
      <c r="W17" s="184">
        <f>-IF(V17&gt;0,0,V17)</f>
        <v>0</v>
      </c>
      <c r="X17" s="184">
        <f>IF(J17/15&lt;=SMG,0,IF(V17&lt;0,0,V17))</f>
        <v>777.4</v>
      </c>
      <c r="Y17" s="188">
        <v>0</v>
      </c>
      <c r="Z17" s="184">
        <f t="shared" ref="Z17" si="2">SUM(X17:Y17)</f>
        <v>777.4</v>
      </c>
      <c r="AA17" s="184">
        <f t="shared" ref="AA17" si="3">L17+W17-Z17</f>
        <v>6686.6</v>
      </c>
      <c r="AB17" s="93"/>
      <c r="AH17" s="64"/>
    </row>
    <row r="18" spans="1:34" s="51" customFormat="1" ht="84.9" customHeight="1" x14ac:dyDescent="0.35">
      <c r="A18" s="45"/>
      <c r="B18" s="176" t="s">
        <v>459</v>
      </c>
      <c r="C18" s="177" t="s">
        <v>127</v>
      </c>
      <c r="D18" s="265" t="s">
        <v>456</v>
      </c>
      <c r="E18" s="199" t="s">
        <v>457</v>
      </c>
      <c r="F18" s="199" t="s">
        <v>458</v>
      </c>
      <c r="G18" s="179" t="s">
        <v>162</v>
      </c>
      <c r="H18" s="180">
        <v>15</v>
      </c>
      <c r="I18" s="181">
        <f>J18/H18</f>
        <v>358.6</v>
      </c>
      <c r="J18" s="182">
        <v>5379</v>
      </c>
      <c r="K18" s="183">
        <v>0</v>
      </c>
      <c r="L18" s="184">
        <f>SUM(J18:K18)</f>
        <v>5379</v>
      </c>
      <c r="M18" s="185">
        <f>IF(J18/15&lt;=SMG,0,K18/2)</f>
        <v>0</v>
      </c>
      <c r="N18" s="185">
        <f t="shared" ref="N18:N19" si="4">J18+M18</f>
        <v>5379</v>
      </c>
      <c r="O18" s="185">
        <f>VLOOKUP(N18,Tarifa1,1)</f>
        <v>3124.36</v>
      </c>
      <c r="P18" s="185">
        <f t="shared" ref="P18:P19" si="5">N18-O18</f>
        <v>2254.64</v>
      </c>
      <c r="Q18" s="186">
        <f>VLOOKUP(N18,Tarifa1,3)</f>
        <v>0.10879999999999999</v>
      </c>
      <c r="R18" s="185">
        <f t="shared" ref="R18:R19" si="6">P18*Q18</f>
        <v>245.30483199999998</v>
      </c>
      <c r="S18" s="187">
        <f>VLOOKUP(N18,Tarifa1,2)</f>
        <v>183.45</v>
      </c>
      <c r="T18" s="185">
        <f t="shared" ref="T18:T19" si="7">R18+S18</f>
        <v>428.75483199999996</v>
      </c>
      <c r="U18" s="185">
        <f>VLOOKUP(N18,Credito1,2)</f>
        <v>0</v>
      </c>
      <c r="V18" s="185">
        <f t="shared" ref="V18:V19" si="8">ROUND(T18-U18,2)</f>
        <v>428.75</v>
      </c>
      <c r="W18" s="184">
        <f t="shared" ref="W18:W21" si="9">-IF(V18&gt;0,0,V18)</f>
        <v>0</v>
      </c>
      <c r="X18" s="184">
        <f>IF(J18/15&lt;=SMG,0,IF(V18&lt;0,0,V18))</f>
        <v>428.75</v>
      </c>
      <c r="Y18" s="188">
        <v>0</v>
      </c>
      <c r="Z18" s="184">
        <f>SUM(X18:Y18)</f>
        <v>428.75</v>
      </c>
      <c r="AA18" s="184">
        <f>L18+W18-Z18</f>
        <v>4950.25</v>
      </c>
      <c r="AB18" s="93"/>
      <c r="AH18" s="64"/>
    </row>
    <row r="19" spans="1:34" s="51" customFormat="1" ht="84.9" customHeight="1" x14ac:dyDescent="0.35">
      <c r="A19" s="45"/>
      <c r="B19" s="176" t="s">
        <v>221</v>
      </c>
      <c r="C19" s="177" t="s">
        <v>127</v>
      </c>
      <c r="D19" s="269" t="s">
        <v>217</v>
      </c>
      <c r="E19" s="199" t="s">
        <v>219</v>
      </c>
      <c r="F19" s="199" t="s">
        <v>375</v>
      </c>
      <c r="G19" s="179" t="s">
        <v>218</v>
      </c>
      <c r="H19" s="180">
        <v>15</v>
      </c>
      <c r="I19" s="181"/>
      <c r="J19" s="182">
        <v>3985</v>
      </c>
      <c r="K19" s="183">
        <v>265.67</v>
      </c>
      <c r="L19" s="184">
        <f>SUM(J19:K19)</f>
        <v>4250.67</v>
      </c>
      <c r="M19" s="185">
        <f>IF(J19/15&lt;=SMG,0,K19/2)</f>
        <v>132.83500000000001</v>
      </c>
      <c r="N19" s="185">
        <f t="shared" si="4"/>
        <v>4117.835</v>
      </c>
      <c r="O19" s="185">
        <f>VLOOKUP(N19,Tarifa1,1)</f>
        <v>3124.36</v>
      </c>
      <c r="P19" s="185">
        <f t="shared" si="5"/>
        <v>993.47499999999991</v>
      </c>
      <c r="Q19" s="186">
        <f>VLOOKUP(N19,Tarifa1,3)</f>
        <v>0.10879999999999999</v>
      </c>
      <c r="R19" s="185">
        <f t="shared" si="6"/>
        <v>108.09007999999999</v>
      </c>
      <c r="S19" s="187">
        <f>VLOOKUP(N19,Tarifa1,2)</f>
        <v>183.45</v>
      </c>
      <c r="T19" s="185">
        <f t="shared" si="7"/>
        <v>291.54007999999999</v>
      </c>
      <c r="U19" s="185">
        <f>VLOOKUP(N19,Credito1,2)</f>
        <v>0</v>
      </c>
      <c r="V19" s="185">
        <f t="shared" si="8"/>
        <v>291.54000000000002</v>
      </c>
      <c r="W19" s="184">
        <f t="shared" si="9"/>
        <v>0</v>
      </c>
      <c r="X19" s="184">
        <f>IF(J19/15&lt;=SMG,0,IF(V19&lt;0,0,V19))</f>
        <v>291.54000000000002</v>
      </c>
      <c r="Y19" s="188">
        <v>1500</v>
      </c>
      <c r="Z19" s="184">
        <f>SUM(X19:Y19)</f>
        <v>1791.54</v>
      </c>
      <c r="AA19" s="184">
        <f>L19+W19-Z19</f>
        <v>2459.13</v>
      </c>
      <c r="AB19" s="93"/>
      <c r="AH19" s="64"/>
    </row>
    <row r="20" spans="1:34" s="51" customFormat="1" ht="60" customHeight="1" x14ac:dyDescent="0.25">
      <c r="A20" s="45"/>
      <c r="B20" s="103" t="s">
        <v>102</v>
      </c>
      <c r="C20" s="103" t="s">
        <v>136</v>
      </c>
      <c r="D20" s="37" t="s">
        <v>440</v>
      </c>
      <c r="E20" s="37" t="s">
        <v>103</v>
      </c>
      <c r="F20" s="37"/>
      <c r="G20" s="37" t="s">
        <v>61</v>
      </c>
      <c r="H20" s="37"/>
      <c r="I20" s="37"/>
      <c r="J20" s="100">
        <f>SUM(J21:J23)</f>
        <v>7013</v>
      </c>
      <c r="K20" s="100">
        <f>SUM(K21:K23)</f>
        <v>0</v>
      </c>
      <c r="L20" s="100">
        <f>SUM(L21:L23)</f>
        <v>7013</v>
      </c>
      <c r="M20" s="37"/>
      <c r="N20" s="37"/>
      <c r="O20" s="37"/>
      <c r="P20" s="37"/>
      <c r="Q20" s="37"/>
      <c r="R20" s="37"/>
      <c r="S20" s="101"/>
      <c r="T20" s="37"/>
      <c r="U20" s="37"/>
      <c r="V20" s="37"/>
      <c r="W20" s="100">
        <f>SUM(W21:W23)</f>
        <v>0</v>
      </c>
      <c r="X20" s="100">
        <f>SUM(X21:X23)</f>
        <v>696.58</v>
      </c>
      <c r="Y20" s="100">
        <f>SUM(Y21:Y23)</f>
        <v>0</v>
      </c>
      <c r="Z20" s="100">
        <f>SUM(Z21:Z23)</f>
        <v>696.58</v>
      </c>
      <c r="AA20" s="100">
        <f>SUM(AA21:AA23)</f>
        <v>6316.42</v>
      </c>
      <c r="AB20" s="102"/>
      <c r="AH20" s="64"/>
    </row>
    <row r="21" spans="1:34" s="51" customFormat="1" ht="84.9" customHeight="1" x14ac:dyDescent="0.35">
      <c r="A21" s="45"/>
      <c r="B21" s="176" t="s">
        <v>435</v>
      </c>
      <c r="C21" s="177" t="s">
        <v>127</v>
      </c>
      <c r="D21" s="265" t="s">
        <v>436</v>
      </c>
      <c r="E21" s="199" t="s">
        <v>437</v>
      </c>
      <c r="F21" s="199" t="s">
        <v>438</v>
      </c>
      <c r="G21" s="179" t="s">
        <v>439</v>
      </c>
      <c r="H21" s="180"/>
      <c r="I21" s="181"/>
      <c r="J21" s="182">
        <v>7013</v>
      </c>
      <c r="K21" s="183">
        <v>0</v>
      </c>
      <c r="L21" s="184">
        <f>SUM(J21:K21)</f>
        <v>7013</v>
      </c>
      <c r="M21" s="185">
        <f>IF(J21/15&lt;=SMG,0,K21/2)</f>
        <v>0</v>
      </c>
      <c r="N21" s="185">
        <f t="shared" ref="N21" si="10">J21+M21</f>
        <v>7013</v>
      </c>
      <c r="O21" s="185">
        <f>VLOOKUP(N21,Tarifa1,1)</f>
        <v>6382.81</v>
      </c>
      <c r="P21" s="185">
        <f t="shared" ref="P21" si="11">N21-O21</f>
        <v>630.1899999999996</v>
      </c>
      <c r="Q21" s="186">
        <f>VLOOKUP(N21,Tarifa1,3)</f>
        <v>0.1792</v>
      </c>
      <c r="R21" s="185">
        <f t="shared" ref="R21" si="12">P21*Q21</f>
        <v>112.93004799999993</v>
      </c>
      <c r="S21" s="187">
        <f>VLOOKUP(N21,Tarifa1,2)</f>
        <v>583.65</v>
      </c>
      <c r="T21" s="185">
        <f t="shared" ref="T21" si="13">R21+S21</f>
        <v>696.58004799999992</v>
      </c>
      <c r="U21" s="185">
        <f>VLOOKUP(N21,Credito1,2)</f>
        <v>0</v>
      </c>
      <c r="V21" s="185">
        <f t="shared" ref="V21" si="14">ROUND(T21-U21,2)</f>
        <v>696.58</v>
      </c>
      <c r="W21" s="184">
        <f t="shared" si="9"/>
        <v>0</v>
      </c>
      <c r="X21" s="184">
        <f>IF(J21/15&lt;=SMG,0,IF(V21&lt;0,0,V21))</f>
        <v>696.58</v>
      </c>
      <c r="Y21" s="188">
        <v>0</v>
      </c>
      <c r="Z21" s="184">
        <f>SUM(X21:Y21)</f>
        <v>696.58</v>
      </c>
      <c r="AA21" s="184">
        <f>L21+W21-Z21</f>
        <v>6316.42</v>
      </c>
      <c r="AB21" s="93"/>
      <c r="AH21" s="64"/>
    </row>
    <row r="22" spans="1:34" s="51" customFormat="1" ht="24" customHeight="1" x14ac:dyDescent="0.3">
      <c r="A22" s="45"/>
      <c r="B22" s="251"/>
      <c r="C22" s="229"/>
      <c r="D22" s="252"/>
      <c r="E22" s="252"/>
      <c r="F22" s="252"/>
      <c r="G22" s="239"/>
      <c r="H22" s="240"/>
      <c r="I22" s="241"/>
      <c r="J22" s="242"/>
      <c r="K22" s="243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9"/>
      <c r="Z22" s="244"/>
      <c r="AA22" s="244"/>
      <c r="AB22" s="94"/>
      <c r="AH22" s="64"/>
    </row>
    <row r="23" spans="1:34" s="51" customFormat="1" ht="24" customHeight="1" x14ac:dyDescent="0.3">
      <c r="A23" s="45"/>
      <c r="B23" s="251"/>
      <c r="C23" s="229"/>
      <c r="D23" s="252"/>
      <c r="E23" s="252"/>
      <c r="F23" s="252"/>
      <c r="G23" s="239"/>
      <c r="H23" s="240"/>
      <c r="I23" s="241"/>
      <c r="J23" s="242"/>
      <c r="K23" s="243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9"/>
      <c r="Z23" s="244"/>
      <c r="AA23" s="244"/>
      <c r="AB23" s="94"/>
      <c r="AH23" s="64"/>
    </row>
    <row r="24" spans="1:34" s="51" customFormat="1" ht="24" customHeight="1" x14ac:dyDescent="0.3">
      <c r="A24" s="45"/>
      <c r="B24" s="251"/>
      <c r="C24" s="229"/>
      <c r="D24" s="252"/>
      <c r="E24" s="252"/>
      <c r="F24" s="252"/>
      <c r="G24" s="239"/>
      <c r="H24" s="240"/>
      <c r="I24" s="241"/>
      <c r="J24" s="242"/>
      <c r="K24" s="243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9"/>
      <c r="Z24" s="244"/>
      <c r="AA24" s="244"/>
      <c r="AB24" s="94"/>
      <c r="AH24" s="64"/>
    </row>
    <row r="25" spans="1:34" s="51" customFormat="1" ht="24" customHeight="1" x14ac:dyDescent="0.3">
      <c r="A25" s="45"/>
      <c r="B25" s="251"/>
      <c r="C25" s="229"/>
      <c r="D25" s="252"/>
      <c r="E25" s="252"/>
      <c r="F25" s="252"/>
      <c r="G25" s="239"/>
      <c r="H25" s="240"/>
      <c r="I25" s="241"/>
      <c r="J25" s="242"/>
      <c r="K25" s="243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9"/>
      <c r="Z25" s="244"/>
      <c r="AA25" s="244"/>
      <c r="AB25" s="94"/>
      <c r="AH25" s="64"/>
    </row>
    <row r="26" spans="1:34" s="51" customFormat="1" ht="24" customHeight="1" x14ac:dyDescent="0.3">
      <c r="A26" s="45"/>
      <c r="B26" s="251"/>
      <c r="C26" s="229"/>
      <c r="D26" s="252"/>
      <c r="E26" s="252"/>
      <c r="F26" s="252"/>
      <c r="G26" s="239"/>
      <c r="H26" s="240"/>
      <c r="I26" s="241"/>
      <c r="J26" s="242"/>
      <c r="K26" s="243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9"/>
      <c r="Z26" s="244"/>
      <c r="AA26" s="244"/>
      <c r="AB26" s="94"/>
      <c r="AH26" s="64"/>
    </row>
    <row r="27" spans="1:34" s="51" customFormat="1" ht="24" customHeight="1" x14ac:dyDescent="0.3">
      <c r="A27" s="45"/>
      <c r="B27" s="251"/>
      <c r="C27" s="229"/>
      <c r="D27" s="252"/>
      <c r="E27" s="252"/>
      <c r="F27" s="252"/>
      <c r="G27" s="239"/>
      <c r="H27" s="240"/>
      <c r="I27" s="241"/>
      <c r="J27" s="242"/>
      <c r="K27" s="243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9"/>
      <c r="Z27" s="244"/>
      <c r="AA27" s="244"/>
      <c r="AB27" s="94"/>
      <c r="AH27" s="64"/>
    </row>
    <row r="28" spans="1:34" s="51" customFormat="1" ht="26.25" customHeight="1" x14ac:dyDescent="0.3">
      <c r="A28" s="45"/>
      <c r="B28" s="294" t="s">
        <v>79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H28" s="64"/>
    </row>
    <row r="29" spans="1:34" s="51" customFormat="1" ht="21.75" customHeight="1" x14ac:dyDescent="0.3">
      <c r="A29" s="45"/>
      <c r="B29" s="294" t="s">
        <v>64</v>
      </c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H29" s="64"/>
    </row>
    <row r="30" spans="1:34" s="51" customFormat="1" ht="25.5" customHeight="1" x14ac:dyDescent="0.3">
      <c r="A30" s="45"/>
      <c r="B30" s="284" t="s">
        <v>485</v>
      </c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H30" s="64"/>
    </row>
    <row r="31" spans="1:34" s="51" customFormat="1" ht="29.25" customHeight="1" x14ac:dyDescent="0.3">
      <c r="A31" s="250"/>
      <c r="B31" s="251"/>
      <c r="C31" s="229"/>
      <c r="D31" s="252"/>
      <c r="E31" s="252"/>
      <c r="F31" s="252"/>
      <c r="G31" s="239"/>
      <c r="H31" s="240"/>
      <c r="I31" s="241"/>
      <c r="J31" s="242"/>
      <c r="K31" s="243"/>
      <c r="L31" s="244"/>
      <c r="M31" s="245"/>
      <c r="N31" s="245"/>
      <c r="O31" s="245"/>
      <c r="P31" s="245"/>
      <c r="Q31" s="246"/>
      <c r="R31" s="245"/>
      <c r="S31" s="247"/>
      <c r="T31" s="245"/>
      <c r="U31" s="248"/>
      <c r="V31" s="245"/>
      <c r="W31" s="244"/>
      <c r="X31" s="253"/>
      <c r="Y31" s="249"/>
      <c r="Z31" s="244"/>
      <c r="AA31" s="244"/>
      <c r="AB31" s="94"/>
      <c r="AH31" s="64"/>
    </row>
    <row r="32" spans="1:34" s="51" customFormat="1" ht="84.9" customHeight="1" x14ac:dyDescent="0.25">
      <c r="A32" s="45"/>
      <c r="B32" s="103" t="s">
        <v>102</v>
      </c>
      <c r="C32" s="103" t="s">
        <v>136</v>
      </c>
      <c r="D32" s="103" t="s">
        <v>141</v>
      </c>
      <c r="E32" s="37" t="s">
        <v>103</v>
      </c>
      <c r="F32" s="37"/>
      <c r="G32" s="37" t="s">
        <v>61</v>
      </c>
      <c r="H32" s="37"/>
      <c r="I32" s="37"/>
      <c r="J32" s="100">
        <f>SUM(J33)</f>
        <v>5435</v>
      </c>
      <c r="K32" s="100">
        <f>SUM(K33)</f>
        <v>0</v>
      </c>
      <c r="L32" s="100">
        <f>SUM(L33)</f>
        <v>5435</v>
      </c>
      <c r="M32" s="37"/>
      <c r="N32" s="37"/>
      <c r="O32" s="37"/>
      <c r="P32" s="37"/>
      <c r="Q32" s="37"/>
      <c r="R32" s="37"/>
      <c r="S32" s="101"/>
      <c r="T32" s="37"/>
      <c r="U32" s="37"/>
      <c r="V32" s="37"/>
      <c r="W32" s="100">
        <f>SUM(W33)</f>
        <v>0</v>
      </c>
      <c r="X32" s="100">
        <f>SUM(X33)</f>
        <v>434.85</v>
      </c>
      <c r="Y32" s="100">
        <f>SUM(Y33)</f>
        <v>0</v>
      </c>
      <c r="Z32" s="100">
        <f>SUM(Z33)</f>
        <v>434.85</v>
      </c>
      <c r="AA32" s="100">
        <f>SUM(AA33)</f>
        <v>5000.1499999999996</v>
      </c>
      <c r="AB32" s="102"/>
      <c r="AH32" s="64"/>
    </row>
    <row r="33" spans="1:34" s="51" customFormat="1" ht="106.5" customHeight="1" x14ac:dyDescent="0.35">
      <c r="A33" s="45" t="s">
        <v>90</v>
      </c>
      <c r="B33" s="176" t="s">
        <v>184</v>
      </c>
      <c r="C33" s="177" t="s">
        <v>127</v>
      </c>
      <c r="D33" s="263" t="s">
        <v>263</v>
      </c>
      <c r="E33" s="178" t="s">
        <v>176</v>
      </c>
      <c r="F33" s="178" t="s">
        <v>363</v>
      </c>
      <c r="G33" s="179" t="s">
        <v>101</v>
      </c>
      <c r="H33" s="180">
        <v>15</v>
      </c>
      <c r="I33" s="181">
        <f t="shared" si="0"/>
        <v>362.33333333333331</v>
      </c>
      <c r="J33" s="182">
        <v>5435</v>
      </c>
      <c r="K33" s="183">
        <v>0</v>
      </c>
      <c r="L33" s="184">
        <f>SUM(J33:K33)</f>
        <v>5435</v>
      </c>
      <c r="M33" s="185">
        <f>IF(J33/15&lt;=SMG,0,K33/2)</f>
        <v>0</v>
      </c>
      <c r="N33" s="185">
        <f t="shared" ref="N33" si="15">J33+M33</f>
        <v>5435</v>
      </c>
      <c r="O33" s="185">
        <f>VLOOKUP(N33,Tarifa1,1)</f>
        <v>3124.36</v>
      </c>
      <c r="P33" s="185">
        <f t="shared" ref="P33" si="16">N33-O33</f>
        <v>2310.64</v>
      </c>
      <c r="Q33" s="186">
        <f>VLOOKUP(N33,Tarifa1,3)</f>
        <v>0.10879999999999999</v>
      </c>
      <c r="R33" s="185">
        <f t="shared" ref="R33" si="17">P33*Q33</f>
        <v>251.39763199999996</v>
      </c>
      <c r="S33" s="187">
        <f>VLOOKUP(N33,Tarifa1,2)</f>
        <v>183.45</v>
      </c>
      <c r="T33" s="185">
        <f t="shared" ref="T33" si="18">R33+S33</f>
        <v>434.84763199999998</v>
      </c>
      <c r="U33" s="185">
        <f>VLOOKUP(N33,Credito1,2)</f>
        <v>0</v>
      </c>
      <c r="V33" s="185">
        <f t="shared" ref="V33" si="19">ROUND(T33-U33,2)</f>
        <v>434.85</v>
      </c>
      <c r="W33" s="184">
        <f>-IF(V33&gt;0,0,V33)</f>
        <v>0</v>
      </c>
      <c r="X33" s="184">
        <f>IF(J33/15&lt;=SMG,0,IF(V33&lt;0,0,V33))</f>
        <v>434.85</v>
      </c>
      <c r="Y33" s="188">
        <v>0</v>
      </c>
      <c r="Z33" s="184">
        <f>SUM(X33:Y33)</f>
        <v>434.85</v>
      </c>
      <c r="AA33" s="184">
        <f>L33+W33-Z33</f>
        <v>5000.1499999999996</v>
      </c>
      <c r="AB33" s="93"/>
      <c r="AH33" s="64"/>
    </row>
    <row r="34" spans="1:34" s="51" customFormat="1" ht="84.9" customHeight="1" x14ac:dyDescent="0.25">
      <c r="A34" s="45"/>
      <c r="B34" s="103" t="s">
        <v>102</v>
      </c>
      <c r="C34" s="103" t="s">
        <v>136</v>
      </c>
      <c r="D34" s="103" t="s">
        <v>421</v>
      </c>
      <c r="E34" s="37" t="s">
        <v>103</v>
      </c>
      <c r="F34" s="37"/>
      <c r="G34" s="37" t="s">
        <v>61</v>
      </c>
      <c r="H34" s="37"/>
      <c r="I34" s="37"/>
      <c r="J34" s="100">
        <f>SUM(J35)</f>
        <v>5043</v>
      </c>
      <c r="K34" s="100">
        <f>SUM(K35)</f>
        <v>0</v>
      </c>
      <c r="L34" s="100">
        <f>SUM(L35)</f>
        <v>5043</v>
      </c>
      <c r="M34" s="37"/>
      <c r="N34" s="37"/>
      <c r="O34" s="37"/>
      <c r="P34" s="37"/>
      <c r="Q34" s="37"/>
      <c r="R34" s="37"/>
      <c r="S34" s="101"/>
      <c r="T34" s="37"/>
      <c r="U34" s="37"/>
      <c r="V34" s="37"/>
      <c r="W34" s="100">
        <f>SUM(W35)</f>
        <v>0</v>
      </c>
      <c r="X34" s="100">
        <f>SUM(X35)</f>
        <v>392.2</v>
      </c>
      <c r="Y34" s="100">
        <f>SUM(Y35)</f>
        <v>0</v>
      </c>
      <c r="Z34" s="100">
        <f>SUM(Z35)</f>
        <v>392.2</v>
      </c>
      <c r="AA34" s="100">
        <f>SUM(AA35)</f>
        <v>4650.8</v>
      </c>
      <c r="AB34" s="102"/>
      <c r="AH34" s="64"/>
    </row>
    <row r="35" spans="1:34" s="51" customFormat="1" ht="107.25" customHeight="1" x14ac:dyDescent="0.35">
      <c r="A35" s="45"/>
      <c r="B35" s="177" t="s">
        <v>112</v>
      </c>
      <c r="C35" s="177" t="s">
        <v>127</v>
      </c>
      <c r="D35" s="263" t="s">
        <v>99</v>
      </c>
      <c r="E35" s="178" t="s">
        <v>113</v>
      </c>
      <c r="F35" s="234" t="s">
        <v>342</v>
      </c>
      <c r="G35" s="179" t="s">
        <v>428</v>
      </c>
      <c r="H35" s="180">
        <v>15</v>
      </c>
      <c r="I35" s="181">
        <v>305.35000000000002</v>
      </c>
      <c r="J35" s="182">
        <v>5043</v>
      </c>
      <c r="K35" s="183">
        <v>0</v>
      </c>
      <c r="L35" s="184">
        <f>SUM(J35:K35)</f>
        <v>5043</v>
      </c>
      <c r="M35" s="185">
        <f>IF(J35/15&lt;=SMG,0,K35/2)</f>
        <v>0</v>
      </c>
      <c r="N35" s="185">
        <f t="shared" ref="N35" si="20">J35+M35</f>
        <v>5043</v>
      </c>
      <c r="O35" s="185">
        <f>VLOOKUP(N35,Tarifa1,1)</f>
        <v>3124.36</v>
      </c>
      <c r="P35" s="185">
        <f t="shared" ref="P35" si="21">N35-O35</f>
        <v>1918.6399999999999</v>
      </c>
      <c r="Q35" s="186">
        <f>VLOOKUP(N35,Tarifa1,3)</f>
        <v>0.10879999999999999</v>
      </c>
      <c r="R35" s="185">
        <f t="shared" ref="R35" si="22">P35*Q35</f>
        <v>208.74803199999997</v>
      </c>
      <c r="S35" s="187">
        <f>VLOOKUP(N35,Tarifa1,2)</f>
        <v>183.45</v>
      </c>
      <c r="T35" s="185">
        <f t="shared" ref="T35" si="23">R35+S35</f>
        <v>392.19803199999996</v>
      </c>
      <c r="U35" s="185">
        <f>VLOOKUP(N35,Credito1,2)</f>
        <v>0</v>
      </c>
      <c r="V35" s="185">
        <f t="shared" ref="V35" si="24">ROUND(T35-U35,2)</f>
        <v>392.2</v>
      </c>
      <c r="W35" s="184">
        <f t="shared" ref="W35" si="25">-IF(V35&gt;0,0,V35)</f>
        <v>0</v>
      </c>
      <c r="X35" s="184">
        <f>IF(J35/15&lt;=SMG,0,IF(V35&lt;0,0,V35))</f>
        <v>392.2</v>
      </c>
      <c r="Y35" s="188">
        <v>0</v>
      </c>
      <c r="Z35" s="184">
        <f>SUM(X35:Y35)</f>
        <v>392.2</v>
      </c>
      <c r="AA35" s="184">
        <f>L35+W35-Z35</f>
        <v>4650.8</v>
      </c>
      <c r="AB35" s="93"/>
      <c r="AH35" s="64"/>
    </row>
    <row r="36" spans="1:34" s="51" customFormat="1" ht="84.9" customHeight="1" x14ac:dyDescent="0.25">
      <c r="A36" s="104"/>
      <c r="B36" s="103" t="s">
        <v>102</v>
      </c>
      <c r="C36" s="103" t="s">
        <v>136</v>
      </c>
      <c r="D36" s="37" t="s">
        <v>163</v>
      </c>
      <c r="E36" s="37" t="s">
        <v>103</v>
      </c>
      <c r="F36" s="37"/>
      <c r="G36" s="37" t="s">
        <v>61</v>
      </c>
      <c r="H36" s="37"/>
      <c r="I36" s="37"/>
      <c r="J36" s="100">
        <f>SUM(J37)</f>
        <v>7013</v>
      </c>
      <c r="K36" s="100">
        <f>SUM(K37)</f>
        <v>0</v>
      </c>
      <c r="L36" s="100">
        <f>SUM(L37)</f>
        <v>7013</v>
      </c>
      <c r="M36" s="37"/>
      <c r="N36" s="37"/>
      <c r="O36" s="37"/>
      <c r="P36" s="37"/>
      <c r="Q36" s="37"/>
      <c r="R36" s="37"/>
      <c r="S36" s="101"/>
      <c r="T36" s="37"/>
      <c r="U36" s="37"/>
      <c r="V36" s="37"/>
      <c r="W36" s="100">
        <f>SUM(W37)</f>
        <v>0</v>
      </c>
      <c r="X36" s="100">
        <f>SUM(X37)</f>
        <v>696.58</v>
      </c>
      <c r="Y36" s="100">
        <f>SUM(Y37)</f>
        <v>0</v>
      </c>
      <c r="Z36" s="100">
        <f>SUM(Z37)</f>
        <v>696.58</v>
      </c>
      <c r="AA36" s="100">
        <f>SUM(AA37)</f>
        <v>6316.42</v>
      </c>
      <c r="AB36" s="102"/>
    </row>
    <row r="37" spans="1:34" s="51" customFormat="1" ht="107.25" customHeight="1" x14ac:dyDescent="0.35">
      <c r="A37" s="104"/>
      <c r="B37" s="176" t="s">
        <v>183</v>
      </c>
      <c r="C37" s="177" t="s">
        <v>127</v>
      </c>
      <c r="D37" s="263" t="s">
        <v>166</v>
      </c>
      <c r="E37" s="199" t="s">
        <v>175</v>
      </c>
      <c r="F37" s="199" t="s">
        <v>362</v>
      </c>
      <c r="G37" s="179" t="s">
        <v>167</v>
      </c>
      <c r="H37" s="180">
        <v>15</v>
      </c>
      <c r="I37" s="181">
        <f>J37/H37</f>
        <v>467.53333333333336</v>
      </c>
      <c r="J37" s="182">
        <v>7013</v>
      </c>
      <c r="K37" s="183">
        <v>0</v>
      </c>
      <c r="L37" s="184">
        <f>SUM(J37:K37)</f>
        <v>7013</v>
      </c>
      <c r="M37" s="185">
        <f>IF(J37/15&lt;=SMG,0,K37/2)</f>
        <v>0</v>
      </c>
      <c r="N37" s="185">
        <f t="shared" ref="N37" si="26">J37+M37</f>
        <v>7013</v>
      </c>
      <c r="O37" s="185">
        <f>VLOOKUP(N37,Tarifa1,1)</f>
        <v>6382.81</v>
      </c>
      <c r="P37" s="185">
        <f t="shared" ref="P37" si="27">N37-O37</f>
        <v>630.1899999999996</v>
      </c>
      <c r="Q37" s="186">
        <f>VLOOKUP(N37,Tarifa1,3)</f>
        <v>0.1792</v>
      </c>
      <c r="R37" s="185">
        <f t="shared" ref="R37" si="28">P37*Q37</f>
        <v>112.93004799999993</v>
      </c>
      <c r="S37" s="187">
        <f>VLOOKUP(N37,Tarifa1,2)</f>
        <v>583.65</v>
      </c>
      <c r="T37" s="185">
        <f t="shared" ref="T37" si="29">R37+S37</f>
        <v>696.58004799999992</v>
      </c>
      <c r="U37" s="185">
        <f>VLOOKUP(N37,Credito1,2)</f>
        <v>0</v>
      </c>
      <c r="V37" s="185">
        <f t="shared" ref="V37" si="30">ROUND(T37-U37,2)</f>
        <v>696.58</v>
      </c>
      <c r="W37" s="184">
        <f t="shared" ref="W37" si="31">-IF(V37&gt;0,0,V37)</f>
        <v>0</v>
      </c>
      <c r="X37" s="184">
        <f>IF(J37/15&lt;=SMG,0,IF(V37&lt;0,0,V37))</f>
        <v>696.58</v>
      </c>
      <c r="Y37" s="188">
        <v>0</v>
      </c>
      <c r="Z37" s="184">
        <f>SUM(X37:Y37)</f>
        <v>696.58</v>
      </c>
      <c r="AA37" s="184">
        <f>L37+W37-Z37</f>
        <v>6316.42</v>
      </c>
      <c r="AB37" s="93"/>
    </row>
    <row r="38" spans="1:34" s="51" customFormat="1" ht="13.8" x14ac:dyDescent="0.25">
      <c r="A38" s="104"/>
      <c r="B38" s="104"/>
      <c r="C38" s="104"/>
      <c r="D38" s="104"/>
      <c r="E38" s="104"/>
      <c r="F38" s="104"/>
      <c r="G38" s="104"/>
      <c r="H38" s="104"/>
      <c r="I38" s="104"/>
      <c r="J38" s="105"/>
      <c r="K38" s="105"/>
      <c r="L38" s="105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93"/>
    </row>
    <row r="39" spans="1:34" s="51" customFormat="1" ht="39" customHeight="1" x14ac:dyDescent="0.3">
      <c r="A39" s="316" t="s">
        <v>44</v>
      </c>
      <c r="B39" s="316"/>
      <c r="C39" s="316"/>
      <c r="D39" s="316"/>
      <c r="E39" s="316"/>
      <c r="F39" s="316"/>
      <c r="G39" s="316"/>
      <c r="H39" s="316"/>
      <c r="I39" s="316"/>
      <c r="J39" s="222">
        <f>J8+J11+J13+J16+J32+J36+J34+J20</f>
        <v>66216</v>
      </c>
      <c r="K39" s="222">
        <f>K8+K11+K13+K16+K32+K36+K34+K20</f>
        <v>265.67</v>
      </c>
      <c r="L39" s="222">
        <f>L8+L11+L13+L16+L32+L36+L34+L20</f>
        <v>66481.67</v>
      </c>
      <c r="M39" s="223">
        <f t="shared" ref="M39:V39" si="32">SUM(M11:M38)</f>
        <v>132.83500000000001</v>
      </c>
      <c r="N39" s="223">
        <f t="shared" si="32"/>
        <v>59335.834999999999</v>
      </c>
      <c r="O39" s="223">
        <f t="shared" si="32"/>
        <v>47535.85</v>
      </c>
      <c r="P39" s="223">
        <f t="shared" si="32"/>
        <v>11799.984999999997</v>
      </c>
      <c r="Q39" s="223">
        <f t="shared" si="32"/>
        <v>1.44</v>
      </c>
      <c r="R39" s="223">
        <f t="shared" si="32"/>
        <v>1527.5596479999995</v>
      </c>
      <c r="S39" s="223">
        <f t="shared" si="32"/>
        <v>3835.4999999999995</v>
      </c>
      <c r="T39" s="223">
        <f t="shared" si="32"/>
        <v>5363.0596479999995</v>
      </c>
      <c r="U39" s="223">
        <f t="shared" si="32"/>
        <v>0</v>
      </c>
      <c r="V39" s="223">
        <f t="shared" si="32"/>
        <v>5363.0599999999995</v>
      </c>
      <c r="W39" s="222">
        <f>W8+W11+W13+W16+W32+W36+W34+W20</f>
        <v>0</v>
      </c>
      <c r="X39" s="222">
        <f>X8+X11+X13+X16+X32+X36+X34+X20</f>
        <v>6059.6399999999994</v>
      </c>
      <c r="Y39" s="222">
        <f>Y8+Y11+Y13+Y16+Y32+Y36+Y34+Y20</f>
        <v>1751.22</v>
      </c>
      <c r="Z39" s="222">
        <f>Z8+Z11+Z13+Z16+Z32+Z36+Z34+Z20</f>
        <v>7810.86</v>
      </c>
      <c r="AA39" s="222">
        <f>AA8+AA11+AA13+AA16+AA32+AA36+AA34+AA20</f>
        <v>58670.810000000005</v>
      </c>
      <c r="AB39" s="93"/>
    </row>
    <row r="40" spans="1:34" s="51" customFormat="1" ht="11.4" x14ac:dyDescent="0.2"/>
    <row r="41" spans="1:34" s="51" customFormat="1" ht="11.4" x14ac:dyDescent="0.2"/>
    <row r="42" spans="1:34" s="51" customFormat="1" ht="11.4" x14ac:dyDescent="0.2"/>
    <row r="43" spans="1:34" s="51" customFormat="1" ht="11.4" x14ac:dyDescent="0.2"/>
    <row r="44" spans="1:34" s="51" customFormat="1" ht="11.4" x14ac:dyDescent="0.2"/>
  </sheetData>
  <mergeCells count="11">
    <mergeCell ref="A39:I39"/>
    <mergeCell ref="A1:AB1"/>
    <mergeCell ref="A2:AB2"/>
    <mergeCell ref="A3:AB3"/>
    <mergeCell ref="J5:L5"/>
    <mergeCell ref="O5:T5"/>
    <mergeCell ref="X5:Z5"/>
    <mergeCell ref="C5:C7"/>
    <mergeCell ref="B28:AC28"/>
    <mergeCell ref="B29:AC29"/>
    <mergeCell ref="B30:AC30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4:F15 D12:F12 D10:E10"/>
  </dataValidations>
  <pageMargins left="0.27559055118110237" right="0.19685039370078741" top="0.6692913385826772" bottom="0.15748031496062992" header="0.31496062992125984" footer="0.31496062992125984"/>
  <pageSetup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B12" zoomScale="77" zoomScaleNormal="77" workbookViewId="0">
      <selection activeCell="B19" sqref="A19:XFD26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5.44140625" customWidth="1"/>
    <col min="5" max="5" width="23" customWidth="1"/>
    <col min="6" max="6" width="31.33203125" customWidth="1"/>
    <col min="7" max="7" width="23.44140625" customWidth="1"/>
    <col min="8" max="8" width="6.5546875" hidden="1" customWidth="1"/>
    <col min="9" max="9" width="10" hidden="1" customWidth="1"/>
    <col min="10" max="10" width="15.109375" customWidth="1"/>
    <col min="11" max="11" width="10.88671875" customWidth="1"/>
    <col min="12" max="12" width="13.88671875" customWidth="1"/>
    <col min="13" max="13" width="13.109375" hidden="1" customWidth="1"/>
    <col min="14" max="14" width="15.109375" hidden="1" customWidth="1"/>
    <col min="15" max="15" width="15.6640625" hidden="1" customWidth="1"/>
    <col min="16" max="16" width="12.33203125" hidden="1" customWidth="1"/>
    <col min="17" max="18" width="13.109375" hidden="1" customWidth="1"/>
    <col min="19" max="19" width="12.88671875" hidden="1" customWidth="1"/>
    <col min="20" max="20" width="12.109375" hidden="1" customWidth="1"/>
    <col min="21" max="21" width="13.109375" hidden="1" customWidth="1"/>
    <col min="22" max="22" width="13.44140625" hidden="1" customWidth="1"/>
    <col min="23" max="23" width="9.6640625" customWidth="1"/>
    <col min="24" max="24" width="13.88671875" customWidth="1"/>
    <col min="25" max="25" width="12.88671875" customWidth="1"/>
    <col min="26" max="26" width="14.33203125" customWidth="1"/>
    <col min="27" max="27" width="14.5546875" customWidth="1"/>
    <col min="28" max="28" width="51.554687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5</v>
      </c>
      <c r="J6" s="295" t="s">
        <v>1</v>
      </c>
      <c r="K6" s="296"/>
      <c r="L6" s="297"/>
      <c r="M6" s="24" t="s">
        <v>25</v>
      </c>
      <c r="N6" s="25"/>
      <c r="O6" s="298" t="s">
        <v>8</v>
      </c>
      <c r="P6" s="299"/>
      <c r="Q6" s="299"/>
      <c r="R6" s="299"/>
      <c r="S6" s="299"/>
      <c r="T6" s="300"/>
      <c r="U6" s="24" t="s">
        <v>29</v>
      </c>
      <c r="V6" s="24" t="s">
        <v>9</v>
      </c>
      <c r="W6" s="23" t="s">
        <v>52</v>
      </c>
      <c r="X6" s="301" t="s">
        <v>2</v>
      </c>
      <c r="Y6" s="302"/>
      <c r="Z6" s="303"/>
      <c r="AA6" s="23" t="s">
        <v>0</v>
      </c>
      <c r="AB6" s="34"/>
    </row>
    <row r="7" spans="1:28" ht="2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58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3" t="s">
        <v>451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9"/>
      <c r="J8" s="29" t="s">
        <v>46</v>
      </c>
      <c r="K8" s="29" t="s">
        <v>59</v>
      </c>
      <c r="L8" s="29" t="s">
        <v>28</v>
      </c>
      <c r="M8" s="30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9" t="s">
        <v>51</v>
      </c>
      <c r="X8" s="29"/>
      <c r="Y8" s="29"/>
      <c r="Z8" s="29" t="s">
        <v>43</v>
      </c>
      <c r="AA8" s="29" t="s">
        <v>4</v>
      </c>
      <c r="AB8" s="35"/>
    </row>
    <row r="9" spans="1:28" s="4" customFormat="1" ht="54.75" customHeight="1" x14ac:dyDescent="0.3">
      <c r="A9" s="142"/>
      <c r="B9" s="142"/>
      <c r="C9" s="142"/>
      <c r="D9" s="141" t="s">
        <v>122</v>
      </c>
      <c r="E9" s="142" t="s">
        <v>103</v>
      </c>
      <c r="F9" s="142" t="s">
        <v>340</v>
      </c>
      <c r="G9" s="142" t="s">
        <v>61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4"/>
      <c r="W9" s="142"/>
      <c r="X9" s="142"/>
      <c r="Y9" s="142"/>
      <c r="Z9" s="142"/>
      <c r="AA9" s="142"/>
      <c r="AB9" s="107"/>
    </row>
    <row r="10" spans="1:28" s="4" customFormat="1" ht="131.25" customHeight="1" x14ac:dyDescent="0.35">
      <c r="A10" s="116" t="s">
        <v>84</v>
      </c>
      <c r="B10" s="177" t="s">
        <v>117</v>
      </c>
      <c r="C10" s="177" t="s">
        <v>127</v>
      </c>
      <c r="D10" s="263" t="s">
        <v>100</v>
      </c>
      <c r="E10" s="178" t="s">
        <v>118</v>
      </c>
      <c r="F10" s="178" t="s">
        <v>349</v>
      </c>
      <c r="G10" s="179" t="s">
        <v>265</v>
      </c>
      <c r="H10" s="180">
        <v>15</v>
      </c>
      <c r="I10" s="181">
        <f>J10/H10</f>
        <v>1110.0666666666666</v>
      </c>
      <c r="J10" s="182">
        <v>16651</v>
      </c>
      <c r="K10" s="183">
        <v>0</v>
      </c>
      <c r="L10" s="184">
        <f>SUM(J10:K10)</f>
        <v>16651</v>
      </c>
      <c r="M10" s="185">
        <f>IF(J10/15&lt;=SMG,0,K10/2)</f>
        <v>0</v>
      </c>
      <c r="N10" s="185">
        <f>J10+M10</f>
        <v>16651</v>
      </c>
      <c r="O10" s="185">
        <f>VLOOKUP(N10,Tarifa1,1)</f>
        <v>15412.81</v>
      </c>
      <c r="P10" s="185">
        <f>N10-O10</f>
        <v>1238.1900000000005</v>
      </c>
      <c r="Q10" s="186">
        <f>VLOOKUP(N10,Tarifa1,3)</f>
        <v>0.23519999999999999</v>
      </c>
      <c r="R10" s="185">
        <f>P10*Q10</f>
        <v>291.22228800000011</v>
      </c>
      <c r="S10" s="187">
        <f>VLOOKUP(N10,Tarifa1,2)</f>
        <v>2469.15</v>
      </c>
      <c r="T10" s="185">
        <f>R10+S10</f>
        <v>2760.372288</v>
      </c>
      <c r="U10" s="185">
        <f>VLOOKUP(N10,Credito1,2)</f>
        <v>0</v>
      </c>
      <c r="V10" s="185">
        <f>ROUND(T10-U10,2)</f>
        <v>2760.37</v>
      </c>
      <c r="W10" s="184">
        <f>-IF(V10&gt;0,0,V10)</f>
        <v>0</v>
      </c>
      <c r="X10" s="184">
        <f>IF(J10/15&lt;=SMG,0,IF(V10&lt;0,0,V10))</f>
        <v>2760.37</v>
      </c>
      <c r="Y10" s="188">
        <v>4000</v>
      </c>
      <c r="Z10" s="184">
        <f>SUM(X10:Y10)</f>
        <v>6760.37</v>
      </c>
      <c r="AA10" s="184">
        <f>L10+W10-Z10</f>
        <v>9890.630000000001</v>
      </c>
      <c r="AB10" s="90"/>
    </row>
    <row r="11" spans="1:28" s="4" customFormat="1" ht="131.25" customHeight="1" x14ac:dyDescent="0.35">
      <c r="A11" s="116" t="s">
        <v>86</v>
      </c>
      <c r="B11" s="177" t="s">
        <v>106</v>
      </c>
      <c r="C11" s="177" t="s">
        <v>127</v>
      </c>
      <c r="D11" s="264" t="s">
        <v>74</v>
      </c>
      <c r="E11" s="178" t="s">
        <v>119</v>
      </c>
      <c r="F11" s="178" t="s">
        <v>341</v>
      </c>
      <c r="G11" s="179" t="s">
        <v>266</v>
      </c>
      <c r="H11" s="180">
        <v>15</v>
      </c>
      <c r="I11" s="181">
        <f>J11/H11</f>
        <v>704.86666666666667</v>
      </c>
      <c r="J11" s="182">
        <v>10573</v>
      </c>
      <c r="K11" s="183">
        <v>0</v>
      </c>
      <c r="L11" s="184">
        <f>J11</f>
        <v>10573</v>
      </c>
      <c r="M11" s="185">
        <f>IF(J11/15&lt;=SMG,0,K11/2)</f>
        <v>0</v>
      </c>
      <c r="N11" s="185">
        <f t="shared" ref="N11:N12" si="0">J11+M11</f>
        <v>10573</v>
      </c>
      <c r="O11" s="185">
        <f>VLOOKUP(N11,Tarifa1,1)</f>
        <v>7641.91</v>
      </c>
      <c r="P11" s="185">
        <f t="shared" ref="P11:P12" si="1">N11-O11</f>
        <v>2931.09</v>
      </c>
      <c r="Q11" s="186">
        <f>VLOOKUP(N11,Tarifa1,3)</f>
        <v>0.21360000000000001</v>
      </c>
      <c r="R11" s="185">
        <f t="shared" ref="R11:R12" si="2">P11*Q11</f>
        <v>626.08082400000012</v>
      </c>
      <c r="S11" s="187">
        <f>VLOOKUP(N11,Tarifa1,2)</f>
        <v>809.25</v>
      </c>
      <c r="T11" s="185">
        <f t="shared" ref="T11:T12" si="3">R11+S11</f>
        <v>1435.3308240000001</v>
      </c>
      <c r="U11" s="185">
        <f>VLOOKUP(N11,Credito1,2)</f>
        <v>0</v>
      </c>
      <c r="V11" s="185">
        <f t="shared" ref="V11:V12" si="4">ROUND(T11-U11,2)</f>
        <v>1435.33</v>
      </c>
      <c r="W11" s="184">
        <f t="shared" ref="W11:W12" si="5">-IF(V11&gt;0,0,V11)</f>
        <v>0</v>
      </c>
      <c r="X11" s="184">
        <f>IF(J11/15&lt;=SMG,0,IF(V11&lt;0,0,V11))</f>
        <v>1435.33</v>
      </c>
      <c r="Y11" s="188">
        <v>0</v>
      </c>
      <c r="Z11" s="184">
        <f>SUM(X11:Y11)</f>
        <v>1435.33</v>
      </c>
      <c r="AA11" s="184">
        <f>L11+W11-Z11</f>
        <v>9137.67</v>
      </c>
      <c r="AB11" s="90"/>
    </row>
    <row r="12" spans="1:28" s="4" customFormat="1" ht="131.25" customHeight="1" x14ac:dyDescent="0.35">
      <c r="A12" s="116" t="s">
        <v>87</v>
      </c>
      <c r="B12" s="177" t="s">
        <v>120</v>
      </c>
      <c r="C12" s="177" t="s">
        <v>127</v>
      </c>
      <c r="D12" s="264" t="s">
        <v>97</v>
      </c>
      <c r="E12" s="178" t="s">
        <v>121</v>
      </c>
      <c r="F12" s="178" t="s">
        <v>350</v>
      </c>
      <c r="G12" s="179" t="s">
        <v>266</v>
      </c>
      <c r="H12" s="180">
        <v>15</v>
      </c>
      <c r="I12" s="181">
        <f>J12/H12</f>
        <v>418.33333333333331</v>
      </c>
      <c r="J12" s="182">
        <v>6275</v>
      </c>
      <c r="K12" s="183">
        <v>0</v>
      </c>
      <c r="L12" s="184">
        <f>SUM(J12:K12)</f>
        <v>6275</v>
      </c>
      <c r="M12" s="185">
        <f>IF(J12/15&lt;=SMG,0,K12/2)</f>
        <v>0</v>
      </c>
      <c r="N12" s="185">
        <f t="shared" si="0"/>
        <v>6275</v>
      </c>
      <c r="O12" s="185">
        <f>VLOOKUP(N12,Tarifa1,1)</f>
        <v>5490.76</v>
      </c>
      <c r="P12" s="185">
        <f t="shared" si="1"/>
        <v>784.23999999999978</v>
      </c>
      <c r="Q12" s="186">
        <f>VLOOKUP(N12,Tarifa1,3)</f>
        <v>0.16</v>
      </c>
      <c r="R12" s="185">
        <f t="shared" si="2"/>
        <v>125.47839999999997</v>
      </c>
      <c r="S12" s="187">
        <f>VLOOKUP(N12,Tarifa1,2)</f>
        <v>441</v>
      </c>
      <c r="T12" s="185">
        <f t="shared" si="3"/>
        <v>566.47839999999997</v>
      </c>
      <c r="U12" s="185">
        <f>VLOOKUP(N12,Credito1,2)</f>
        <v>0</v>
      </c>
      <c r="V12" s="185">
        <f t="shared" si="4"/>
        <v>566.48</v>
      </c>
      <c r="W12" s="184">
        <f t="shared" si="5"/>
        <v>0</v>
      </c>
      <c r="X12" s="184">
        <f>IF(J12/15&lt;=SMG,0,IF(V12&lt;0,0,V12))</f>
        <v>566.48</v>
      </c>
      <c r="Y12" s="188">
        <v>0</v>
      </c>
      <c r="Z12" s="184">
        <f>SUM(X12:Y12)</f>
        <v>566.48</v>
      </c>
      <c r="AA12" s="184">
        <f>L12+W12-Z12</f>
        <v>5708.52</v>
      </c>
      <c r="AB12" s="90"/>
    </row>
    <row r="13" spans="1:28" s="4" customFormat="1" ht="36" customHeight="1" x14ac:dyDescent="0.3">
      <c r="A13" s="209"/>
      <c r="B13" s="209"/>
      <c r="C13" s="209"/>
      <c r="D13" s="209"/>
      <c r="E13" s="209"/>
      <c r="F13" s="209"/>
      <c r="G13" s="209"/>
      <c r="H13" s="209"/>
      <c r="I13" s="209"/>
      <c r="J13" s="215"/>
      <c r="K13" s="215"/>
      <c r="L13" s="215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</row>
    <row r="14" spans="1:28" s="4" customFormat="1" ht="60" customHeight="1" thickBot="1" x14ac:dyDescent="0.35">
      <c r="A14" s="280" t="s">
        <v>44</v>
      </c>
      <c r="B14" s="281"/>
      <c r="C14" s="281"/>
      <c r="D14" s="281"/>
      <c r="E14" s="281"/>
      <c r="F14" s="281"/>
      <c r="G14" s="281"/>
      <c r="H14" s="281"/>
      <c r="I14" s="282"/>
      <c r="J14" s="191">
        <f>SUM(J10:J13)</f>
        <v>33499</v>
      </c>
      <c r="K14" s="191">
        <f>SUM(K10:K13)</f>
        <v>0</v>
      </c>
      <c r="L14" s="191">
        <f>SUM(L10:L13)</f>
        <v>33499</v>
      </c>
      <c r="M14" s="192">
        <f t="shared" ref="M14:V14" si="6">SUM(M10:M13)</f>
        <v>0</v>
      </c>
      <c r="N14" s="192">
        <f t="shared" si="6"/>
        <v>33499</v>
      </c>
      <c r="O14" s="192">
        <f t="shared" si="6"/>
        <v>28545.480000000003</v>
      </c>
      <c r="P14" s="192">
        <f t="shared" si="6"/>
        <v>4953.5200000000004</v>
      </c>
      <c r="Q14" s="192">
        <f t="shared" si="6"/>
        <v>0.60880000000000001</v>
      </c>
      <c r="R14" s="192">
        <f t="shared" si="6"/>
        <v>1042.7815120000002</v>
      </c>
      <c r="S14" s="192">
        <f t="shared" si="6"/>
        <v>3719.4</v>
      </c>
      <c r="T14" s="192">
        <f t="shared" si="6"/>
        <v>4762.1815120000001</v>
      </c>
      <c r="U14" s="192">
        <f t="shared" si="6"/>
        <v>0</v>
      </c>
      <c r="V14" s="192">
        <f t="shared" si="6"/>
        <v>4762.18</v>
      </c>
      <c r="W14" s="191">
        <f>SUM(W10:W13)</f>
        <v>0</v>
      </c>
      <c r="X14" s="191">
        <f>SUM(X10:X13)</f>
        <v>4762.18</v>
      </c>
      <c r="Y14" s="191">
        <f>SUM(Y10:Y13)</f>
        <v>4000</v>
      </c>
      <c r="Z14" s="191">
        <f>SUM(Z10:Z13)</f>
        <v>8762.18</v>
      </c>
      <c r="AA14" s="191">
        <f>SUM(AA10:AA12)</f>
        <v>24736.820000000003</v>
      </c>
    </row>
    <row r="15" spans="1:28" ht="35.1" customHeight="1" thickTop="1" x14ac:dyDescent="0.25"/>
    <row r="16" spans="1:28" ht="35.1" customHeight="1" x14ac:dyDescent="0.25"/>
  </sheetData>
  <mergeCells count="7">
    <mergeCell ref="A14:I14"/>
    <mergeCell ref="A1:AB1"/>
    <mergeCell ref="A3:AB3"/>
    <mergeCell ref="J6:L6"/>
    <mergeCell ref="O6:T6"/>
    <mergeCell ref="X6:Z6"/>
    <mergeCell ref="A2:AB2"/>
  </mergeCells>
  <pageMargins left="0.27559055118110237" right="0.27559055118110237" top="0.74803149606299213" bottom="0.74803149606299213" header="0.31496062992125984" footer="0.31496062992125984"/>
  <pageSetup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opLeftCell="B19" workbookViewId="0">
      <selection activeCell="B27" sqref="A27:XFD31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3.6640625" customWidth="1"/>
    <col min="6" max="6" width="35" customWidth="1"/>
    <col min="7" max="7" width="18.88671875" customWidth="1"/>
    <col min="8" max="8" width="6.5546875" hidden="1" customWidth="1"/>
    <col min="9" max="9" width="8.5546875" hidden="1" customWidth="1"/>
    <col min="10" max="10" width="14.44140625" customWidth="1"/>
    <col min="11" max="11" width="14.33203125" customWidth="1"/>
    <col min="12" max="12" width="13.109375" hidden="1" customWidth="1"/>
    <col min="13" max="15" width="12.88671875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3.88671875" hidden="1" customWidth="1"/>
    <col min="22" max="22" width="9.6640625" customWidth="1"/>
    <col min="23" max="24" width="14.6640625" customWidth="1"/>
    <col min="25" max="25" width="14.5546875" customWidth="1"/>
    <col min="26" max="26" width="15.44140625" customWidth="1"/>
    <col min="27" max="27" width="71.109375" customWidth="1"/>
    <col min="28" max="28" width="0.8867187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</row>
    <row r="3" spans="1:28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5</v>
      </c>
      <c r="J6" s="295" t="s">
        <v>1</v>
      </c>
      <c r="K6" s="297"/>
      <c r="L6" s="24" t="s">
        <v>25</v>
      </c>
      <c r="M6" s="25"/>
      <c r="N6" s="298" t="s">
        <v>8</v>
      </c>
      <c r="O6" s="299"/>
      <c r="P6" s="299"/>
      <c r="Q6" s="299"/>
      <c r="R6" s="299"/>
      <c r="S6" s="300"/>
      <c r="T6" s="24" t="s">
        <v>29</v>
      </c>
      <c r="U6" s="24" t="s">
        <v>9</v>
      </c>
      <c r="V6" s="23" t="s">
        <v>52</v>
      </c>
      <c r="W6" s="301" t="s">
        <v>2</v>
      </c>
      <c r="X6" s="302"/>
      <c r="Y6" s="303"/>
      <c r="Z6" s="23" t="s">
        <v>0</v>
      </c>
      <c r="AA6" s="34"/>
    </row>
    <row r="7" spans="1:28" ht="33.75" customHeight="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451</v>
      </c>
      <c r="X7" s="23" t="s">
        <v>56</v>
      </c>
      <c r="Y7" s="23" t="s">
        <v>6</v>
      </c>
      <c r="Z7" s="26" t="s">
        <v>3</v>
      </c>
      <c r="AA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9"/>
      <c r="J8" s="29" t="s">
        <v>46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/>
      <c r="Y8" s="29" t="s">
        <v>43</v>
      </c>
      <c r="Z8" s="29" t="s">
        <v>4</v>
      </c>
      <c r="AA8" s="35"/>
    </row>
    <row r="9" spans="1:28" ht="13.8" x14ac:dyDescent="0.25">
      <c r="A9" s="39"/>
      <c r="B9" s="39"/>
      <c r="C9" s="39"/>
      <c r="D9" s="91" t="s">
        <v>60</v>
      </c>
      <c r="E9" s="38" t="s">
        <v>103</v>
      </c>
      <c r="F9" s="38" t="s">
        <v>340</v>
      </c>
      <c r="G9" s="38" t="s">
        <v>61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0"/>
      <c r="V9" s="39"/>
      <c r="W9" s="39"/>
      <c r="X9" s="39"/>
      <c r="Y9" s="39"/>
      <c r="Z9" s="39"/>
      <c r="AA9" s="92"/>
    </row>
    <row r="10" spans="1:28" ht="79.5" customHeight="1" x14ac:dyDescent="0.35">
      <c r="A10" s="116" t="s">
        <v>84</v>
      </c>
      <c r="B10" s="176" t="s">
        <v>308</v>
      </c>
      <c r="C10" s="177" t="s">
        <v>127</v>
      </c>
      <c r="D10" s="263" t="s">
        <v>275</v>
      </c>
      <c r="E10" s="178" t="s">
        <v>290</v>
      </c>
      <c r="F10" s="178" t="s">
        <v>389</v>
      </c>
      <c r="G10" s="178" t="s">
        <v>76</v>
      </c>
      <c r="H10" s="180">
        <v>15</v>
      </c>
      <c r="I10" s="224">
        <f>J10/H10</f>
        <v>590</v>
      </c>
      <c r="J10" s="182">
        <v>8850</v>
      </c>
      <c r="K10" s="184">
        <f t="shared" ref="K10:K18" si="0">SUM(J10:J10)</f>
        <v>8850</v>
      </c>
      <c r="L10" s="185">
        <v>0</v>
      </c>
      <c r="M10" s="185">
        <f>K10+L10</f>
        <v>8850</v>
      </c>
      <c r="N10" s="185">
        <f t="shared" ref="N10:N18" si="1">VLOOKUP(M10,Tarifa1,1)</f>
        <v>7641.91</v>
      </c>
      <c r="O10" s="185">
        <f>M10-N10</f>
        <v>1208.0900000000001</v>
      </c>
      <c r="P10" s="186">
        <f t="shared" ref="P10" si="2">VLOOKUP(M10,Tarifa1,3)</f>
        <v>0.21360000000000001</v>
      </c>
      <c r="Q10" s="185">
        <f>O10*P10</f>
        <v>258.04802400000005</v>
      </c>
      <c r="R10" s="187">
        <f t="shared" ref="R10:R18" si="3">VLOOKUP(M10,Tarifa1,2)</f>
        <v>809.25</v>
      </c>
      <c r="S10" s="185">
        <f>Q10+R10</f>
        <v>1067.2980240000002</v>
      </c>
      <c r="T10" s="185">
        <f t="shared" ref="T10" si="4">VLOOKUP(M10,Credito1,2)</f>
        <v>0</v>
      </c>
      <c r="U10" s="185">
        <f>ROUND(S10-T10,2)</f>
        <v>1067.3</v>
      </c>
      <c r="V10" s="184">
        <f t="shared" ref="V10:V18" si="5">-IF(U10&gt;0,0,U10)</f>
        <v>0</v>
      </c>
      <c r="W10" s="184">
        <f t="shared" ref="W10:W18" si="6">IF(J10/15&lt;=SMG,0,IF(U10&lt;0,0,U10))</f>
        <v>1067.3</v>
      </c>
      <c r="X10" s="188">
        <v>0</v>
      </c>
      <c r="Y10" s="184">
        <f t="shared" ref="Y10:Y17" si="7">SUM(W10:X10)</f>
        <v>1067.3</v>
      </c>
      <c r="Z10" s="184">
        <f t="shared" ref="Z10:Z18" si="8">K10+V10-Y10</f>
        <v>7782.7</v>
      </c>
      <c r="AA10" s="33"/>
    </row>
    <row r="11" spans="1:28" ht="79.5" customHeight="1" x14ac:dyDescent="0.35">
      <c r="A11" s="116" t="s">
        <v>85</v>
      </c>
      <c r="B11" s="176" t="s">
        <v>273</v>
      </c>
      <c r="C11" s="177" t="s">
        <v>127</v>
      </c>
      <c r="D11" s="263" t="s">
        <v>276</v>
      </c>
      <c r="E11" s="178" t="s">
        <v>287</v>
      </c>
      <c r="F11" s="178" t="s">
        <v>390</v>
      </c>
      <c r="G11" s="178" t="s">
        <v>76</v>
      </c>
      <c r="H11" s="180">
        <v>15</v>
      </c>
      <c r="I11" s="224">
        <f t="shared" ref="I11:I18" si="9">J11/H11</f>
        <v>590</v>
      </c>
      <c r="J11" s="182">
        <v>8850</v>
      </c>
      <c r="K11" s="184">
        <f t="shared" si="0"/>
        <v>8850</v>
      </c>
      <c r="L11" s="185">
        <v>0</v>
      </c>
      <c r="M11" s="185">
        <f t="shared" ref="M11:M18" si="10">K11+L11</f>
        <v>8850</v>
      </c>
      <c r="N11" s="185">
        <f t="shared" si="1"/>
        <v>7641.91</v>
      </c>
      <c r="O11" s="185">
        <f t="shared" ref="O11" si="11">M11-N11</f>
        <v>1208.0900000000001</v>
      </c>
      <c r="P11" s="186">
        <f t="shared" ref="P11" si="12">VLOOKUP(M11,Tarifa1,3)</f>
        <v>0.21360000000000001</v>
      </c>
      <c r="Q11" s="185">
        <f t="shared" ref="Q11" si="13">O11*P11</f>
        <v>258.04802400000005</v>
      </c>
      <c r="R11" s="187">
        <f t="shared" si="3"/>
        <v>809.25</v>
      </c>
      <c r="S11" s="185">
        <f t="shared" ref="S11:S18" si="14">Q11+R11</f>
        <v>1067.2980240000002</v>
      </c>
      <c r="T11" s="185">
        <f t="shared" ref="T11:T18" si="15">VLOOKUP(M11,Credito1,2)</f>
        <v>0</v>
      </c>
      <c r="U11" s="185">
        <f t="shared" ref="U11:U18" si="16">ROUND(S11-T11,2)</f>
        <v>1067.3</v>
      </c>
      <c r="V11" s="184">
        <f t="shared" si="5"/>
        <v>0</v>
      </c>
      <c r="W11" s="184">
        <f t="shared" si="6"/>
        <v>1067.3</v>
      </c>
      <c r="X11" s="188">
        <v>0</v>
      </c>
      <c r="Y11" s="184">
        <f t="shared" si="7"/>
        <v>1067.3</v>
      </c>
      <c r="Z11" s="184">
        <f t="shared" si="8"/>
        <v>7782.7</v>
      </c>
      <c r="AA11" s="33"/>
    </row>
    <row r="12" spans="1:28" ht="79.5" customHeight="1" x14ac:dyDescent="0.35">
      <c r="A12" s="116" t="s">
        <v>86</v>
      </c>
      <c r="B12" s="176" t="s">
        <v>274</v>
      </c>
      <c r="C12" s="177" t="s">
        <v>127</v>
      </c>
      <c r="D12" s="263" t="s">
        <v>277</v>
      </c>
      <c r="E12" s="178" t="s">
        <v>289</v>
      </c>
      <c r="F12" s="178" t="s">
        <v>391</v>
      </c>
      <c r="G12" s="178" t="s">
        <v>76</v>
      </c>
      <c r="H12" s="180">
        <v>15</v>
      </c>
      <c r="I12" s="224">
        <f t="shared" si="9"/>
        <v>590</v>
      </c>
      <c r="J12" s="182">
        <v>8850</v>
      </c>
      <c r="K12" s="184">
        <f t="shared" si="0"/>
        <v>8850</v>
      </c>
      <c r="L12" s="185">
        <v>0</v>
      </c>
      <c r="M12" s="185">
        <f t="shared" si="10"/>
        <v>8850</v>
      </c>
      <c r="N12" s="185">
        <f t="shared" si="1"/>
        <v>7641.91</v>
      </c>
      <c r="O12" s="185">
        <f t="shared" ref="O12:O18" si="17">M12-N12</f>
        <v>1208.0900000000001</v>
      </c>
      <c r="P12" s="186">
        <f t="shared" ref="P12:P18" si="18">VLOOKUP(M12,Tarifa1,3)</f>
        <v>0.21360000000000001</v>
      </c>
      <c r="Q12" s="185">
        <f t="shared" ref="Q12:Q18" si="19">O12*P12</f>
        <v>258.04802400000005</v>
      </c>
      <c r="R12" s="187">
        <f t="shared" si="3"/>
        <v>809.25</v>
      </c>
      <c r="S12" s="185">
        <f t="shared" si="14"/>
        <v>1067.2980240000002</v>
      </c>
      <c r="T12" s="185">
        <f t="shared" si="15"/>
        <v>0</v>
      </c>
      <c r="U12" s="185">
        <f t="shared" si="16"/>
        <v>1067.3</v>
      </c>
      <c r="V12" s="184">
        <f t="shared" si="5"/>
        <v>0</v>
      </c>
      <c r="W12" s="184">
        <f t="shared" si="6"/>
        <v>1067.3</v>
      </c>
      <c r="X12" s="188">
        <v>0</v>
      </c>
      <c r="Y12" s="184">
        <f t="shared" si="7"/>
        <v>1067.3</v>
      </c>
      <c r="Z12" s="184">
        <f t="shared" si="8"/>
        <v>7782.7</v>
      </c>
      <c r="AA12" s="33"/>
    </row>
    <row r="13" spans="1:28" ht="79.5" customHeight="1" x14ac:dyDescent="0.35">
      <c r="A13" s="116" t="s">
        <v>87</v>
      </c>
      <c r="B13" s="176" t="s">
        <v>309</v>
      </c>
      <c r="C13" s="177" t="s">
        <v>127</v>
      </c>
      <c r="D13" s="264" t="s">
        <v>278</v>
      </c>
      <c r="E13" s="178" t="s">
        <v>286</v>
      </c>
      <c r="F13" s="178" t="s">
        <v>392</v>
      </c>
      <c r="G13" s="178" t="s">
        <v>76</v>
      </c>
      <c r="H13" s="180">
        <v>10</v>
      </c>
      <c r="I13" s="224">
        <f t="shared" si="9"/>
        <v>885</v>
      </c>
      <c r="J13" s="182">
        <v>8850</v>
      </c>
      <c r="K13" s="184">
        <f t="shared" ref="K13" si="20">SUM(J13:J13)</f>
        <v>8850</v>
      </c>
      <c r="L13" s="185">
        <v>0</v>
      </c>
      <c r="M13" s="185">
        <f t="shared" ref="M13" si="21">K13+L13</f>
        <v>8850</v>
      </c>
      <c r="N13" s="185">
        <f t="shared" si="1"/>
        <v>7641.91</v>
      </c>
      <c r="O13" s="185">
        <f t="shared" si="17"/>
        <v>1208.0900000000001</v>
      </c>
      <c r="P13" s="186">
        <f t="shared" si="18"/>
        <v>0.21360000000000001</v>
      </c>
      <c r="Q13" s="185">
        <f t="shared" si="19"/>
        <v>258.04802400000005</v>
      </c>
      <c r="R13" s="187">
        <f t="shared" si="3"/>
        <v>809.25</v>
      </c>
      <c r="S13" s="185">
        <f t="shared" ref="S13" si="22">Q13+R13</f>
        <v>1067.2980240000002</v>
      </c>
      <c r="T13" s="185">
        <f t="shared" ref="T13" si="23">VLOOKUP(M13,Credito1,2)</f>
        <v>0</v>
      </c>
      <c r="U13" s="185">
        <f t="shared" ref="U13" si="24">ROUND(S13-T13,2)</f>
        <v>1067.3</v>
      </c>
      <c r="V13" s="184">
        <f t="shared" si="5"/>
        <v>0</v>
      </c>
      <c r="W13" s="184">
        <f t="shared" si="6"/>
        <v>1067.3</v>
      </c>
      <c r="X13" s="188">
        <v>0</v>
      </c>
      <c r="Y13" s="184">
        <f t="shared" si="7"/>
        <v>1067.3</v>
      </c>
      <c r="Z13" s="184">
        <f t="shared" si="8"/>
        <v>7782.7</v>
      </c>
      <c r="AA13" s="33"/>
    </row>
    <row r="14" spans="1:28" ht="79.5" customHeight="1" x14ac:dyDescent="0.35">
      <c r="A14" s="116" t="s">
        <v>88</v>
      </c>
      <c r="B14" s="176" t="s">
        <v>310</v>
      </c>
      <c r="C14" s="177" t="s">
        <v>127</v>
      </c>
      <c r="D14" s="265" t="s">
        <v>279</v>
      </c>
      <c r="E14" s="199" t="s">
        <v>288</v>
      </c>
      <c r="F14" s="199" t="s">
        <v>393</v>
      </c>
      <c r="G14" s="199" t="s">
        <v>76</v>
      </c>
      <c r="H14" s="200">
        <v>15</v>
      </c>
      <c r="I14" s="225">
        <f t="shared" si="9"/>
        <v>590</v>
      </c>
      <c r="J14" s="182">
        <v>8850</v>
      </c>
      <c r="K14" s="184">
        <f t="shared" ref="K14" si="25">SUM(J14:J14)</f>
        <v>8850</v>
      </c>
      <c r="L14" s="185">
        <v>0</v>
      </c>
      <c r="M14" s="185">
        <f t="shared" si="10"/>
        <v>8850</v>
      </c>
      <c r="N14" s="185">
        <f t="shared" si="1"/>
        <v>7641.91</v>
      </c>
      <c r="O14" s="185">
        <f t="shared" si="17"/>
        <v>1208.0900000000001</v>
      </c>
      <c r="P14" s="186">
        <f t="shared" si="18"/>
        <v>0.21360000000000001</v>
      </c>
      <c r="Q14" s="185">
        <f t="shared" si="19"/>
        <v>258.04802400000005</v>
      </c>
      <c r="R14" s="187">
        <f t="shared" si="3"/>
        <v>809.25</v>
      </c>
      <c r="S14" s="185">
        <f t="shared" si="14"/>
        <v>1067.2980240000002</v>
      </c>
      <c r="T14" s="185">
        <f t="shared" si="15"/>
        <v>0</v>
      </c>
      <c r="U14" s="185">
        <f t="shared" si="16"/>
        <v>1067.3</v>
      </c>
      <c r="V14" s="184">
        <f t="shared" ref="V14" si="26">-IF(U14&gt;0,0,U14)</f>
        <v>0</v>
      </c>
      <c r="W14" s="184">
        <f t="shared" si="6"/>
        <v>1067.3</v>
      </c>
      <c r="X14" s="188">
        <v>0</v>
      </c>
      <c r="Y14" s="184">
        <f t="shared" ref="Y14" si="27">SUM(W14:X14)</f>
        <v>1067.3</v>
      </c>
      <c r="Z14" s="184">
        <f t="shared" ref="Z14" si="28">K14+V14-Y14</f>
        <v>7782.7</v>
      </c>
      <c r="AA14" s="33"/>
    </row>
    <row r="15" spans="1:28" ht="79.5" customHeight="1" x14ac:dyDescent="0.35">
      <c r="A15" s="116" t="s">
        <v>89</v>
      </c>
      <c r="B15" s="176" t="s">
        <v>311</v>
      </c>
      <c r="C15" s="177" t="s">
        <v>127</v>
      </c>
      <c r="D15" s="263" t="s">
        <v>280</v>
      </c>
      <c r="E15" s="178" t="s">
        <v>303</v>
      </c>
      <c r="F15" s="178" t="s">
        <v>394</v>
      </c>
      <c r="G15" s="178" t="s">
        <v>76</v>
      </c>
      <c r="H15" s="180">
        <v>15</v>
      </c>
      <c r="I15" s="224">
        <f t="shared" si="9"/>
        <v>590</v>
      </c>
      <c r="J15" s="182">
        <v>8850</v>
      </c>
      <c r="K15" s="184">
        <f t="shared" si="0"/>
        <v>8850</v>
      </c>
      <c r="L15" s="185">
        <v>0</v>
      </c>
      <c r="M15" s="185">
        <f t="shared" si="10"/>
        <v>8850</v>
      </c>
      <c r="N15" s="185">
        <f t="shared" si="1"/>
        <v>7641.91</v>
      </c>
      <c r="O15" s="185">
        <f t="shared" si="17"/>
        <v>1208.0900000000001</v>
      </c>
      <c r="P15" s="186">
        <f t="shared" si="18"/>
        <v>0.21360000000000001</v>
      </c>
      <c r="Q15" s="185">
        <f t="shared" si="19"/>
        <v>258.04802400000005</v>
      </c>
      <c r="R15" s="187">
        <f t="shared" si="3"/>
        <v>809.25</v>
      </c>
      <c r="S15" s="185">
        <f t="shared" si="14"/>
        <v>1067.2980240000002</v>
      </c>
      <c r="T15" s="185">
        <f t="shared" si="15"/>
        <v>0</v>
      </c>
      <c r="U15" s="185">
        <f t="shared" si="16"/>
        <v>1067.3</v>
      </c>
      <c r="V15" s="184">
        <f t="shared" si="5"/>
        <v>0</v>
      </c>
      <c r="W15" s="184">
        <f t="shared" si="6"/>
        <v>1067.3</v>
      </c>
      <c r="X15" s="188">
        <v>0</v>
      </c>
      <c r="Y15" s="184">
        <f t="shared" si="7"/>
        <v>1067.3</v>
      </c>
      <c r="Z15" s="184">
        <f t="shared" si="8"/>
        <v>7782.7</v>
      </c>
      <c r="AA15" s="33"/>
    </row>
    <row r="16" spans="1:28" ht="79.5" customHeight="1" x14ac:dyDescent="0.35">
      <c r="A16" s="116" t="s">
        <v>90</v>
      </c>
      <c r="B16" s="176" t="s">
        <v>281</v>
      </c>
      <c r="C16" s="177" t="s">
        <v>127</v>
      </c>
      <c r="D16" s="263" t="s">
        <v>282</v>
      </c>
      <c r="E16" s="178" t="s">
        <v>283</v>
      </c>
      <c r="F16" s="178" t="s">
        <v>345</v>
      </c>
      <c r="G16" s="178" t="s">
        <v>76</v>
      </c>
      <c r="H16" s="180">
        <v>15</v>
      </c>
      <c r="I16" s="224">
        <f t="shared" si="9"/>
        <v>590</v>
      </c>
      <c r="J16" s="182">
        <v>8850</v>
      </c>
      <c r="K16" s="184">
        <f t="shared" si="0"/>
        <v>8850</v>
      </c>
      <c r="L16" s="185">
        <v>0</v>
      </c>
      <c r="M16" s="185">
        <f t="shared" si="10"/>
        <v>8850</v>
      </c>
      <c r="N16" s="185">
        <f t="shared" si="1"/>
        <v>7641.91</v>
      </c>
      <c r="O16" s="185">
        <f t="shared" si="17"/>
        <v>1208.0900000000001</v>
      </c>
      <c r="P16" s="186">
        <f t="shared" si="18"/>
        <v>0.21360000000000001</v>
      </c>
      <c r="Q16" s="185">
        <f t="shared" si="19"/>
        <v>258.04802400000005</v>
      </c>
      <c r="R16" s="187">
        <f t="shared" si="3"/>
        <v>809.25</v>
      </c>
      <c r="S16" s="185">
        <f t="shared" si="14"/>
        <v>1067.2980240000002</v>
      </c>
      <c r="T16" s="185">
        <f t="shared" si="15"/>
        <v>0</v>
      </c>
      <c r="U16" s="185">
        <f t="shared" si="16"/>
        <v>1067.3</v>
      </c>
      <c r="V16" s="184">
        <f t="shared" si="5"/>
        <v>0</v>
      </c>
      <c r="W16" s="184">
        <f t="shared" si="6"/>
        <v>1067.3</v>
      </c>
      <c r="X16" s="188">
        <v>0</v>
      </c>
      <c r="Y16" s="184">
        <f t="shared" si="7"/>
        <v>1067.3</v>
      </c>
      <c r="Z16" s="184">
        <f t="shared" si="8"/>
        <v>7782.7</v>
      </c>
      <c r="AA16" s="33"/>
    </row>
    <row r="17" spans="1:27" ht="79.5" customHeight="1" x14ac:dyDescent="0.35">
      <c r="A17" s="116" t="s">
        <v>91</v>
      </c>
      <c r="B17" s="176" t="s">
        <v>312</v>
      </c>
      <c r="C17" s="177" t="s">
        <v>127</v>
      </c>
      <c r="D17" s="263" t="s">
        <v>284</v>
      </c>
      <c r="E17" s="178" t="s">
        <v>285</v>
      </c>
      <c r="F17" s="178" t="s">
        <v>395</v>
      </c>
      <c r="G17" s="178" t="s">
        <v>76</v>
      </c>
      <c r="H17" s="180">
        <v>15</v>
      </c>
      <c r="I17" s="224">
        <f t="shared" si="9"/>
        <v>590</v>
      </c>
      <c r="J17" s="182">
        <v>8850</v>
      </c>
      <c r="K17" s="184">
        <f t="shared" si="0"/>
        <v>8850</v>
      </c>
      <c r="L17" s="185">
        <v>0</v>
      </c>
      <c r="M17" s="185">
        <f t="shared" si="10"/>
        <v>8850</v>
      </c>
      <c r="N17" s="185">
        <f t="shared" si="1"/>
        <v>7641.91</v>
      </c>
      <c r="O17" s="185">
        <f t="shared" si="17"/>
        <v>1208.0900000000001</v>
      </c>
      <c r="P17" s="186">
        <f t="shared" si="18"/>
        <v>0.21360000000000001</v>
      </c>
      <c r="Q17" s="185">
        <f t="shared" si="19"/>
        <v>258.04802400000005</v>
      </c>
      <c r="R17" s="187">
        <f t="shared" si="3"/>
        <v>809.25</v>
      </c>
      <c r="S17" s="185">
        <f t="shared" si="14"/>
        <v>1067.2980240000002</v>
      </c>
      <c r="T17" s="185">
        <f t="shared" si="15"/>
        <v>0</v>
      </c>
      <c r="U17" s="185">
        <f t="shared" si="16"/>
        <v>1067.3</v>
      </c>
      <c r="V17" s="184">
        <f t="shared" si="5"/>
        <v>0</v>
      </c>
      <c r="W17" s="184">
        <f t="shared" si="6"/>
        <v>1067.3</v>
      </c>
      <c r="X17" s="188">
        <v>0</v>
      </c>
      <c r="Y17" s="184">
        <f t="shared" si="7"/>
        <v>1067.3</v>
      </c>
      <c r="Z17" s="184">
        <f t="shared" si="8"/>
        <v>7782.7</v>
      </c>
      <c r="AA17" s="33"/>
    </row>
    <row r="18" spans="1:27" ht="79.5" customHeight="1" x14ac:dyDescent="0.35">
      <c r="A18" s="116" t="s">
        <v>92</v>
      </c>
      <c r="B18" s="176" t="s">
        <v>313</v>
      </c>
      <c r="C18" s="177" t="s">
        <v>127</v>
      </c>
      <c r="D18" s="263" t="s">
        <v>321</v>
      </c>
      <c r="E18" s="178" t="s">
        <v>304</v>
      </c>
      <c r="F18" s="178" t="s">
        <v>396</v>
      </c>
      <c r="G18" s="178" t="s">
        <v>76</v>
      </c>
      <c r="H18" s="180">
        <v>15</v>
      </c>
      <c r="I18" s="224">
        <f t="shared" si="9"/>
        <v>590</v>
      </c>
      <c r="J18" s="182">
        <v>8850</v>
      </c>
      <c r="K18" s="184">
        <f t="shared" si="0"/>
        <v>8850</v>
      </c>
      <c r="L18" s="185">
        <v>0</v>
      </c>
      <c r="M18" s="185">
        <f t="shared" si="10"/>
        <v>8850</v>
      </c>
      <c r="N18" s="185">
        <f t="shared" si="1"/>
        <v>7641.91</v>
      </c>
      <c r="O18" s="185">
        <f t="shared" si="17"/>
        <v>1208.0900000000001</v>
      </c>
      <c r="P18" s="186">
        <f t="shared" si="18"/>
        <v>0.21360000000000001</v>
      </c>
      <c r="Q18" s="185">
        <f t="shared" si="19"/>
        <v>258.04802400000005</v>
      </c>
      <c r="R18" s="187">
        <f t="shared" si="3"/>
        <v>809.25</v>
      </c>
      <c r="S18" s="185">
        <f t="shared" si="14"/>
        <v>1067.2980240000002</v>
      </c>
      <c r="T18" s="185">
        <f t="shared" si="15"/>
        <v>0</v>
      </c>
      <c r="U18" s="185">
        <f t="shared" si="16"/>
        <v>1067.3</v>
      </c>
      <c r="V18" s="184">
        <f t="shared" si="5"/>
        <v>0</v>
      </c>
      <c r="W18" s="184">
        <f t="shared" si="6"/>
        <v>1067.3</v>
      </c>
      <c r="X18" s="188">
        <v>0</v>
      </c>
      <c r="Y18" s="184">
        <f>SUM(W18:X18)</f>
        <v>1067.3</v>
      </c>
      <c r="Z18" s="184">
        <f t="shared" si="8"/>
        <v>7782.7</v>
      </c>
      <c r="AA18" s="33"/>
    </row>
    <row r="19" spans="1:27" ht="21.75" customHeight="1" x14ac:dyDescent="0.3">
      <c r="A19" s="209"/>
      <c r="B19" s="209"/>
      <c r="C19" s="209"/>
      <c r="D19" s="209"/>
      <c r="E19" s="209"/>
      <c r="F19" s="209"/>
      <c r="G19" s="209"/>
      <c r="H19" s="209"/>
      <c r="I19" s="209"/>
      <c r="J19" s="215"/>
      <c r="K19" s="215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27" ht="40.5" customHeight="1" thickBot="1" x14ac:dyDescent="0.35">
      <c r="A20" s="280" t="s">
        <v>44</v>
      </c>
      <c r="B20" s="281"/>
      <c r="C20" s="281"/>
      <c r="D20" s="281"/>
      <c r="E20" s="281"/>
      <c r="F20" s="281"/>
      <c r="G20" s="281"/>
      <c r="H20" s="281"/>
      <c r="I20" s="282"/>
      <c r="J20" s="191">
        <f>SUM(J10:J19)</f>
        <v>79650</v>
      </c>
      <c r="K20" s="191">
        <f>SUM(K10:K19)</f>
        <v>79650</v>
      </c>
      <c r="L20" s="192">
        <f t="shared" ref="L20:U20" si="29">SUM(L10:L19)</f>
        <v>0</v>
      </c>
      <c r="M20" s="192">
        <f t="shared" si="29"/>
        <v>79650</v>
      </c>
      <c r="N20" s="192">
        <f t="shared" si="29"/>
        <v>68777.190000000017</v>
      </c>
      <c r="O20" s="192">
        <f t="shared" si="29"/>
        <v>10872.810000000001</v>
      </c>
      <c r="P20" s="192">
        <f t="shared" si="29"/>
        <v>1.9224000000000001</v>
      </c>
      <c r="Q20" s="192">
        <f t="shared" si="29"/>
        <v>2322.4322160000011</v>
      </c>
      <c r="R20" s="192">
        <f t="shared" si="29"/>
        <v>7283.25</v>
      </c>
      <c r="S20" s="192">
        <f t="shared" si="29"/>
        <v>9605.6822159999992</v>
      </c>
      <c r="T20" s="192">
        <f t="shared" si="29"/>
        <v>0</v>
      </c>
      <c r="U20" s="192">
        <f t="shared" si="29"/>
        <v>9605.6999999999989</v>
      </c>
      <c r="V20" s="191">
        <f>SUM(V10:V19)</f>
        <v>0</v>
      </c>
      <c r="W20" s="191">
        <f>SUM(W10:W19)</f>
        <v>9605.6999999999989</v>
      </c>
      <c r="X20" s="191">
        <f>SUM(X10:X19)</f>
        <v>0</v>
      </c>
      <c r="Y20" s="191">
        <f>SUM(Y10:Y19)</f>
        <v>9605.6999999999989</v>
      </c>
      <c r="Z20" s="191">
        <f>SUM(Z10:Z19)</f>
        <v>70044.299999999988</v>
      </c>
    </row>
    <row r="21" spans="1:27" ht="13.8" thickTop="1" x14ac:dyDescent="0.25"/>
  </sheetData>
  <sortState ref="D10:F18">
    <sortCondition ref="D10"/>
  </sortState>
  <mergeCells count="7">
    <mergeCell ref="A20:I20"/>
    <mergeCell ref="A1:AA1"/>
    <mergeCell ref="A2:AA2"/>
    <mergeCell ref="J6:K6"/>
    <mergeCell ref="N6:S6"/>
    <mergeCell ref="W6:Y6"/>
    <mergeCell ref="A3:AB3"/>
  </mergeCells>
  <pageMargins left="0.27559055118110237" right="0.27559055118110237" top="0.74803149606299213" bottom="0.39370078740157483" header="0.31496062992125984" footer="0.31496062992125984"/>
  <pageSetup scale="4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opLeftCell="A11" workbookViewId="0">
      <selection activeCell="A23" sqref="A23:XFD28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22.6640625" customWidth="1"/>
    <col min="5" max="5" width="32.33203125" customWidth="1"/>
    <col min="6" max="6" width="16.5546875" customWidth="1"/>
    <col min="7" max="8" width="0" hidden="1" customWidth="1"/>
    <col min="9" max="9" width="14.44140625" bestFit="1" customWidth="1"/>
    <col min="10" max="10" width="7.44140625" customWidth="1"/>
    <col min="11" max="11" width="14.44140625" bestFit="1" customWidth="1"/>
    <col min="12" max="12" width="11.44140625" hidden="1" customWidth="1"/>
    <col min="13" max="13" width="14.88671875" hidden="1" customWidth="1"/>
    <col min="14" max="14" width="14.6640625" hidden="1" customWidth="1"/>
    <col min="15" max="15" width="13" hidden="1" customWidth="1"/>
    <col min="16" max="16" width="11.44140625" hidden="1" customWidth="1"/>
    <col min="17" max="17" width="13.33203125" hidden="1" customWidth="1"/>
    <col min="18" max="19" width="12.5546875" hidden="1" customWidth="1"/>
    <col min="20" max="20" width="11.44140625" hidden="1" customWidth="1"/>
    <col min="21" max="21" width="12.88671875" hidden="1" customWidth="1"/>
    <col min="22" max="22" width="8.88671875" customWidth="1"/>
    <col min="23" max="23" width="12.6640625" customWidth="1"/>
    <col min="24" max="24" width="14" customWidth="1"/>
    <col min="25" max="25" width="13.109375" customWidth="1"/>
    <col min="26" max="26" width="14.44140625" bestFit="1" customWidth="1"/>
    <col min="27" max="27" width="54.554687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8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8" x14ac:dyDescent="0.25">
      <c r="A7" s="22"/>
      <c r="B7" s="22"/>
      <c r="C7" s="22"/>
      <c r="D7" s="22"/>
      <c r="E7" s="22"/>
      <c r="F7" s="22"/>
      <c r="G7" s="23" t="s">
        <v>22</v>
      </c>
      <c r="H7" s="23" t="s">
        <v>5</v>
      </c>
      <c r="I7" s="295" t="s">
        <v>1</v>
      </c>
      <c r="J7" s="296"/>
      <c r="K7" s="297"/>
      <c r="L7" s="24" t="s">
        <v>25</v>
      </c>
      <c r="M7" s="25"/>
      <c r="N7" s="298" t="s">
        <v>8</v>
      </c>
      <c r="O7" s="299"/>
      <c r="P7" s="299"/>
      <c r="Q7" s="299"/>
      <c r="R7" s="299"/>
      <c r="S7" s="300"/>
      <c r="T7" s="24" t="s">
        <v>29</v>
      </c>
      <c r="U7" s="24" t="s">
        <v>9</v>
      </c>
      <c r="V7" s="23" t="s">
        <v>52</v>
      </c>
      <c r="W7" s="301" t="s">
        <v>2</v>
      </c>
      <c r="X7" s="302"/>
      <c r="Y7" s="303"/>
      <c r="Z7" s="23" t="s">
        <v>0</v>
      </c>
      <c r="AA7" s="34"/>
    </row>
    <row r="8" spans="1:28" ht="21" x14ac:dyDescent="0.25">
      <c r="A8" s="44" t="s">
        <v>102</v>
      </c>
      <c r="B8" s="44" t="s">
        <v>128</v>
      </c>
      <c r="C8" s="26" t="s">
        <v>21</v>
      </c>
      <c r="D8" s="26"/>
      <c r="E8" s="26"/>
      <c r="F8" s="26"/>
      <c r="G8" s="27" t="s">
        <v>23</v>
      </c>
      <c r="H8" s="26" t="s">
        <v>24</v>
      </c>
      <c r="I8" s="23" t="s">
        <v>5</v>
      </c>
      <c r="J8" s="23" t="s">
        <v>58</v>
      </c>
      <c r="K8" s="23" t="s">
        <v>27</v>
      </c>
      <c r="L8" s="28" t="s">
        <v>26</v>
      </c>
      <c r="M8" s="25" t="s">
        <v>31</v>
      </c>
      <c r="N8" s="25" t="s">
        <v>11</v>
      </c>
      <c r="O8" s="25" t="s">
        <v>33</v>
      </c>
      <c r="P8" s="25" t="s">
        <v>35</v>
      </c>
      <c r="Q8" s="25" t="s">
        <v>36</v>
      </c>
      <c r="R8" s="25" t="s">
        <v>13</v>
      </c>
      <c r="S8" s="25" t="s">
        <v>9</v>
      </c>
      <c r="T8" s="28" t="s">
        <v>39</v>
      </c>
      <c r="U8" s="28" t="s">
        <v>40</v>
      </c>
      <c r="V8" s="26" t="s">
        <v>30</v>
      </c>
      <c r="W8" s="23" t="s">
        <v>451</v>
      </c>
      <c r="X8" s="23" t="s">
        <v>56</v>
      </c>
      <c r="Y8" s="23" t="s">
        <v>6</v>
      </c>
      <c r="Z8" s="26" t="s">
        <v>3</v>
      </c>
      <c r="AA8" s="36" t="s">
        <v>57</v>
      </c>
    </row>
    <row r="9" spans="1:28" x14ac:dyDescent="0.25">
      <c r="A9" s="29"/>
      <c r="B9" s="29"/>
      <c r="C9" s="29"/>
      <c r="D9" s="29"/>
      <c r="E9" s="29"/>
      <c r="F9" s="29"/>
      <c r="G9" s="29"/>
      <c r="H9" s="29"/>
      <c r="I9" s="29" t="s">
        <v>46</v>
      </c>
      <c r="J9" s="29" t="s">
        <v>59</v>
      </c>
      <c r="K9" s="29" t="s">
        <v>28</v>
      </c>
      <c r="L9" s="30" t="s">
        <v>42</v>
      </c>
      <c r="M9" s="24" t="s">
        <v>32</v>
      </c>
      <c r="N9" s="24" t="s">
        <v>12</v>
      </c>
      <c r="O9" s="24" t="s">
        <v>34</v>
      </c>
      <c r="P9" s="24" t="s">
        <v>34</v>
      </c>
      <c r="Q9" s="24" t="s">
        <v>37</v>
      </c>
      <c r="R9" s="24" t="s">
        <v>14</v>
      </c>
      <c r="S9" s="24" t="s">
        <v>38</v>
      </c>
      <c r="T9" s="28" t="s">
        <v>18</v>
      </c>
      <c r="U9" s="31" t="s">
        <v>41</v>
      </c>
      <c r="V9" s="29" t="s">
        <v>51</v>
      </c>
      <c r="W9" s="29"/>
      <c r="X9" s="29"/>
      <c r="Y9" s="29" t="s">
        <v>43</v>
      </c>
      <c r="Z9" s="29" t="s">
        <v>4</v>
      </c>
      <c r="AA9" s="35"/>
    </row>
    <row r="10" spans="1:28" ht="13.8" x14ac:dyDescent="0.25">
      <c r="A10" s="39"/>
      <c r="B10" s="39"/>
      <c r="C10" s="91" t="s">
        <v>75</v>
      </c>
      <c r="D10" s="38" t="s">
        <v>103</v>
      </c>
      <c r="E10" s="38" t="s">
        <v>340</v>
      </c>
      <c r="F10" s="38" t="s">
        <v>61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0"/>
      <c r="V10" s="39"/>
      <c r="W10" s="39"/>
      <c r="X10" s="39"/>
      <c r="Y10" s="39"/>
      <c r="Z10" s="39"/>
      <c r="AA10" s="92"/>
    </row>
    <row r="11" spans="1:28" ht="129" customHeight="1" x14ac:dyDescent="0.3">
      <c r="A11" s="176" t="s">
        <v>260</v>
      </c>
      <c r="B11" s="177" t="s">
        <v>127</v>
      </c>
      <c r="C11" s="179" t="s">
        <v>261</v>
      </c>
      <c r="D11" s="178" t="s">
        <v>262</v>
      </c>
      <c r="E11" s="178" t="s">
        <v>361</v>
      </c>
      <c r="F11" s="179" t="s">
        <v>336</v>
      </c>
      <c r="G11" s="180">
        <v>15</v>
      </c>
      <c r="H11" s="181">
        <f>I11/G11</f>
        <v>990.6</v>
      </c>
      <c r="I11" s="182">
        <v>14859</v>
      </c>
      <c r="J11" s="183">
        <v>0</v>
      </c>
      <c r="K11" s="184">
        <f>SUM(I11:J11)</f>
        <v>14859</v>
      </c>
      <c r="L11" s="185">
        <f>J11/2</f>
        <v>0</v>
      </c>
      <c r="M11" s="185">
        <f>I11+L11</f>
        <v>14859</v>
      </c>
      <c r="N11" s="185">
        <f>VLOOKUP(M11,Tarifa1,1)</f>
        <v>7641.91</v>
      </c>
      <c r="O11" s="185">
        <f>M11-N11</f>
        <v>7217.09</v>
      </c>
      <c r="P11" s="186">
        <f t="shared" ref="P11" si="0">VLOOKUP(M11,Tarifa1,3)</f>
        <v>0.21360000000000001</v>
      </c>
      <c r="Q11" s="185">
        <f>O11*P11</f>
        <v>1541.5704240000002</v>
      </c>
      <c r="R11" s="187">
        <f>VLOOKUP(M11,Tarifa1,2)</f>
        <v>809.25</v>
      </c>
      <c r="S11" s="185">
        <f>Q11+R11</f>
        <v>2350.8204240000005</v>
      </c>
      <c r="T11" s="185">
        <f t="shared" ref="T11" si="1">VLOOKUP(M11,Credito1,2)</f>
        <v>0</v>
      </c>
      <c r="U11" s="185">
        <f>ROUND(S11-T11,2)</f>
        <v>2350.8200000000002</v>
      </c>
      <c r="V11" s="184">
        <f t="shared" ref="V11" si="2">-IF(U11&gt;0,0,U11)</f>
        <v>0</v>
      </c>
      <c r="W11" s="184">
        <f>IF(I11/15&lt;=SMG,0,IF(U11&lt;0,0,U11))</f>
        <v>2350.8200000000002</v>
      </c>
      <c r="X11" s="188">
        <v>0</v>
      </c>
      <c r="Y11" s="184">
        <f>SUM(W11:X11)</f>
        <v>2350.8200000000002</v>
      </c>
      <c r="Z11" s="184">
        <f>K11+V11-Y11</f>
        <v>12508.18</v>
      </c>
      <c r="AA11" s="93"/>
    </row>
    <row r="12" spans="1:28" ht="17.399999999999999" x14ac:dyDescent="0.3">
      <c r="A12" s="209"/>
      <c r="B12" s="209"/>
      <c r="C12" s="209"/>
      <c r="D12" s="209"/>
      <c r="E12" s="209"/>
      <c r="F12" s="209"/>
      <c r="G12" s="210"/>
      <c r="H12" s="209"/>
      <c r="I12" s="211"/>
      <c r="J12" s="211"/>
      <c r="K12" s="211"/>
      <c r="L12" s="212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3" spans="1:28" ht="41.25" customHeight="1" thickBot="1" x14ac:dyDescent="0.35">
      <c r="A13" s="281"/>
      <c r="B13" s="281"/>
      <c r="C13" s="281"/>
      <c r="D13" s="281"/>
      <c r="E13" s="281"/>
      <c r="F13" s="281"/>
      <c r="G13" s="281"/>
      <c r="H13" s="282"/>
      <c r="I13" s="191">
        <f t="shared" ref="I13:Z13" si="3">SUM(I11:I12)</f>
        <v>14859</v>
      </c>
      <c r="J13" s="191">
        <f t="shared" si="3"/>
        <v>0</v>
      </c>
      <c r="K13" s="191">
        <f t="shared" si="3"/>
        <v>14859</v>
      </c>
      <c r="L13" s="192">
        <f t="shared" si="3"/>
        <v>0</v>
      </c>
      <c r="M13" s="192">
        <f t="shared" si="3"/>
        <v>14859</v>
      </c>
      <c r="N13" s="192">
        <f t="shared" si="3"/>
        <v>7641.91</v>
      </c>
      <c r="O13" s="192">
        <f t="shared" si="3"/>
        <v>7217.09</v>
      </c>
      <c r="P13" s="192">
        <f t="shared" si="3"/>
        <v>0.21360000000000001</v>
      </c>
      <c r="Q13" s="192">
        <f t="shared" si="3"/>
        <v>1541.5704240000002</v>
      </c>
      <c r="R13" s="192">
        <f t="shared" si="3"/>
        <v>809.25</v>
      </c>
      <c r="S13" s="192">
        <f t="shared" si="3"/>
        <v>2350.8204240000005</v>
      </c>
      <c r="T13" s="192">
        <f t="shared" si="3"/>
        <v>0</v>
      </c>
      <c r="U13" s="192">
        <f t="shared" si="3"/>
        <v>2350.8200000000002</v>
      </c>
      <c r="V13" s="191">
        <f t="shared" si="3"/>
        <v>0</v>
      </c>
      <c r="W13" s="191">
        <f t="shared" si="3"/>
        <v>2350.8200000000002</v>
      </c>
      <c r="X13" s="191">
        <f t="shared" si="3"/>
        <v>0</v>
      </c>
      <c r="Y13" s="191">
        <f t="shared" si="3"/>
        <v>2350.8200000000002</v>
      </c>
      <c r="Z13" s="191">
        <f t="shared" si="3"/>
        <v>12508.18</v>
      </c>
    </row>
    <row r="14" spans="1:28" ht="13.8" thickTop="1" x14ac:dyDescent="0.25"/>
  </sheetData>
  <mergeCells count="7">
    <mergeCell ref="A13:H13"/>
    <mergeCell ref="A1:AB1"/>
    <mergeCell ref="A2:AB2"/>
    <mergeCell ref="A3:AB3"/>
    <mergeCell ref="I7:K7"/>
    <mergeCell ref="N7:S7"/>
    <mergeCell ref="W7:Y7"/>
  </mergeCells>
  <pageMargins left="0.27559055118110237" right="0.27559055118110237" top="0.74803149606299213" bottom="0.74803149606299213" header="0.31496062992125984" footer="0.31496062992125984"/>
  <pageSetup scale="4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2023-02-15T18:38:16Z</cp:lastPrinted>
  <dcterms:created xsi:type="dcterms:W3CDTF">2000-05-05T04:08:27Z</dcterms:created>
  <dcterms:modified xsi:type="dcterms:W3CDTF">2024-11-15T17:40:31Z</dcterms:modified>
</cp:coreProperties>
</file>