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SINDICO!$1:$24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35" l="1"/>
  <c r="K14" i="135" s="1"/>
  <c r="I14" i="135"/>
  <c r="X26" i="123"/>
  <c r="J26" i="123"/>
  <c r="I26" i="123"/>
  <c r="X11" i="123"/>
  <c r="J11" i="123"/>
  <c r="I11" i="123"/>
  <c r="L14" i="133"/>
  <c r="M14" i="133" s="1"/>
  <c r="K14" i="133"/>
  <c r="R14" i="135" l="1"/>
  <c r="N14" i="135"/>
  <c r="P14" i="135"/>
  <c r="L14" i="135"/>
  <c r="M14" i="135" s="1"/>
  <c r="T14" i="133"/>
  <c r="P14" i="133"/>
  <c r="R14" i="133"/>
  <c r="N14" i="133"/>
  <c r="O14" i="133" s="1"/>
  <c r="Q14" i="133" l="1"/>
  <c r="S14" i="133" s="1"/>
  <c r="U14" i="133" s="1"/>
  <c r="W14" i="133" s="1"/>
  <c r="X14" i="133" s="1"/>
  <c r="O14" i="135"/>
  <c r="Q14" i="135" s="1"/>
  <c r="S14" i="135" s="1"/>
  <c r="U14" i="135" s="1"/>
  <c r="V14" i="135" s="1"/>
  <c r="V14" i="133" l="1"/>
  <c r="Y14" i="133" s="1"/>
  <c r="T14" i="135"/>
  <c r="W14" i="135" s="1"/>
  <c r="J25" i="135" l="1"/>
  <c r="K25" i="135" s="1"/>
  <c r="I25" i="135"/>
  <c r="J24" i="135"/>
  <c r="K24" i="135" s="1"/>
  <c r="I24" i="135"/>
  <c r="L32" i="123"/>
  <c r="M32" i="123" s="1"/>
  <c r="T32" i="123" s="1"/>
  <c r="K32" i="123"/>
  <c r="L14" i="121"/>
  <c r="M14" i="121" s="1"/>
  <c r="K14" i="121"/>
  <c r="W13" i="123"/>
  <c r="Y13" i="123" s="1"/>
  <c r="L13" i="123"/>
  <c r="M13" i="123" s="1"/>
  <c r="K13" i="123"/>
  <c r="W28" i="123"/>
  <c r="Y28" i="123" s="1"/>
  <c r="L28" i="123"/>
  <c r="M28" i="123" s="1"/>
  <c r="K28" i="123"/>
  <c r="B3" i="135"/>
  <c r="I29" i="123"/>
  <c r="R25" i="135" l="1"/>
  <c r="N25" i="135"/>
  <c r="P25" i="135"/>
  <c r="L25" i="135"/>
  <c r="M25" i="135" s="1"/>
  <c r="P24" i="135"/>
  <c r="L24" i="135"/>
  <c r="M24" i="135" s="1"/>
  <c r="R24" i="135"/>
  <c r="N24" i="135"/>
  <c r="N32" i="123"/>
  <c r="O32" i="123" s="1"/>
  <c r="R32" i="123"/>
  <c r="P32" i="123"/>
  <c r="T14" i="121"/>
  <c r="P14" i="121"/>
  <c r="R14" i="121"/>
  <c r="N14" i="121"/>
  <c r="O14" i="121" s="1"/>
  <c r="T13" i="123"/>
  <c r="P13" i="123"/>
  <c r="R13" i="123"/>
  <c r="N13" i="123"/>
  <c r="O13" i="123" s="1"/>
  <c r="R28" i="123"/>
  <c r="T28" i="123"/>
  <c r="P28" i="123"/>
  <c r="N28" i="123"/>
  <c r="O28" i="123" s="1"/>
  <c r="J29" i="123"/>
  <c r="X29" i="123"/>
  <c r="J8" i="123"/>
  <c r="X8" i="123"/>
  <c r="I8" i="123"/>
  <c r="Q14" i="121" l="1"/>
  <c r="S14" i="121" s="1"/>
  <c r="U14" i="121" s="1"/>
  <c r="W14" i="121" s="1"/>
  <c r="Y14" i="121" s="1"/>
  <c r="O25" i="135"/>
  <c r="O24" i="135"/>
  <c r="Q24" i="135" s="1"/>
  <c r="S24" i="135" s="1"/>
  <c r="T24" i="135" s="1"/>
  <c r="Q32" i="123"/>
  <c r="S32" i="123" s="1"/>
  <c r="U32" i="123" s="1"/>
  <c r="V32" i="123" s="1"/>
  <c r="Q13" i="123"/>
  <c r="S13" i="123" s="1"/>
  <c r="U13" i="123" s="1"/>
  <c r="V13" i="123" s="1"/>
  <c r="Z13" i="123" s="1"/>
  <c r="Q25" i="135"/>
  <c r="S25" i="135" s="1"/>
  <c r="Q28" i="123"/>
  <c r="S28" i="123" s="1"/>
  <c r="U28" i="123" s="1"/>
  <c r="V28" i="123" s="1"/>
  <c r="Z28" i="123" s="1"/>
  <c r="L36" i="120"/>
  <c r="M36" i="120" s="1"/>
  <c r="K36" i="120"/>
  <c r="W32" i="123" l="1"/>
  <c r="Y32" i="123" s="1"/>
  <c r="Z32" i="123" s="1"/>
  <c r="V14" i="121"/>
  <c r="U24" i="135"/>
  <c r="V24" i="135" s="1"/>
  <c r="W24" i="135" s="1"/>
  <c r="U25" i="135"/>
  <c r="V25" i="135" s="1"/>
  <c r="T25" i="135"/>
  <c r="Z14" i="121"/>
  <c r="T36" i="120"/>
  <c r="P36" i="120"/>
  <c r="R36" i="120"/>
  <c r="N36" i="120"/>
  <c r="O36" i="120" s="1"/>
  <c r="L30" i="123"/>
  <c r="K30" i="123"/>
  <c r="L39" i="120"/>
  <c r="M39" i="120" s="1"/>
  <c r="K39" i="120"/>
  <c r="Q36" i="120" l="1"/>
  <c r="S36" i="120" s="1"/>
  <c r="U36" i="120" s="1"/>
  <c r="V36" i="120" s="1"/>
  <c r="W25" i="135"/>
  <c r="M30" i="123"/>
  <c r="T30" i="123" s="1"/>
  <c r="T39" i="120"/>
  <c r="P39" i="120"/>
  <c r="R39" i="120"/>
  <c r="N39" i="120"/>
  <c r="O39" i="120" s="1"/>
  <c r="R30" i="123" l="1"/>
  <c r="W36" i="120"/>
  <c r="X36" i="120" s="1"/>
  <c r="Y36" i="120" s="1"/>
  <c r="Q39" i="120"/>
  <c r="S39" i="120" s="1"/>
  <c r="U39" i="120" s="1"/>
  <c r="W39" i="120" s="1"/>
  <c r="X39" i="120" s="1"/>
  <c r="N30" i="123"/>
  <c r="P30" i="123"/>
  <c r="O30" i="123" l="1"/>
  <c r="V39" i="120"/>
  <c r="Y39" i="120" s="1"/>
  <c r="L27" i="123"/>
  <c r="K27" i="123"/>
  <c r="K26" i="123" s="1"/>
  <c r="J26" i="135"/>
  <c r="K26" i="135" s="1"/>
  <c r="I26" i="135"/>
  <c r="J23" i="135"/>
  <c r="K23" i="135" s="1"/>
  <c r="I23" i="135"/>
  <c r="L33" i="120"/>
  <c r="M33" i="120" s="1"/>
  <c r="K33" i="120"/>
  <c r="L12" i="121"/>
  <c r="M12" i="121" s="1"/>
  <c r="K12" i="121"/>
  <c r="M27" i="123" l="1"/>
  <c r="M26" i="123" s="1"/>
  <c r="L26" i="123"/>
  <c r="Q30" i="123"/>
  <c r="R26" i="135"/>
  <c r="N26" i="135"/>
  <c r="L26" i="135"/>
  <c r="M26" i="135" s="1"/>
  <c r="P26" i="135"/>
  <c r="R23" i="135"/>
  <c r="N23" i="135"/>
  <c r="P23" i="135"/>
  <c r="L23" i="135"/>
  <c r="M23" i="135" s="1"/>
  <c r="R33" i="120"/>
  <c r="N33" i="120"/>
  <c r="O33" i="120" s="1"/>
  <c r="T33" i="120"/>
  <c r="P33" i="120"/>
  <c r="T12" i="121"/>
  <c r="P12" i="121"/>
  <c r="R12" i="121"/>
  <c r="N12" i="121"/>
  <c r="O12" i="121" s="1"/>
  <c r="R27" i="123" l="1"/>
  <c r="R26" i="123" s="1"/>
  <c r="O26" i="135"/>
  <c r="Q26" i="135" s="1"/>
  <c r="S26" i="135" s="1"/>
  <c r="U26" i="135" s="1"/>
  <c r="V26" i="135" s="1"/>
  <c r="T27" i="123"/>
  <c r="T26" i="123" s="1"/>
  <c r="S30" i="123"/>
  <c r="N27" i="123"/>
  <c r="P27" i="123"/>
  <c r="P26" i="123" s="1"/>
  <c r="O23" i="135"/>
  <c r="Q23" i="135" s="1"/>
  <c r="S23" i="135" s="1"/>
  <c r="Q12" i="121"/>
  <c r="S12" i="121" s="1"/>
  <c r="U12" i="121" s="1"/>
  <c r="V12" i="121" s="1"/>
  <c r="Q33" i="120"/>
  <c r="S33" i="120" s="1"/>
  <c r="U33" i="120" s="1"/>
  <c r="V33" i="120" s="1"/>
  <c r="T26" i="135" l="1"/>
  <c r="W26" i="135" s="1"/>
  <c r="O27" i="123"/>
  <c r="N26" i="123"/>
  <c r="U30" i="123"/>
  <c r="W12" i="121"/>
  <c r="Y12" i="121" s="1"/>
  <c r="Z12" i="121" s="1"/>
  <c r="U23" i="135"/>
  <c r="V23" i="135" s="1"/>
  <c r="T23" i="135"/>
  <c r="W33" i="120"/>
  <c r="X33" i="120" s="1"/>
  <c r="Y33" i="120" s="1"/>
  <c r="L38" i="120"/>
  <c r="M38" i="120" s="1"/>
  <c r="T38" i="120" s="1"/>
  <c r="K38" i="120"/>
  <c r="H38" i="120"/>
  <c r="J13" i="135"/>
  <c r="K13" i="135" s="1"/>
  <c r="I13" i="135"/>
  <c r="J22" i="135"/>
  <c r="K22" i="135" s="1"/>
  <c r="I22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30" i="123" l="1"/>
  <c r="V30" i="123"/>
  <c r="O26" i="123"/>
  <c r="Q27" i="123"/>
  <c r="W23" i="135"/>
  <c r="N38" i="120"/>
  <c r="O38" i="120" s="1"/>
  <c r="R38" i="120"/>
  <c r="P38" i="120"/>
  <c r="R13" i="135"/>
  <c r="N13" i="135"/>
  <c r="P13" i="135"/>
  <c r="L13" i="135"/>
  <c r="M13" i="135" s="1"/>
  <c r="R22" i="135"/>
  <c r="N22" i="135"/>
  <c r="P22" i="135"/>
  <c r="L22" i="135"/>
  <c r="M22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13" i="135" l="1"/>
  <c r="Q13" i="135" s="1"/>
  <c r="S13" i="135" s="1"/>
  <c r="U13" i="135" s="1"/>
  <c r="V13" i="135" s="1"/>
  <c r="O22" i="135"/>
  <c r="Q22" i="135" s="1"/>
  <c r="S22" i="135" s="1"/>
  <c r="T22" i="135" s="1"/>
  <c r="S27" i="123"/>
  <c r="Q26" i="123"/>
  <c r="Y30" i="123"/>
  <c r="Q19" i="121"/>
  <c r="S19" i="121" s="1"/>
  <c r="U19" i="121" s="1"/>
  <c r="V19" i="121" s="1"/>
  <c r="Q38" i="120"/>
  <c r="S38" i="120" s="1"/>
  <c r="U38" i="120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V15" i="133" l="1"/>
  <c r="Y15" i="133" s="1"/>
  <c r="W19" i="121"/>
  <c r="Y19" i="121" s="1"/>
  <c r="Z19" i="121" s="1"/>
  <c r="T13" i="135"/>
  <c r="W13" i="135" s="1"/>
  <c r="U27" i="123"/>
  <c r="S26" i="123"/>
  <c r="Z30" i="123"/>
  <c r="U22" i="135"/>
  <c r="V22" i="135" s="1"/>
  <c r="W22" i="135" s="1"/>
  <c r="V16" i="133"/>
  <c r="Y16" i="133" s="1"/>
  <c r="W38" i="120"/>
  <c r="X38" i="120" s="1"/>
  <c r="V38" i="120"/>
  <c r="W27" i="123" l="1"/>
  <c r="W26" i="123" s="1"/>
  <c r="U26" i="123"/>
  <c r="V27" i="123"/>
  <c r="V26" i="123" s="1"/>
  <c r="Y38" i="120"/>
  <c r="Y27" i="123" l="1"/>
  <c r="Y26" i="123" s="1"/>
  <c r="K34" i="120"/>
  <c r="L34" i="120"/>
  <c r="M34" i="120" s="1"/>
  <c r="L15" i="120"/>
  <c r="M15" i="120" s="1"/>
  <c r="K15" i="120"/>
  <c r="L14" i="120"/>
  <c r="M14" i="120" s="1"/>
  <c r="K14" i="120"/>
  <c r="X27" i="121"/>
  <c r="J27" i="121"/>
  <c r="I27" i="121"/>
  <c r="J21" i="135"/>
  <c r="K21" i="135" s="1"/>
  <c r="I21" i="135"/>
  <c r="J20" i="135"/>
  <c r="K20" i="135" s="1"/>
  <c r="I20" i="135"/>
  <c r="L10" i="120"/>
  <c r="M10" i="120" s="1"/>
  <c r="K10" i="120"/>
  <c r="L31" i="121"/>
  <c r="M31" i="121" s="1"/>
  <c r="K31" i="121"/>
  <c r="L15" i="121"/>
  <c r="M15" i="121" s="1"/>
  <c r="K15" i="121"/>
  <c r="L31" i="123"/>
  <c r="K31" i="123"/>
  <c r="K29" i="123" s="1"/>
  <c r="J19" i="135"/>
  <c r="K19" i="135" s="1"/>
  <c r="I19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7" i="123"/>
  <c r="M17" i="123" s="1"/>
  <c r="K17" i="123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Z27" i="123"/>
  <c r="Z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P21" i="135"/>
  <c r="L21" i="135"/>
  <c r="M21" i="135" s="1"/>
  <c r="R21" i="135"/>
  <c r="N21" i="135"/>
  <c r="T10" i="120"/>
  <c r="N10" i="120"/>
  <c r="O10" i="120" s="1"/>
  <c r="R10" i="120"/>
  <c r="R20" i="135"/>
  <c r="N20" i="135"/>
  <c r="P20" i="135"/>
  <c r="L20" i="135"/>
  <c r="M20" i="135" s="1"/>
  <c r="P10" i="120"/>
  <c r="T31" i="121"/>
  <c r="P31" i="121"/>
  <c r="R31" i="121"/>
  <c r="N31" i="121"/>
  <c r="O31" i="121" s="1"/>
  <c r="T15" i="121"/>
  <c r="P15" i="121"/>
  <c r="R15" i="121"/>
  <c r="N15" i="121"/>
  <c r="O15" i="121" s="1"/>
  <c r="P19" i="135"/>
  <c r="L19" i="135"/>
  <c r="M19" i="135" s="1"/>
  <c r="R19" i="135"/>
  <c r="N19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7" i="123"/>
  <c r="P17" i="123"/>
  <c r="N17" i="123"/>
  <c r="O17" i="123" s="1"/>
  <c r="R17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W15" i="121" s="1"/>
  <c r="Y15" i="121" s="1"/>
  <c r="N31" i="123"/>
  <c r="P31" i="123"/>
  <c r="P29" i="123" s="1"/>
  <c r="Q9" i="121"/>
  <c r="S9" i="121" s="1"/>
  <c r="U9" i="121" s="1"/>
  <c r="W9" i="121" s="1"/>
  <c r="Y9" i="121" s="1"/>
  <c r="Q14" i="132"/>
  <c r="Q10" i="121"/>
  <c r="S10" i="121" s="1"/>
  <c r="U10" i="121" s="1"/>
  <c r="W10" i="121" s="1"/>
  <c r="Y10" i="121" s="1"/>
  <c r="Q34" i="120"/>
  <c r="S34" i="120" s="1"/>
  <c r="U34" i="120" s="1"/>
  <c r="W34" i="120" s="1"/>
  <c r="X34" i="120" s="1"/>
  <c r="O21" i="135"/>
  <c r="Q21" i="135" s="1"/>
  <c r="S21" i="135" s="1"/>
  <c r="T21" i="135" s="1"/>
  <c r="Q14" i="120"/>
  <c r="S14" i="120" s="1"/>
  <c r="U14" i="120" s="1"/>
  <c r="V14" i="120" s="1"/>
  <c r="Q15" i="120"/>
  <c r="S15" i="120" s="1"/>
  <c r="U15" i="120" s="1"/>
  <c r="O10" i="135"/>
  <c r="Q10" i="135" s="1"/>
  <c r="S10" i="135" s="1"/>
  <c r="T10" i="135" s="1"/>
  <c r="O20" i="135"/>
  <c r="Q20" i="135" s="1"/>
  <c r="S20" i="135" s="1"/>
  <c r="U20" i="135" s="1"/>
  <c r="V20" i="135" s="1"/>
  <c r="Q31" i="121"/>
  <c r="S31" i="121" s="1"/>
  <c r="U31" i="121" s="1"/>
  <c r="W31" i="121" s="1"/>
  <c r="Y31" i="121" s="1"/>
  <c r="Q11" i="121"/>
  <c r="S11" i="121" s="1"/>
  <c r="U11" i="121" s="1"/>
  <c r="V11" i="121" s="1"/>
  <c r="Q10" i="120"/>
  <c r="S10" i="120" s="1"/>
  <c r="U10" i="120" s="1"/>
  <c r="V10" i="120" s="1"/>
  <c r="O19" i="135"/>
  <c r="Q19" i="135" s="1"/>
  <c r="S19" i="135" s="1"/>
  <c r="O9" i="135"/>
  <c r="Q9" i="135" s="1"/>
  <c r="S9" i="135" s="1"/>
  <c r="T9" i="135" s="1"/>
  <c r="S14" i="132"/>
  <c r="U14" i="132" s="1"/>
  <c r="Q12" i="132"/>
  <c r="S12" i="132" s="1"/>
  <c r="U12" i="132" s="1"/>
  <c r="V12" i="132" s="1"/>
  <c r="Q10" i="132"/>
  <c r="S10" i="132" s="1"/>
  <c r="U10" i="132" s="1"/>
  <c r="W10" i="132" s="1"/>
  <c r="X10" i="132" s="1"/>
  <c r="Q17" i="123"/>
  <c r="S17" i="123" s="1"/>
  <c r="U17" i="123" s="1"/>
  <c r="V17" i="123" s="1"/>
  <c r="V9" i="121" l="1"/>
  <c r="O31" i="123"/>
  <c r="N29" i="123"/>
  <c r="Z9" i="121"/>
  <c r="W11" i="121"/>
  <c r="Y11" i="121" s="1"/>
  <c r="Z11" i="121" s="1"/>
  <c r="V10" i="121"/>
  <c r="Z10" i="121" s="1"/>
  <c r="U21" i="135"/>
  <c r="V21" i="135" s="1"/>
  <c r="W21" i="135" s="1"/>
  <c r="V34" i="120"/>
  <c r="Y34" i="120" s="1"/>
  <c r="T20" i="135"/>
  <c r="W20" i="135" s="1"/>
  <c r="U9" i="135"/>
  <c r="V9" i="135" s="1"/>
  <c r="W14" i="120"/>
  <c r="X14" i="120" s="1"/>
  <c r="Y14" i="120" s="1"/>
  <c r="W15" i="120"/>
  <c r="X15" i="120" s="1"/>
  <c r="V15" i="120"/>
  <c r="V31" i="121"/>
  <c r="Z31" i="121" s="1"/>
  <c r="W10" i="120"/>
  <c r="X10" i="120" s="1"/>
  <c r="Y10" i="120" s="1"/>
  <c r="V15" i="121"/>
  <c r="Z15" i="121" s="1"/>
  <c r="U10" i="135"/>
  <c r="V10" i="135" s="1"/>
  <c r="W10" i="135" s="1"/>
  <c r="T19" i="135"/>
  <c r="U19" i="135"/>
  <c r="V19" i="135" s="1"/>
  <c r="V14" i="132"/>
  <c r="W14" i="132"/>
  <c r="X14" i="132" s="1"/>
  <c r="V10" i="132"/>
  <c r="Y10" i="132" s="1"/>
  <c r="W12" i="132"/>
  <c r="X12" i="132" s="1"/>
  <c r="Y12" i="132" s="1"/>
  <c r="W17" i="123"/>
  <c r="Y17" i="123" s="1"/>
  <c r="Z17" i="123" s="1"/>
  <c r="O29" i="123" l="1"/>
  <c r="Q31" i="123"/>
  <c r="W9" i="135"/>
  <c r="Y15" i="120"/>
  <c r="W19" i="135"/>
  <c r="Y14" i="132"/>
  <c r="S31" i="123" l="1"/>
  <c r="Q29" i="123"/>
  <c r="J18" i="135"/>
  <c r="K18" i="135" s="1"/>
  <c r="I18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13" i="132"/>
  <c r="M13" i="132" s="1"/>
  <c r="K13" i="132"/>
  <c r="L33" i="121"/>
  <c r="M33" i="121" s="1"/>
  <c r="T33" i="121" s="1"/>
  <c r="K33" i="121"/>
  <c r="L32" i="121"/>
  <c r="M32" i="121" s="1"/>
  <c r="K32" i="121"/>
  <c r="L16" i="121"/>
  <c r="M16" i="121" s="1"/>
  <c r="K16" i="121"/>
  <c r="L13" i="120"/>
  <c r="M13" i="120" s="1"/>
  <c r="K13" i="120"/>
  <c r="L35" i="120"/>
  <c r="M35" i="120" s="1"/>
  <c r="K35" i="120"/>
  <c r="L18" i="119"/>
  <c r="M18" i="119" s="1"/>
  <c r="K18" i="119"/>
  <c r="J12" i="135"/>
  <c r="K12" i="135" s="1"/>
  <c r="I12" i="135"/>
  <c r="K27" i="121" l="1"/>
  <c r="U31" i="123"/>
  <c r="S29" i="123"/>
  <c r="R18" i="135"/>
  <c r="N18" i="135"/>
  <c r="P18" i="135"/>
  <c r="L18" i="135"/>
  <c r="M18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3" i="121"/>
  <c r="O33" i="121" s="1"/>
  <c r="R33" i="121"/>
  <c r="P33" i="121"/>
  <c r="N32" i="121"/>
  <c r="O32" i="121" s="1"/>
  <c r="T32" i="121"/>
  <c r="P32" i="121"/>
  <c r="R32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U29" i="123" l="1"/>
  <c r="V31" i="123"/>
  <c r="W31" i="123"/>
  <c r="Q35" i="120"/>
  <c r="S35" i="120" s="1"/>
  <c r="U35" i="120" s="1"/>
  <c r="Q13" i="120"/>
  <c r="S13" i="120" s="1"/>
  <c r="U13" i="120" s="1"/>
  <c r="V13" i="120" s="1"/>
  <c r="O18" i="135"/>
  <c r="Q18" i="135" s="1"/>
  <c r="S18" i="135" s="1"/>
  <c r="Q29" i="121"/>
  <c r="S29" i="121" s="1"/>
  <c r="U29" i="121" s="1"/>
  <c r="V29" i="121" s="1"/>
  <c r="Q28" i="121"/>
  <c r="S28" i="121" s="1"/>
  <c r="U28" i="121" s="1"/>
  <c r="W28" i="121" s="1"/>
  <c r="W27" i="121" s="1"/>
  <c r="W29" i="121"/>
  <c r="Y29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Y16" i="121" s="1"/>
  <c r="Q32" i="121"/>
  <c r="S32" i="121" s="1"/>
  <c r="U32" i="121" s="1"/>
  <c r="W32" i="121" s="1"/>
  <c r="Y32" i="121" s="1"/>
  <c r="Q13" i="132"/>
  <c r="S13" i="132" s="1"/>
  <c r="U13" i="132" s="1"/>
  <c r="Q33" i="121"/>
  <c r="S33" i="121" s="1"/>
  <c r="U33" i="121" s="1"/>
  <c r="Q18" i="119"/>
  <c r="S18" i="119" s="1"/>
  <c r="U18" i="119" s="1"/>
  <c r="V18" i="119" s="1"/>
  <c r="O12" i="135"/>
  <c r="Q12" i="135" s="1"/>
  <c r="S12" i="135" s="1"/>
  <c r="V29" i="123" l="1"/>
  <c r="W29" i="123"/>
  <c r="Y31" i="123"/>
  <c r="Y29" i="123" s="1"/>
  <c r="V35" i="120"/>
  <c r="W35" i="120"/>
  <c r="X35" i="120" s="1"/>
  <c r="V16" i="121"/>
  <c r="Z16" i="121" s="1"/>
  <c r="W13" i="120"/>
  <c r="X13" i="120" s="1"/>
  <c r="Y13" i="120" s="1"/>
  <c r="T18" i="135"/>
  <c r="U18" i="135"/>
  <c r="V18" i="135" s="1"/>
  <c r="V32" i="121"/>
  <c r="Z32" i="121" s="1"/>
  <c r="Y28" i="121"/>
  <c r="Y27" i="121" s="1"/>
  <c r="V28" i="121"/>
  <c r="V27" i="121" s="1"/>
  <c r="Z29" i="121"/>
  <c r="W13" i="121"/>
  <c r="Y13" i="121" s="1"/>
  <c r="Z13" i="121" s="1"/>
  <c r="V17" i="121"/>
  <c r="W17" i="121"/>
  <c r="Y17" i="121" s="1"/>
  <c r="W13" i="132"/>
  <c r="X13" i="132" s="1"/>
  <c r="V13" i="132"/>
  <c r="W33" i="121"/>
  <c r="Y33" i="121" s="1"/>
  <c r="V33" i="121"/>
  <c r="W18" i="119"/>
  <c r="X18" i="119" s="1"/>
  <c r="T12" i="135"/>
  <c r="U12" i="135"/>
  <c r="V12" i="135" s="1"/>
  <c r="Y35" i="120" l="1"/>
  <c r="Z31" i="123"/>
  <c r="Z29" i="123" s="1"/>
  <c r="Y13" i="132"/>
  <c r="W18" i="135"/>
  <c r="Z28" i="121"/>
  <c r="Z27" i="121" s="1"/>
  <c r="Z17" i="121"/>
  <c r="Z33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S10" i="119" s="1"/>
  <c r="U10" i="119" s="1"/>
  <c r="W10" i="119" s="1"/>
  <c r="X10" i="119" s="1"/>
  <c r="Y10" i="119" s="1"/>
  <c r="R11" i="136"/>
  <c r="T11" i="136" s="1"/>
  <c r="V11" i="136" s="1"/>
  <c r="W11" i="136" s="1"/>
  <c r="Q13" i="133"/>
  <c r="S13" i="133" s="1"/>
  <c r="U13" i="133" s="1"/>
  <c r="W13" i="133" s="1"/>
  <c r="X13" i="133" s="1"/>
  <c r="Q15" i="123"/>
  <c r="S15" i="123" s="1"/>
  <c r="U15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U11" i="136" l="1"/>
  <c r="X11" i="136" s="1"/>
  <c r="V13" i="133"/>
  <c r="Y13" i="133" s="1"/>
  <c r="V12" i="133"/>
  <c r="W12" i="133"/>
  <c r="X12" i="133" s="1"/>
  <c r="V11" i="133"/>
  <c r="Y11" i="133" s="1"/>
  <c r="W10" i="118"/>
  <c r="X10" i="118" s="1"/>
  <c r="V10" i="118"/>
  <c r="W15" i="123"/>
  <c r="Y15" i="123" s="1"/>
  <c r="V15" i="123"/>
  <c r="Y12" i="133" l="1"/>
  <c r="Y10" i="118"/>
  <c r="Z15" i="123"/>
  <c r="L12" i="123"/>
  <c r="M12" i="123" s="1"/>
  <c r="K12" i="123"/>
  <c r="K11" i="123" s="1"/>
  <c r="L34" i="123"/>
  <c r="M34" i="123" s="1"/>
  <c r="K34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4" i="123"/>
  <c r="N34" i="123"/>
  <c r="O34" i="123" s="1"/>
  <c r="T34" i="123"/>
  <c r="P34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0" i="134" l="1"/>
  <c r="S10" i="134" s="1"/>
  <c r="U10" i="134" s="1"/>
  <c r="Q15" i="119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Q34" i="123"/>
  <c r="S34" i="123" s="1"/>
  <c r="U34" i="123" s="1"/>
  <c r="W34" i="123" s="1"/>
  <c r="Y34" i="123" s="1"/>
  <c r="Q12" i="134"/>
  <c r="S12" i="134" s="1"/>
  <c r="U12" i="134" s="1"/>
  <c r="W12" i="134" s="1"/>
  <c r="X12" i="134" s="1"/>
  <c r="Q17" i="119"/>
  <c r="S17" i="119" s="1"/>
  <c r="U17" i="119" s="1"/>
  <c r="W17" i="119" s="1"/>
  <c r="R14" i="134"/>
  <c r="N14" i="134"/>
  <c r="O14" i="134" s="1"/>
  <c r="P14" i="134"/>
  <c r="T14" i="134"/>
  <c r="L12" i="120"/>
  <c r="M12" i="120" s="1"/>
  <c r="K12" i="120"/>
  <c r="Y12" i="123" l="1"/>
  <c r="Y11" i="123" s="1"/>
  <c r="W11" i="123"/>
  <c r="V15" i="119"/>
  <c r="Y15" i="119" s="1"/>
  <c r="Q14" i="134"/>
  <c r="S14" i="134" s="1"/>
  <c r="U14" i="134" s="1"/>
  <c r="X17" i="119"/>
  <c r="X16" i="119" s="1"/>
  <c r="W16" i="119"/>
  <c r="V34" i="123"/>
  <c r="Z34" i="123" s="1"/>
  <c r="W9" i="120"/>
  <c r="X9" i="120" s="1"/>
  <c r="Y9" i="120" s="1"/>
  <c r="V12" i="123"/>
  <c r="V12" i="134"/>
  <c r="Y12" i="134" s="1"/>
  <c r="W10" i="134"/>
  <c r="X10" i="134" s="1"/>
  <c r="V10" i="134"/>
  <c r="V17" i="119"/>
  <c r="T12" i="120"/>
  <c r="R12" i="120"/>
  <c r="P12" i="120"/>
  <c r="N12" i="120"/>
  <c r="O12" i="120" s="1"/>
  <c r="Z12" i="123" l="1"/>
  <c r="Z11" i="123" s="1"/>
  <c r="V11" i="123"/>
  <c r="Y17" i="119"/>
  <c r="Y16" i="119" s="1"/>
  <c r="V16" i="119"/>
  <c r="Q12" i="120"/>
  <c r="S12" i="120" s="1"/>
  <c r="U12" i="120" s="1"/>
  <c r="Y10" i="134"/>
  <c r="V14" i="134"/>
  <c r="V13" i="134" s="1"/>
  <c r="W14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6" i="123"/>
  <c r="M36" i="123" s="1"/>
  <c r="K36" i="123"/>
  <c r="L18" i="121"/>
  <c r="M18" i="121" s="1"/>
  <c r="K18" i="12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W36" i="123" s="1"/>
  <c r="Y36" i="123" s="1"/>
  <c r="Q18" i="121"/>
  <c r="S18" i="121" s="1"/>
  <c r="U18" i="121" s="1"/>
  <c r="V36" i="123" l="1"/>
  <c r="Z36" i="123" s="1"/>
  <c r="W18" i="121"/>
  <c r="Y18" i="121" s="1"/>
  <c r="V18" i="121"/>
  <c r="L10" i="123"/>
  <c r="M10" i="123" s="1"/>
  <c r="K10" i="123"/>
  <c r="T10" i="123" l="1"/>
  <c r="P10" i="123"/>
  <c r="R10" i="123"/>
  <c r="N10" i="123"/>
  <c r="O10" i="123" s="1"/>
  <c r="Z18" i="121"/>
  <c r="Q10" i="123" l="1"/>
  <c r="S10" i="123" s="1"/>
  <c r="U10" i="123" s="1"/>
  <c r="V10" i="123" s="1"/>
  <c r="W10" i="123" l="1"/>
  <c r="Y10" i="123" s="1"/>
  <c r="Z10" i="123" s="1"/>
  <c r="J11" i="135" l="1"/>
  <c r="K11" i="135" s="1"/>
  <c r="I11" i="135"/>
  <c r="L37" i="120"/>
  <c r="M37" i="120" s="1"/>
  <c r="K37" i="120"/>
  <c r="T37" i="120" l="1"/>
  <c r="R37" i="120"/>
  <c r="N37" i="120"/>
  <c r="O37" i="120" s="1"/>
  <c r="P37" i="120"/>
  <c r="R11" i="135"/>
  <c r="L11" i="135"/>
  <c r="M11" i="135" s="1"/>
  <c r="N11" i="135"/>
  <c r="P11" i="135"/>
  <c r="L11" i="132"/>
  <c r="M11" i="132" s="1"/>
  <c r="K11" i="132"/>
  <c r="G27" i="135"/>
  <c r="H27" i="135"/>
  <c r="L11" i="120"/>
  <c r="M11" i="120" s="1"/>
  <c r="K11" i="120"/>
  <c r="H11" i="120"/>
  <c r="Q37" i="120" l="1"/>
  <c r="S37" i="120" s="1"/>
  <c r="U37" i="120" s="1"/>
  <c r="V37" i="120" s="1"/>
  <c r="O11" i="135"/>
  <c r="Q11" i="135" s="1"/>
  <c r="S11" i="135" s="1"/>
  <c r="R11" i="132"/>
  <c r="T11" i="132"/>
  <c r="N11" i="132"/>
  <c r="O11" i="132" s="1"/>
  <c r="P11" i="132"/>
  <c r="R11" i="120"/>
  <c r="N11" i="120"/>
  <c r="O11" i="120" s="1"/>
  <c r="P11" i="120"/>
  <c r="T11" i="120"/>
  <c r="J17" i="135"/>
  <c r="K17" i="135" s="1"/>
  <c r="I17" i="135"/>
  <c r="W37" i="120" l="1"/>
  <c r="X37" i="120" s="1"/>
  <c r="Q11" i="132"/>
  <c r="S11" i="132" s="1"/>
  <c r="U11" i="132" s="1"/>
  <c r="Q11" i="120"/>
  <c r="S11" i="120" s="1"/>
  <c r="U11" i="120" s="1"/>
  <c r="V11" i="120" s="1"/>
  <c r="N17" i="135"/>
  <c r="P17" i="135"/>
  <c r="R17" i="135"/>
  <c r="L17" i="135"/>
  <c r="M17" i="135" s="1"/>
  <c r="T11" i="135"/>
  <c r="U11" i="135"/>
  <c r="V11" i="135" s="1"/>
  <c r="W11" i="120" l="1"/>
  <c r="X11" i="120" s="1"/>
  <c r="Y11" i="120" s="1"/>
  <c r="V11" i="132"/>
  <c r="W11" i="132"/>
  <c r="X11" i="132" s="1"/>
  <c r="O17" i="135"/>
  <c r="Q17" i="135" s="1"/>
  <c r="S17" i="135" s="1"/>
  <c r="W11" i="135"/>
  <c r="Y37" i="120"/>
  <c r="Y11" i="132" l="1"/>
  <c r="T17" i="135"/>
  <c r="U17" i="135"/>
  <c r="V17" i="135" s="1"/>
  <c r="W17" i="135" l="1"/>
  <c r="H10" i="134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K11" i="134"/>
  <c r="K15" i="134" s="1"/>
  <c r="N9" i="123" l="1"/>
  <c r="O9" i="123" s="1"/>
  <c r="O8" i="123" s="1"/>
  <c r="R9" i="123"/>
  <c r="R8" i="123" s="1"/>
  <c r="T9" i="123"/>
  <c r="T8" i="123" s="1"/>
  <c r="P9" i="123"/>
  <c r="P8" i="123" s="1"/>
  <c r="N8" i="123" l="1"/>
  <c r="Q9" i="123"/>
  <c r="S9" i="123" s="1"/>
  <c r="Q8" i="123"/>
  <c r="W11" i="134"/>
  <c r="W15" i="134" s="1"/>
  <c r="U9" i="123" l="1"/>
  <c r="S8" i="123"/>
  <c r="V11" i="134"/>
  <c r="V15" i="134" s="1"/>
  <c r="X11" i="134"/>
  <c r="X15" i="134" s="1"/>
  <c r="U8" i="123" l="1"/>
  <c r="W9" i="123"/>
  <c r="V9" i="123"/>
  <c r="Y11" i="134"/>
  <c r="Y15" i="134" s="1"/>
  <c r="V8" i="123" l="1"/>
  <c r="Y9" i="123"/>
  <c r="Y8" i="123" s="1"/>
  <c r="W8" i="123"/>
  <c r="L10" i="133"/>
  <c r="M10" i="133" s="1"/>
  <c r="K10" i="133"/>
  <c r="Z9" i="123" l="1"/>
  <c r="Z8" i="123" s="1"/>
  <c r="N10" i="133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5" i="135" l="1"/>
  <c r="K15" i="135" s="1"/>
  <c r="J16" i="135"/>
  <c r="K16" i="135" s="1"/>
  <c r="L11" i="118"/>
  <c r="M11" i="118" s="1"/>
  <c r="L12" i="118"/>
  <c r="M12" i="118" s="1"/>
  <c r="L16" i="123"/>
  <c r="M16" i="123" s="1"/>
  <c r="L20" i="121"/>
  <c r="M20" i="121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P16" i="135"/>
  <c r="R16" i="135"/>
  <c r="L16" i="135"/>
  <c r="M16" i="135" s="1"/>
  <c r="N16" i="135"/>
  <c r="P20" i="121"/>
  <c r="N20" i="121"/>
  <c r="O20" i="121" s="1"/>
  <c r="T20" i="121"/>
  <c r="R20" i="12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P15" i="135"/>
  <c r="R15" i="135"/>
  <c r="L15" i="135"/>
  <c r="M15" i="135" s="1"/>
  <c r="N15" i="135"/>
  <c r="Q11" i="118" l="1"/>
  <c r="S11" i="118" s="1"/>
  <c r="U11" i="118" s="1"/>
  <c r="V11" i="118" s="1"/>
  <c r="Q11" i="119"/>
  <c r="Q20" i="121"/>
  <c r="S20" i="121" s="1"/>
  <c r="U20" i="121" s="1"/>
  <c r="V20" i="121" s="1"/>
  <c r="Q13" i="119"/>
  <c r="S13" i="119" s="1"/>
  <c r="U13" i="119" s="1"/>
  <c r="W13" i="119" s="1"/>
  <c r="Q12" i="118"/>
  <c r="S12" i="118" s="1"/>
  <c r="U12" i="118" s="1"/>
  <c r="S11" i="119"/>
  <c r="U11" i="119" s="1"/>
  <c r="W11" i="119" s="1"/>
  <c r="X11" i="119" s="1"/>
  <c r="O16" i="135"/>
  <c r="Q16" i="135" s="1"/>
  <c r="S16" i="135" s="1"/>
  <c r="O15" i="135"/>
  <c r="Q15" i="135" s="1"/>
  <c r="S15" i="135" s="1"/>
  <c r="Q16" i="123"/>
  <c r="S16" i="123" s="1"/>
  <c r="U16" i="123" s="1"/>
  <c r="J14" i="131"/>
  <c r="L14" i="131" s="1"/>
  <c r="W11" i="118" l="1"/>
  <c r="W20" i="121"/>
  <c r="V16" i="123"/>
  <c r="W16" i="123"/>
  <c r="T15" i="135"/>
  <c r="U15" i="135"/>
  <c r="V12" i="118"/>
  <c r="W12" i="118"/>
  <c r="T16" i="135"/>
  <c r="U16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I16" i="135" l="1"/>
  <c r="P27" i="135" l="1"/>
  <c r="L27" i="135"/>
  <c r="J27" i="135"/>
  <c r="I15" i="135"/>
  <c r="I27" i="135" l="1"/>
  <c r="K27" i="135"/>
  <c r="M27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0" i="120"/>
  <c r="P11" i="131" l="1"/>
  <c r="R11" i="131" s="1"/>
  <c r="T11" i="131" s="1"/>
  <c r="V11" i="131" s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7" i="131"/>
  <c r="T17" i="131" s="1"/>
  <c r="V17" i="131" s="1"/>
  <c r="U10" i="131" l="1"/>
  <c r="V10" i="131"/>
  <c r="X8" i="121"/>
  <c r="J8" i="121"/>
  <c r="X14" i="123" l="1"/>
  <c r="J14" i="123"/>
  <c r="R15" i="134" l="1"/>
  <c r="N15" i="134"/>
  <c r="L15" i="134"/>
  <c r="M15" i="134" l="1"/>
  <c r="P15" i="134" l="1"/>
  <c r="O15" i="134"/>
  <c r="X30" i="121" l="1"/>
  <c r="X35" i="121" s="1"/>
  <c r="J30" i="121"/>
  <c r="J35" i="121" s="1"/>
  <c r="Q15" i="134" l="1"/>
  <c r="S15" i="134"/>
  <c r="H10" i="121" l="1"/>
  <c r="K13" i="119" l="1"/>
  <c r="I30" i="121" l="1"/>
  <c r="I14" i="123"/>
  <c r="I8" i="121" l="1"/>
  <c r="I35" i="121" s="1"/>
  <c r="K30" i="121" l="1"/>
  <c r="K16" i="123" l="1"/>
  <c r="K14" i="123" s="1"/>
  <c r="K20" i="121" l="1"/>
  <c r="H36" i="123" l="1"/>
  <c r="X35" i="123"/>
  <c r="J35" i="123"/>
  <c r="I35" i="123"/>
  <c r="R17" i="133" l="1"/>
  <c r="N17" i="133"/>
  <c r="L17" i="133"/>
  <c r="V35" i="123" l="1"/>
  <c r="K35" i="123"/>
  <c r="O17" i="133" l="1"/>
  <c r="W35" i="123"/>
  <c r="K17" i="133"/>
  <c r="M17" i="133" l="1"/>
  <c r="Y35" i="123"/>
  <c r="Z35" i="123"/>
  <c r="K11" i="118" l="1"/>
  <c r="J14" i="118" l="1"/>
  <c r="J8" i="119" l="1"/>
  <c r="I8" i="119"/>
  <c r="X33" i="123" l="1"/>
  <c r="K33" i="123"/>
  <c r="J33" i="123"/>
  <c r="I33" i="123"/>
  <c r="H16" i="123"/>
  <c r="I38" i="123" l="1"/>
  <c r="K38" i="123"/>
  <c r="J38" i="123"/>
  <c r="X38" i="123"/>
  <c r="H20" i="121"/>
  <c r="K8" i="121"/>
  <c r="K35" i="121" s="1"/>
  <c r="H18" i="121"/>
  <c r="H12" i="121"/>
  <c r="H9" i="121"/>
  <c r="J14" i="119" l="1"/>
  <c r="J12" i="119"/>
  <c r="J20" i="119" s="1"/>
  <c r="I12" i="119"/>
  <c r="I20" i="119" s="1"/>
  <c r="K11" i="119"/>
  <c r="Y11" i="119" s="1"/>
  <c r="R16" i="132" l="1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1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0" i="120"/>
  <c r="I14" i="118" l="1"/>
  <c r="M38" i="123"/>
  <c r="M35" i="121"/>
  <c r="M14" i="118" l="1"/>
  <c r="L20" i="119" l="1"/>
  <c r="K14" i="119" l="1"/>
  <c r="K8" i="119"/>
  <c r="K20" i="119" s="1"/>
  <c r="M20" i="119" l="1"/>
  <c r="W18" i="131" l="1"/>
  <c r="R27" i="135"/>
  <c r="Y16" i="123"/>
  <c r="T15" i="134"/>
  <c r="W12" i="131"/>
  <c r="X13" i="119"/>
  <c r="V13" i="119"/>
  <c r="U15" i="131"/>
  <c r="V16" i="135"/>
  <c r="W11" i="131"/>
  <c r="U11" i="131"/>
  <c r="N27" i="135"/>
  <c r="W10" i="131"/>
  <c r="W16" i="131"/>
  <c r="U16" i="131"/>
  <c r="U17" i="131"/>
  <c r="W17" i="131"/>
  <c r="P35" i="121"/>
  <c r="Y20" i="121"/>
  <c r="T17" i="133"/>
  <c r="P17" i="133"/>
  <c r="P16" i="132"/>
  <c r="S20" i="131"/>
  <c r="O20" i="131"/>
  <c r="R40" i="120"/>
  <c r="P38" i="123"/>
  <c r="T20" i="119"/>
  <c r="T38" i="123"/>
  <c r="R35" i="121"/>
  <c r="N40" i="120"/>
  <c r="N38" i="123"/>
  <c r="T14" i="118"/>
  <c r="P20" i="119"/>
  <c r="R14" i="118"/>
  <c r="R38" i="123"/>
  <c r="T35" i="121"/>
  <c r="N20" i="119"/>
  <c r="R20" i="119"/>
  <c r="P14" i="118"/>
  <c r="N14" i="118"/>
  <c r="N35" i="121"/>
  <c r="X17" i="133" l="1"/>
  <c r="W17" i="133"/>
  <c r="Y14" i="123"/>
  <c r="W15" i="131"/>
  <c r="X15" i="131" s="1"/>
  <c r="U18" i="131"/>
  <c r="X18" i="131" s="1"/>
  <c r="V15" i="135"/>
  <c r="W15" i="135" s="1"/>
  <c r="U12" i="131"/>
  <c r="X12" i="131" s="1"/>
  <c r="Z16" i="123"/>
  <c r="Z20" i="121"/>
  <c r="X16" i="131"/>
  <c r="X10" i="131"/>
  <c r="X11" i="131"/>
  <c r="V30" i="121"/>
  <c r="U15" i="134"/>
  <c r="Y30" i="121"/>
  <c r="W30" i="121"/>
  <c r="Y13" i="119"/>
  <c r="X17" i="131"/>
  <c r="V14" i="123"/>
  <c r="W16" i="135"/>
  <c r="O27" i="135"/>
  <c r="W8" i="121"/>
  <c r="V8" i="121"/>
  <c r="X11" i="118"/>
  <c r="Y11" i="118" s="1"/>
  <c r="Q17" i="133"/>
  <c r="Y33" i="123"/>
  <c r="W33" i="123"/>
  <c r="P20" i="131"/>
  <c r="S16" i="132"/>
  <c r="Q16" i="132"/>
  <c r="V33" i="123"/>
  <c r="X12" i="118"/>
  <c r="Y12" i="118" s="1"/>
  <c r="O38" i="123"/>
  <c r="O20" i="119"/>
  <c r="V14" i="119"/>
  <c r="O35" i="121"/>
  <c r="O14" i="118"/>
  <c r="Y38" i="123" l="1"/>
  <c r="V38" i="123"/>
  <c r="W35" i="121"/>
  <c r="V35" i="121"/>
  <c r="Y17" i="133"/>
  <c r="W14" i="123"/>
  <c r="W38" i="123" s="1"/>
  <c r="Z30" i="121"/>
  <c r="Z14" i="123"/>
  <c r="Q27" i="135"/>
  <c r="Y8" i="121"/>
  <c r="Y35" i="121" s="1"/>
  <c r="Z8" i="121"/>
  <c r="S17" i="133"/>
  <c r="Z33" i="123"/>
  <c r="V12" i="119"/>
  <c r="U16" i="132"/>
  <c r="R20" i="131"/>
  <c r="X12" i="119"/>
  <c r="W12" i="119"/>
  <c r="X14" i="119"/>
  <c r="W14" i="119"/>
  <c r="Q14" i="118"/>
  <c r="Q35" i="121"/>
  <c r="Q38" i="123"/>
  <c r="Q20" i="119"/>
  <c r="Z38" i="123" l="1"/>
  <c r="Z35" i="121"/>
  <c r="S27" i="135"/>
  <c r="U17" i="133"/>
  <c r="W16" i="132"/>
  <c r="X16" i="132"/>
  <c r="V16" i="132"/>
  <c r="T20" i="131"/>
  <c r="Y12" i="119"/>
  <c r="Y14" i="119"/>
  <c r="S35" i="121"/>
  <c r="S38" i="123"/>
  <c r="S14" i="118"/>
  <c r="S20" i="119"/>
  <c r="T27" i="135" l="1"/>
  <c r="U27" i="135"/>
  <c r="V17" i="133"/>
  <c r="Y16" i="132"/>
  <c r="W20" i="131"/>
  <c r="V20" i="131"/>
  <c r="U20" i="131"/>
  <c r="W8" i="119"/>
  <c r="W20" i="119" s="1"/>
  <c r="U20" i="119"/>
  <c r="V8" i="119"/>
  <c r="V20" i="119" s="1"/>
  <c r="V14" i="118"/>
  <c r="W14" i="118"/>
  <c r="U14" i="118"/>
  <c r="U38" i="123"/>
  <c r="U35" i="121"/>
  <c r="V27" i="135" l="1"/>
  <c r="W27" i="135"/>
  <c r="X20" i="131"/>
  <c r="X8" i="119"/>
  <c r="X20" i="119" s="1"/>
  <c r="X14" i="118"/>
  <c r="Y8" i="119" l="1"/>
  <c r="Y20" i="119" s="1"/>
  <c r="Y14" i="118"/>
  <c r="I40" i="120"/>
  <c r="H9" i="120"/>
  <c r="T40" i="120" l="1"/>
  <c r="P40" i="120"/>
  <c r="M40" i="120"/>
  <c r="O40" i="120"/>
  <c r="K40" i="120"/>
  <c r="Q40" i="120" l="1"/>
  <c r="S40" i="120" l="1"/>
  <c r="U40" i="120" l="1"/>
  <c r="V40" i="120" l="1"/>
  <c r="X40" i="120"/>
  <c r="W40" i="120" l="1"/>
  <c r="Y40" i="120"/>
</calcChain>
</file>

<file path=xl/sharedStrings.xml><?xml version="1.0" encoding="utf-8"?>
<sst xmlns="http://schemas.openxmlformats.org/spreadsheetml/2006/main" count="1131" uniqueCount="349">
  <si>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</si>
  <si>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</si>
  <si>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</si>
  <si>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</si>
  <si>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</si>
  <si>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</si>
  <si>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</si>
  <si>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</si>
  <si>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</si>
  <si>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</si>
  <si>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</si>
  <si>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</si>
  <si>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</si>
  <si>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</si>
  <si>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</si>
  <si>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</si>
  <si>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</si>
  <si>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</si>
  <si>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</si>
  <si>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</si>
  <si>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</si>
  <si>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</si>
  <si>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</si>
  <si>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</si>
  <si>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</si>
  <si>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</si>
  <si>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</si>
  <si>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</si>
  <si>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</si>
  <si>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</si>
  <si>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</si>
  <si>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</si>
  <si>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</si>
  <si>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</si>
  <si>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</si>
  <si>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</si>
  <si>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</si>
  <si>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</si>
  <si>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</si>
  <si>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</si>
  <si>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</si>
  <si>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</si>
  <si>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</si>
  <si>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</si>
  <si>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</si>
  <si>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</si>
  <si>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</si>
  <si>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</si>
  <si>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</si>
  <si>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</si>
  <si>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</si>
  <si>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</si>
  <si>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</si>
  <si>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</si>
  <si>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</si>
  <si>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</si>
  <si>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</si>
  <si>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</si>
  <si>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</si>
  <si>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</si>
  <si>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</si>
  <si>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</si>
  <si>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</si>
  <si>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</si>
  <si>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</si>
  <si>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</si>
  <si>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</si>
  <si>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</si>
  <si>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</si>
  <si>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</si>
  <si>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</si>
  <si>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</si>
  <si>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</si>
  <si>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</si>
  <si>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</si>
  <si>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</si>
  <si>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</si>
  <si>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</si>
  <si>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</si>
  <si>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</si>
  <si>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</si>
  <si>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</si>
  <si>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</si>
  <si>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</si>
  <si>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</si>
  <si>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</si>
  <si>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</si>
  <si>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</si>
  <si>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</si>
  <si>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</si>
  <si>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</si>
  <si>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</si>
  <si>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</si>
  <si>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</si>
  <si>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</si>
  <si>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</si>
  <si>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</si>
  <si>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</si>
  <si>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</si>
  <si>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</si>
  <si>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</si>
  <si>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</si>
  <si>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</si>
  <si>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</si>
  <si>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</si>
  <si>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</si>
  <si>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</si>
  <si>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</si>
  <si>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</si>
  <si>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</si>
  <si>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</si>
  <si>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</si>
  <si>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</si>
  <si>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</si>
  <si>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</si>
  <si>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</si>
  <si>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</si>
  <si>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</si>
  <si>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</si>
  <si>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</si>
  <si>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</si>
  <si>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</si>
  <si>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</si>
  <si>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</si>
  <si>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</si>
  <si>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</si>
  <si>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</si>
  <si>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</si>
  <si>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</si>
  <si>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</si>
  <si>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</si>
  <si>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</si>
  <si>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</si>
  <si>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</si>
  <si>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</si>
  <si>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</si>
  <si>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</si>
  <si>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</si>
  <si>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</si>
  <si>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</si>
  <si>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</si>
  <si>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</si>
  <si>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</si>
  <si>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</si>
  <si>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</si>
  <si>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</si>
  <si>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</si>
  <si>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</si>
  <si>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</si>
  <si>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</si>
  <si>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</si>
  <si>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</si>
  <si>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</si>
  <si>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</si>
  <si>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</si>
  <si>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</si>
  <si>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</si>
  <si>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</si>
  <si>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</si>
  <si>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</si>
  <si>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</si>
  <si>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</si>
  <si>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</si>
  <si>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</si>
  <si>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</si>
  <si>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</si>
  <si>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</si>
  <si>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</si>
  <si>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</si>
  <si>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</si>
  <si>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</si>
  <si>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</si>
  <si>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</si>
  <si>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</si>
  <si>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</si>
  <si>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</si>
  <si>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</si>
  <si>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</si>
  <si>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</si>
  <si>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</si>
  <si>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</si>
  <si>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</si>
  <si>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</si>
  <si>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</si>
  <si>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</si>
  <si>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</si>
  <si>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</si>
  <si>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</si>
  <si>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</si>
  <si>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</si>
  <si>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</si>
  <si>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</si>
  <si>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</si>
  <si>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</si>
  <si>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</si>
  <si>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</si>
  <si>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</si>
  <si>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</si>
  <si>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</si>
  <si>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</si>
  <si>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</si>
  <si>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</si>
  <si>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</si>
  <si>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</si>
  <si>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</si>
  <si>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</si>
  <si>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</si>
  <si>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</si>
  <si>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</si>
  <si>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</si>
  <si>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</si>
  <si>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</si>
  <si>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</si>
  <si>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</si>
  <si>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</si>
  <si>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</si>
  <si>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</si>
  <si>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</si>
  <si>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</si>
  <si>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</si>
  <si>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</si>
  <si>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</si>
  <si>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</si>
  <si>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</si>
  <si>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</si>
  <si>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</si>
  <si>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</si>
  <si>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</si>
  <si>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</si>
  <si>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</si>
  <si>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</si>
  <si>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</si>
  <si>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</si>
  <si>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</si>
  <si>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</si>
  <si>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</si>
  <si>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</si>
  <si>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</si>
  <si>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</si>
  <si>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</si>
  <si>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</si>
  <si>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</si>
  <si>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</si>
  <si>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</si>
  <si>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</si>
  <si>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</si>
  <si>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</si>
  <si>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</si>
  <si>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</si>
  <si>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</si>
  <si>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</si>
  <si>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</si>
  <si>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</si>
  <si>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</si>
  <si>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</si>
  <si>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</si>
  <si>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</si>
  <si>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</si>
  <si>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</si>
  <si>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</si>
  <si>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</si>
  <si>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</si>
  <si>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</si>
  <si>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</si>
  <si>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</si>
  <si>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</si>
  <si>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</si>
  <si>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</si>
  <si>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</si>
  <si>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</si>
  <si>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</si>
  <si>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</si>
  <si>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</si>
  <si>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</si>
  <si>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</si>
  <si>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</si>
  <si>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</si>
  <si>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</si>
  <si>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</si>
  <si>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</si>
  <si>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</si>
  <si>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</si>
  <si>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</si>
  <si>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</si>
  <si>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</si>
  <si>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</si>
  <si>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</si>
  <si>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</si>
  <si>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</si>
  <si>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</si>
  <si>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</si>
  <si>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</si>
  <si>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</si>
  <si>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</si>
  <si>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</si>
  <si>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</si>
  <si>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</si>
  <si>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</si>
  <si>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</si>
  <si>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</si>
  <si>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</si>
  <si>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</si>
  <si>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</si>
  <si>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</si>
  <si>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</si>
  <si>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</si>
  <si>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</si>
  <si>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</si>
  <si>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</si>
  <si>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331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</si>
  <si>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</si>
  <si>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</si>
  <si>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</si>
  <si>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</si>
  <si>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</si>
  <si>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</si>
  <si>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</si>
  <si>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</si>
  <si>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</si>
  <si>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</si>
  <si>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</si>
  <si>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</si>
  <si>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</si>
  <si>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</si>
  <si>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</si>
  <si>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</si>
  <si>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</si>
  <si>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</si>
  <si>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</si>
  <si>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</si>
  <si>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</si>
  <si>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</si>
  <si>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</si>
  <si>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</si>
  <si>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ALEJANDRA CERROS FLORES</t>
  </si>
  <si>
    <t>AUXILIAR DE PROTECCIÓN CIVIL</t>
  </si>
  <si>
    <t>343</t>
  </si>
  <si>
    <t>344</t>
  </si>
  <si>
    <t>310</t>
  </si>
  <si>
    <t>DANIEL RODRIGUEZ VEGA</t>
  </si>
  <si>
    <t xml:space="preserve"> </t>
  </si>
  <si>
    <t>346</t>
  </si>
  <si>
    <t>SUELDO  DEL 16 AL 31 DE MARZO DE 2024</t>
  </si>
  <si>
    <t>347</t>
  </si>
  <si>
    <t>348</t>
  </si>
  <si>
    <t>349</t>
  </si>
  <si>
    <t>350</t>
  </si>
  <si>
    <t>351</t>
  </si>
  <si>
    <t>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</si>
</sst>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0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28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21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B5" sqref="B5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2" t="s">
        <v>185</v>
      </c>
    </row>
    <row r="3" spans="1:9" x14ac:dyDescent="0.25">
      <c r="B3" s="8" t="s">
        <v>47</v>
      </c>
      <c r="C3" s="7"/>
      <c r="D3" s="7"/>
      <c r="E3" s="7"/>
      <c r="F3" s="7"/>
      <c r="G3" s="7"/>
      <c r="I3" s="111">
        <v>248.93</v>
      </c>
    </row>
    <row r="4" spans="1:9" x14ac:dyDescent="0.25">
      <c r="B4" s="19" t="s">
        <v>333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4" t="s">
        <v>10</v>
      </c>
      <c r="C7" s="274"/>
      <c r="D7" s="274"/>
      <c r="E7" s="7"/>
      <c r="F7" s="275" t="s">
        <v>48</v>
      </c>
      <c r="G7" s="276"/>
      <c r="I7" s="112" t="s">
        <v>186</v>
      </c>
    </row>
    <row r="8" spans="1:9" ht="14.25" customHeight="1" x14ac:dyDescent="0.25">
      <c r="B8" s="277" t="s">
        <v>9</v>
      </c>
      <c r="C8" s="277"/>
      <c r="D8" s="277"/>
      <c r="E8" s="7"/>
      <c r="F8" s="278" t="s">
        <v>49</v>
      </c>
      <c r="G8" s="279"/>
      <c r="I8" s="111">
        <v>103.74</v>
      </c>
    </row>
    <row r="9" spans="1:9" ht="8.25" customHeight="1" x14ac:dyDescent="0.25">
      <c r="B9" s="271"/>
      <c r="C9" s="271"/>
      <c r="D9" s="271"/>
      <c r="E9" s="7"/>
      <c r="F9" s="272"/>
      <c r="G9" s="273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331</v>
      </c>
      <c r="C28" s="7"/>
      <c r="D28" s="7"/>
    </row>
    <row r="29" spans="1:7" x14ac:dyDescent="0.25">
      <c r="B29" s="32" t="s">
        <v>332</v>
      </c>
      <c r="C29" s="7"/>
      <c r="D29" s="7"/>
    </row>
    <row r="32" spans="1:7" ht="17.25" customHeight="1" x14ac:dyDescent="0.25">
      <c r="B32" s="5" t="s">
        <v>45</v>
      </c>
      <c r="E32" s="7"/>
      <c r="F32" s="275" t="s">
        <v>53</v>
      </c>
      <c r="G32" s="276"/>
    </row>
    <row r="33" spans="2:7" x14ac:dyDescent="0.25">
      <c r="E33" s="7"/>
      <c r="F33" s="278" t="s">
        <v>54</v>
      </c>
      <c r="G33" s="279"/>
    </row>
    <row r="34" spans="2:7" ht="5.25" customHeight="1" x14ac:dyDescent="0.25">
      <c r="E34" s="7"/>
      <c r="F34" s="272"/>
      <c r="G34" s="273"/>
    </row>
    <row r="35" spans="2:7" x14ac:dyDescent="0.25">
      <c r="B35" s="274" t="s">
        <v>10</v>
      </c>
      <c r="C35" s="274"/>
      <c r="D35" s="274"/>
      <c r="E35" s="7"/>
      <c r="F35" s="9" t="s">
        <v>16</v>
      </c>
      <c r="G35" s="9" t="s">
        <v>17</v>
      </c>
    </row>
    <row r="36" spans="2:7" x14ac:dyDescent="0.25">
      <c r="B36" s="277" t="s">
        <v>9</v>
      </c>
      <c r="C36" s="277"/>
      <c r="D36" s="277"/>
      <c r="E36" s="7"/>
      <c r="F36" s="9"/>
      <c r="G36" s="9" t="s">
        <v>18</v>
      </c>
    </row>
    <row r="37" spans="2:7" x14ac:dyDescent="0.25">
      <c r="B37" s="271"/>
      <c r="C37" s="271"/>
      <c r="D37" s="271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3" zoomScale="73" zoomScaleNormal="73" workbookViewId="0">
      <selection activeCell="B23" sqref="A23:XFD29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19" t="s">
        <v>99</v>
      </c>
      <c r="C6" s="319" t="s">
        <v>111</v>
      </c>
      <c r="D6" s="22"/>
      <c r="E6" s="22"/>
      <c r="F6" s="22"/>
      <c r="G6" s="23" t="s">
        <v>22</v>
      </c>
      <c r="H6" s="23" t="s">
        <v>5</v>
      </c>
      <c r="I6" s="294" t="s">
        <v>1</v>
      </c>
      <c r="J6" s="295"/>
      <c r="K6" s="296"/>
      <c r="L6" s="24" t="s">
        <v>25</v>
      </c>
      <c r="M6" s="25"/>
      <c r="N6" s="297" t="s">
        <v>8</v>
      </c>
      <c r="O6" s="298"/>
      <c r="P6" s="298"/>
      <c r="Q6" s="298"/>
      <c r="R6" s="298"/>
      <c r="S6" s="299"/>
      <c r="T6" s="24" t="s">
        <v>29</v>
      </c>
      <c r="U6" s="24" t="s">
        <v>9</v>
      </c>
      <c r="V6" s="23" t="s">
        <v>52</v>
      </c>
      <c r="W6" s="300" t="s">
        <v>2</v>
      </c>
      <c r="X6" s="301"/>
      <c r="Y6" s="23" t="s">
        <v>0</v>
      </c>
      <c r="Z6" s="34"/>
    </row>
    <row r="7" spans="1:26" ht="12.75" customHeight="1" x14ac:dyDescent="0.25">
      <c r="A7" s="26" t="s">
        <v>20</v>
      </c>
      <c r="B7" s="320"/>
      <c r="C7" s="320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263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321"/>
      <c r="C8" s="321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0"/>
      <c r="B9" s="184"/>
      <c r="C9" s="114"/>
      <c r="D9" s="133" t="s">
        <v>112</v>
      </c>
      <c r="E9" s="133" t="s">
        <v>276</v>
      </c>
      <c r="F9" s="130" t="s">
        <v>61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V9" s="130"/>
      <c r="W9" s="130"/>
      <c r="X9" s="130"/>
      <c r="Y9" s="130"/>
      <c r="Z9" s="41"/>
    </row>
    <row r="10" spans="1:26" s="91" customFormat="1" ht="126" customHeight="1" x14ac:dyDescent="0.3">
      <c r="A10" s="107" t="s">
        <v>85</v>
      </c>
      <c r="B10" s="145" t="s">
        <v>152</v>
      </c>
      <c r="C10" s="185" t="s">
        <v>110</v>
      </c>
      <c r="D10" s="207" t="s">
        <v>144</v>
      </c>
      <c r="E10" s="216">
        <v>43374</v>
      </c>
      <c r="F10" s="147" t="s">
        <v>113</v>
      </c>
      <c r="G10" s="149">
        <v>9</v>
      </c>
      <c r="H10" s="150"/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ref="M10" si="0">I10+L10</f>
        <v>4509</v>
      </c>
      <c r="N10" s="154">
        <f t="shared" ref="N10:N14" si="1">VLOOKUP(M10,Tarifa1,1)</f>
        <v>3124.36</v>
      </c>
      <c r="O10" s="154">
        <f t="shared" ref="O10" si="2">M10-N10</f>
        <v>1384.6399999999999</v>
      </c>
      <c r="P10" s="155">
        <f t="shared" ref="P10:P14" si="3">VLOOKUP(M10,Tarifa1,3)</f>
        <v>0.10879999999999999</v>
      </c>
      <c r="Q10" s="154">
        <f t="shared" ref="Q10" si="4">O10*P10</f>
        <v>150.64883199999997</v>
      </c>
      <c r="R10" s="156">
        <f t="shared" ref="R10:R14" si="5">VLOOKUP(M10,Tarifa1,2)</f>
        <v>183.45</v>
      </c>
      <c r="S10" s="154">
        <f t="shared" ref="S10" si="6">Q10+R10</f>
        <v>334.09883199999996</v>
      </c>
      <c r="T10" s="154">
        <f t="shared" ref="T10:T14" si="7">VLOOKUP(M10,Credito1,2)</f>
        <v>0</v>
      </c>
      <c r="U10" s="154">
        <f t="shared" ref="U10" si="8">ROUND(S10-T10,2)</f>
        <v>334.1</v>
      </c>
      <c r="V10" s="153">
        <f t="shared" ref="V10" si="9">-IF(U10&gt;0,0,U10)</f>
        <v>0</v>
      </c>
      <c r="W10" s="153">
        <f t="shared" ref="W10:W14" si="10">IF(I10/15&lt;=SMG,0,IF(U10&lt;0,0,U10))</f>
        <v>334.1</v>
      </c>
      <c r="X10" s="153">
        <f>SUM(W10:W10)</f>
        <v>334.1</v>
      </c>
      <c r="Y10" s="153">
        <f>K10+V10-X10</f>
        <v>4174.8999999999996</v>
      </c>
      <c r="Z10" s="90"/>
    </row>
    <row r="11" spans="1:26" s="91" customFormat="1" ht="126" customHeight="1" x14ac:dyDescent="0.35">
      <c r="A11" s="160"/>
      <c r="B11" s="179">
        <v>188</v>
      </c>
      <c r="C11" s="185" t="s">
        <v>110</v>
      </c>
      <c r="D11" s="258" t="s">
        <v>153</v>
      </c>
      <c r="E11" s="217">
        <v>43389</v>
      </c>
      <c r="F11" s="148" t="s">
        <v>237</v>
      </c>
      <c r="G11" s="149">
        <v>15</v>
      </c>
      <c r="H11" s="150"/>
      <c r="I11" s="151">
        <v>6440.5</v>
      </c>
      <c r="J11" s="152">
        <v>0</v>
      </c>
      <c r="K11" s="151">
        <f>I11</f>
        <v>6440.5</v>
      </c>
      <c r="L11" s="154">
        <f t="shared" ref="L11" si="11">IF(I11/15&lt;=SMG,0,J11/2)</f>
        <v>0</v>
      </c>
      <c r="M11" s="154">
        <f t="shared" ref="M11:M12" si="12">I11+L11</f>
        <v>6440.5</v>
      </c>
      <c r="N11" s="154">
        <f t="shared" si="1"/>
        <v>6382.81</v>
      </c>
      <c r="O11" s="154">
        <f t="shared" ref="O11:O12" si="13">M11-N11</f>
        <v>57.6899999999996</v>
      </c>
      <c r="P11" s="155">
        <f t="shared" si="3"/>
        <v>0.1792</v>
      </c>
      <c r="Q11" s="154">
        <f t="shared" ref="Q11:Q12" si="14">O11*P11</f>
        <v>10.338047999999928</v>
      </c>
      <c r="R11" s="156">
        <f t="shared" si="5"/>
        <v>583.65</v>
      </c>
      <c r="S11" s="154">
        <f t="shared" ref="S11:S12" si="15">Q11+R11</f>
        <v>593.98804799999994</v>
      </c>
      <c r="T11" s="154">
        <f t="shared" si="7"/>
        <v>0</v>
      </c>
      <c r="U11" s="154">
        <f t="shared" ref="U11:U12" si="16">ROUND(S11-T11,2)</f>
        <v>593.99</v>
      </c>
      <c r="V11" s="153">
        <f t="shared" ref="V11:V12" si="17">-IF(U11&gt;0,0,U11)</f>
        <v>0</v>
      </c>
      <c r="W11" s="153">
        <f t="shared" si="10"/>
        <v>593.99</v>
      </c>
      <c r="X11" s="153">
        <f>SUM(W11:W11)</f>
        <v>593.99</v>
      </c>
      <c r="Y11" s="153">
        <f>K11+V11-X11+J11</f>
        <v>5846.51</v>
      </c>
      <c r="Z11" s="90"/>
    </row>
    <row r="12" spans="1:26" s="91" customFormat="1" ht="126" customHeight="1" x14ac:dyDescent="0.35">
      <c r="A12" s="186"/>
      <c r="B12" s="146" t="s">
        <v>217</v>
      </c>
      <c r="C12" s="146" t="s">
        <v>110</v>
      </c>
      <c r="D12" s="208" t="s">
        <v>218</v>
      </c>
      <c r="E12" s="214">
        <v>43512</v>
      </c>
      <c r="F12" s="147" t="s">
        <v>113</v>
      </c>
      <c r="G12" s="149">
        <v>15</v>
      </c>
      <c r="H12" s="150"/>
      <c r="I12" s="151">
        <v>4509</v>
      </c>
      <c r="J12" s="152">
        <v>0</v>
      </c>
      <c r="K12" s="153">
        <f>SUM(I12:J12)</f>
        <v>4509</v>
      </c>
      <c r="L12" s="154">
        <f>IF(I12/15&lt;=SMG,0,J12/2)</f>
        <v>0</v>
      </c>
      <c r="M12" s="154">
        <f t="shared" si="12"/>
        <v>4509</v>
      </c>
      <c r="N12" s="154">
        <f t="shared" si="1"/>
        <v>3124.36</v>
      </c>
      <c r="O12" s="154">
        <f t="shared" si="13"/>
        <v>1384.6399999999999</v>
      </c>
      <c r="P12" s="155">
        <f t="shared" si="3"/>
        <v>0.10879999999999999</v>
      </c>
      <c r="Q12" s="154">
        <f t="shared" si="14"/>
        <v>150.64883199999997</v>
      </c>
      <c r="R12" s="156">
        <f t="shared" si="5"/>
        <v>183.45</v>
      </c>
      <c r="S12" s="154">
        <f t="shared" si="15"/>
        <v>334.09883199999996</v>
      </c>
      <c r="T12" s="154">
        <f t="shared" si="7"/>
        <v>0</v>
      </c>
      <c r="U12" s="154">
        <f t="shared" si="16"/>
        <v>334.1</v>
      </c>
      <c r="V12" s="153">
        <f t="shared" si="17"/>
        <v>0</v>
      </c>
      <c r="W12" s="153">
        <f t="shared" si="10"/>
        <v>334.1</v>
      </c>
      <c r="X12" s="153">
        <f>SUM(W12:W12)</f>
        <v>334.1</v>
      </c>
      <c r="Y12" s="153">
        <f>K12+V12-X12</f>
        <v>4174.8999999999996</v>
      </c>
      <c r="Z12" s="90"/>
    </row>
    <row r="13" spans="1:26" s="91" customFormat="1" ht="126" customHeight="1" x14ac:dyDescent="0.3">
      <c r="A13" s="186"/>
      <c r="B13" s="179">
        <v>284</v>
      </c>
      <c r="C13" s="146" t="s">
        <v>110</v>
      </c>
      <c r="D13" s="209" t="s">
        <v>215</v>
      </c>
      <c r="E13" s="216">
        <v>44473</v>
      </c>
      <c r="F13" s="147" t="s">
        <v>113</v>
      </c>
      <c r="G13" s="149">
        <v>15</v>
      </c>
      <c r="H13" s="150"/>
      <c r="I13" s="151">
        <v>4509</v>
      </c>
      <c r="J13" s="152">
        <v>0</v>
      </c>
      <c r="K13" s="153">
        <f>SUM(I13:J13)</f>
        <v>4509</v>
      </c>
      <c r="L13" s="154">
        <f>IF(I13/15&lt;=SMG,0,J13/2)</f>
        <v>0</v>
      </c>
      <c r="M13" s="154">
        <f t="shared" ref="M13:M14" si="18">I13+L13</f>
        <v>4509</v>
      </c>
      <c r="N13" s="154">
        <f t="shared" si="1"/>
        <v>3124.36</v>
      </c>
      <c r="O13" s="154">
        <f t="shared" ref="O13:O14" si="19">M13-N13</f>
        <v>1384.6399999999999</v>
      </c>
      <c r="P13" s="155">
        <f t="shared" si="3"/>
        <v>0.10879999999999999</v>
      </c>
      <c r="Q13" s="154">
        <f t="shared" ref="Q13:Q14" si="20">O13*P13</f>
        <v>150.64883199999997</v>
      </c>
      <c r="R13" s="156">
        <f t="shared" si="5"/>
        <v>183.45</v>
      </c>
      <c r="S13" s="154">
        <f t="shared" ref="S13:S14" si="21">Q13+R13</f>
        <v>334.09883199999996</v>
      </c>
      <c r="T13" s="154">
        <f t="shared" si="7"/>
        <v>0</v>
      </c>
      <c r="U13" s="154">
        <f t="shared" ref="U13:U14" si="22">ROUND(S13-T13,2)</f>
        <v>334.1</v>
      </c>
      <c r="V13" s="153">
        <f t="shared" ref="V13:V14" si="23">-IF(U13&gt;0,0,U13)</f>
        <v>0</v>
      </c>
      <c r="W13" s="153">
        <f t="shared" si="10"/>
        <v>334.1</v>
      </c>
      <c r="X13" s="153">
        <f>SUM(W13:W13)</f>
        <v>334.1</v>
      </c>
      <c r="Y13" s="153">
        <f>K13+V13-X13</f>
        <v>4174.8999999999996</v>
      </c>
      <c r="Z13" s="90"/>
    </row>
    <row r="14" spans="1:26" s="91" customFormat="1" ht="126" customHeight="1" x14ac:dyDescent="0.3">
      <c r="A14" s="186"/>
      <c r="B14" s="179">
        <v>317</v>
      </c>
      <c r="C14" s="146" t="s">
        <v>110</v>
      </c>
      <c r="D14" s="209" t="s">
        <v>291</v>
      </c>
      <c r="E14" s="216">
        <v>45078</v>
      </c>
      <c r="F14" s="147" t="s">
        <v>113</v>
      </c>
      <c r="G14" s="149">
        <v>15</v>
      </c>
      <c r="H14" s="150"/>
      <c r="I14" s="151">
        <v>4509</v>
      </c>
      <c r="J14" s="152">
        <v>0</v>
      </c>
      <c r="K14" s="153">
        <f>SUM(I14:J14)</f>
        <v>4509</v>
      </c>
      <c r="L14" s="154">
        <f>IF(I14/15&lt;=SMG,0,J14/2)</f>
        <v>0</v>
      </c>
      <c r="M14" s="154">
        <f t="shared" si="18"/>
        <v>4509</v>
      </c>
      <c r="N14" s="154">
        <f t="shared" si="1"/>
        <v>3124.36</v>
      </c>
      <c r="O14" s="154">
        <f t="shared" si="19"/>
        <v>1384.6399999999999</v>
      </c>
      <c r="P14" s="155">
        <f t="shared" si="3"/>
        <v>0.10879999999999999</v>
      </c>
      <c r="Q14" s="154">
        <f t="shared" si="20"/>
        <v>150.64883199999997</v>
      </c>
      <c r="R14" s="156">
        <f t="shared" si="5"/>
        <v>183.45</v>
      </c>
      <c r="S14" s="154">
        <f t="shared" si="21"/>
        <v>334.09883199999996</v>
      </c>
      <c r="T14" s="154">
        <f t="shared" si="7"/>
        <v>0</v>
      </c>
      <c r="U14" s="154">
        <f t="shared" si="22"/>
        <v>334.1</v>
      </c>
      <c r="V14" s="153">
        <f t="shared" si="23"/>
        <v>0</v>
      </c>
      <c r="W14" s="153">
        <f t="shared" si="10"/>
        <v>334.1</v>
      </c>
      <c r="X14" s="153">
        <f>SUM(W14:W14)</f>
        <v>334.1</v>
      </c>
      <c r="Y14" s="153">
        <f>K14+V14-X14</f>
        <v>4174.8999999999996</v>
      </c>
      <c r="Z14" s="90"/>
    </row>
    <row r="15" spans="1:26" ht="17.399999999999999" x14ac:dyDescent="0.3">
      <c r="A15" s="169"/>
      <c r="B15" s="169"/>
      <c r="C15" s="169"/>
      <c r="D15" s="169"/>
      <c r="E15" s="169"/>
      <c r="F15" s="169"/>
      <c r="G15" s="170"/>
      <c r="H15" s="169"/>
      <c r="I15" s="171"/>
      <c r="J15" s="171"/>
      <c r="K15" s="171"/>
      <c r="L15" s="172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</row>
    <row r="16" spans="1:26" ht="45" customHeight="1" thickBot="1" x14ac:dyDescent="0.35">
      <c r="A16" s="280" t="s">
        <v>44</v>
      </c>
      <c r="B16" s="281"/>
      <c r="C16" s="281"/>
      <c r="D16" s="281"/>
      <c r="E16" s="281"/>
      <c r="F16" s="281"/>
      <c r="G16" s="281"/>
      <c r="H16" s="282"/>
      <c r="I16" s="158">
        <f t="shared" ref="I16:Y16" si="24">SUM(I10:I15)</f>
        <v>24476.5</v>
      </c>
      <c r="J16" s="158">
        <f t="shared" si="24"/>
        <v>0</v>
      </c>
      <c r="K16" s="158">
        <f t="shared" si="24"/>
        <v>24476.5</v>
      </c>
      <c r="L16" s="159">
        <f t="shared" si="24"/>
        <v>0</v>
      </c>
      <c r="M16" s="159">
        <f t="shared" si="24"/>
        <v>24476.5</v>
      </c>
      <c r="N16" s="159">
        <f t="shared" si="24"/>
        <v>18880.25</v>
      </c>
      <c r="O16" s="159">
        <f t="shared" si="24"/>
        <v>5596.2499999999982</v>
      </c>
      <c r="P16" s="159">
        <f t="shared" si="24"/>
        <v>0.61439999999999995</v>
      </c>
      <c r="Q16" s="159">
        <f t="shared" si="24"/>
        <v>612.93337599999984</v>
      </c>
      <c r="R16" s="159">
        <f t="shared" si="24"/>
        <v>1317.45</v>
      </c>
      <c r="S16" s="159">
        <f t="shared" si="24"/>
        <v>1930.3833759999995</v>
      </c>
      <c r="T16" s="159">
        <f t="shared" si="24"/>
        <v>0</v>
      </c>
      <c r="U16" s="159">
        <f t="shared" si="24"/>
        <v>1930.3899999999999</v>
      </c>
      <c r="V16" s="158">
        <f t="shared" si="24"/>
        <v>0</v>
      </c>
      <c r="W16" s="158">
        <f t="shared" si="24"/>
        <v>1930.3899999999999</v>
      </c>
      <c r="X16" s="158">
        <f t="shared" si="24"/>
        <v>1930.3899999999999</v>
      </c>
      <c r="Y16" s="158">
        <f t="shared" si="24"/>
        <v>22546.11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B1" zoomScale="68" zoomScaleNormal="68" workbookViewId="0">
      <selection activeCell="X11" sqref="X11"/>
    </sheetView>
  </sheetViews>
  <sheetFormatPr baseColWidth="10" defaultColWidth="11.44140625" defaultRowHeight="13.2" x14ac:dyDescent="0.25"/>
  <cols>
    <col min="1" max="1" width="5.5546875" style="65" hidden="1" customWidth="1"/>
    <col min="2" max="2" width="10.5546875" style="65" customWidth="1"/>
    <col min="3" max="3" width="9" style="65" customWidth="1"/>
    <col min="4" max="4" width="15.33203125" style="65" customWidth="1"/>
    <col min="5" max="5" width="22" style="65" customWidth="1"/>
    <col min="6" max="6" width="11.33203125" style="65" hidden="1" customWidth="1"/>
    <col min="7" max="7" width="17.5546875" style="65" customWidth="1"/>
    <col min="8" max="8" width="14" style="65" customWidth="1"/>
    <col min="9" max="9" width="15.44140625" style="65" customWidth="1"/>
    <col min="10" max="10" width="12.6640625" style="65" hidden="1" customWidth="1"/>
    <col min="11" max="11" width="13.109375" style="65" hidden="1" customWidth="1"/>
    <col min="12" max="12" width="14.44140625" style="65" hidden="1" customWidth="1"/>
    <col min="13" max="13" width="15" style="65" hidden="1" customWidth="1"/>
    <col min="14" max="14" width="11" style="65" hidden="1" customWidth="1"/>
    <col min="15" max="16" width="13.109375" style="65" hidden="1" customWidth="1"/>
    <col min="17" max="17" width="15.44140625" style="65" hidden="1" customWidth="1"/>
    <col min="18" max="18" width="10.44140625" style="65" hidden="1" customWidth="1"/>
    <col min="19" max="19" width="13.109375" style="65" hidden="1" customWidth="1"/>
    <col min="20" max="20" width="11.5546875" style="65" customWidth="1"/>
    <col min="21" max="21" width="15.5546875" style="65" customWidth="1"/>
    <col min="22" max="22" width="15.88671875" style="65" customWidth="1"/>
    <col min="23" max="23" width="15.44140625" style="65" customWidth="1"/>
    <col min="24" max="24" width="91.88671875" style="65" customWidth="1"/>
    <col min="25" max="25" width="73.44140625" style="65" customWidth="1"/>
    <col min="26" max="16384" width="11.44140625" style="65"/>
  </cols>
  <sheetData>
    <row r="1" spans="1:26" ht="17.399999999999999" x14ac:dyDescent="0.3">
      <c r="A1" s="293" t="s">
        <v>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4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4"/>
    </row>
    <row r="3" spans="1:26" ht="19.8" x14ac:dyDescent="0.3">
      <c r="A3" s="42" t="s">
        <v>177</v>
      </c>
      <c r="B3" s="284" t="str">
        <f>PRESIDENCIA!A3</f>
        <v>SUELDO  DEL 16 AL 31 DE MARZO DE 2024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190"/>
      <c r="Z3" s="190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4" t="s">
        <v>1</v>
      </c>
      <c r="H5" s="295"/>
      <c r="I5" s="296"/>
      <c r="J5" s="24" t="s">
        <v>25</v>
      </c>
      <c r="K5" s="25"/>
      <c r="L5" s="297" t="s">
        <v>8</v>
      </c>
      <c r="M5" s="298"/>
      <c r="N5" s="298"/>
      <c r="O5" s="298"/>
      <c r="P5" s="298"/>
      <c r="Q5" s="299"/>
      <c r="R5" s="24" t="s">
        <v>29</v>
      </c>
      <c r="S5" s="24" t="s">
        <v>9</v>
      </c>
      <c r="T5" s="23" t="s">
        <v>52</v>
      </c>
      <c r="U5" s="300" t="s">
        <v>2</v>
      </c>
      <c r="V5" s="301"/>
      <c r="W5" s="23" t="s">
        <v>0</v>
      </c>
      <c r="X5" s="101"/>
      <c r="Y5" s="4"/>
    </row>
    <row r="6" spans="1:26" ht="32.25" customHeight="1" x14ac:dyDescent="0.25">
      <c r="A6" s="26" t="s">
        <v>20</v>
      </c>
      <c r="B6" s="44" t="s">
        <v>99</v>
      </c>
      <c r="C6" s="44" t="s">
        <v>111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263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124</v>
      </c>
      <c r="T7" s="26" t="s">
        <v>51</v>
      </c>
      <c r="U7" s="26"/>
      <c r="V7" s="26" t="s">
        <v>43</v>
      </c>
      <c r="W7" s="26" t="s">
        <v>4</v>
      </c>
      <c r="X7" s="102"/>
      <c r="Y7" s="4"/>
    </row>
    <row r="8" spans="1:26" ht="26.25" customHeight="1" x14ac:dyDescent="0.25">
      <c r="A8" s="39"/>
      <c r="B8" s="100"/>
      <c r="C8" s="100"/>
      <c r="D8" s="98" t="s">
        <v>276</v>
      </c>
      <c r="E8" s="37" t="s">
        <v>61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96"/>
      <c r="Y8" s="4"/>
    </row>
    <row r="9" spans="1:26" ht="78" customHeight="1" x14ac:dyDescent="0.3">
      <c r="A9" s="107" t="s">
        <v>83</v>
      </c>
      <c r="B9" s="146" t="s">
        <v>343</v>
      </c>
      <c r="C9" s="146" t="s">
        <v>110</v>
      </c>
      <c r="D9" s="220">
        <v>45367</v>
      </c>
      <c r="E9" s="147" t="s">
        <v>66</v>
      </c>
      <c r="F9" s="149">
        <v>15</v>
      </c>
      <c r="G9" s="151">
        <v>10602</v>
      </c>
      <c r="H9" s="152">
        <v>0</v>
      </c>
      <c r="I9" s="153">
        <f t="shared" ref="I9" si="0">SUM(G9:H9)</f>
        <v>10602</v>
      </c>
      <c r="J9" s="154">
        <f t="shared" ref="J9:J10" si="1">IF(G9/15&lt;=SMG,0,H9/2)</f>
        <v>0</v>
      </c>
      <c r="K9" s="154">
        <f t="shared" ref="K9:K10" si="2">G9+J9</f>
        <v>10602</v>
      </c>
      <c r="L9" s="154">
        <f t="shared" ref="L9:L10" si="3">VLOOKUP(K9,Tarifa1,1)</f>
        <v>7641.91</v>
      </c>
      <c r="M9" s="154">
        <f>K9-L9</f>
        <v>2960.09</v>
      </c>
      <c r="N9" s="155">
        <f t="shared" ref="N9:N10" si="4">VLOOKUP(K9,Tarifa1,3)</f>
        <v>0.21360000000000001</v>
      </c>
      <c r="O9" s="154">
        <f>M9*N9</f>
        <v>632.27522400000009</v>
      </c>
      <c r="P9" s="156">
        <f t="shared" ref="P9:P10" si="5">VLOOKUP(K9,Tarifa1,2)</f>
        <v>809.25</v>
      </c>
      <c r="Q9" s="154">
        <f>O9+P9</f>
        <v>1441.525224</v>
      </c>
      <c r="R9" s="154">
        <f t="shared" ref="R9:R10" si="6">VLOOKUP(K9,Credito1,2)</f>
        <v>0</v>
      </c>
      <c r="S9" s="154">
        <f>ROUND(Q9-R9,2)</f>
        <v>1441.53</v>
      </c>
      <c r="T9" s="153">
        <f>-IF(S9&gt;0,0,S9)</f>
        <v>0</v>
      </c>
      <c r="U9" s="153">
        <f t="shared" ref="U9:U10" si="7">IF(G9/15&lt;=SMG,0,IF(S9&lt;0,0,S9))</f>
        <v>1441.53</v>
      </c>
      <c r="V9" s="153">
        <f t="shared" ref="V9:V26" si="8">SUM(U9:U9)</f>
        <v>1441.53</v>
      </c>
      <c r="W9" s="153">
        <f>I9+T9-U9</f>
        <v>9160.4699999999993</v>
      </c>
      <c r="X9" s="86"/>
      <c r="Y9" s="4"/>
    </row>
    <row r="10" spans="1:26" ht="78" customHeight="1" x14ac:dyDescent="0.3">
      <c r="A10" s="107"/>
      <c r="B10" s="146" t="s">
        <v>298</v>
      </c>
      <c r="C10" s="146" t="s">
        <v>145</v>
      </c>
      <c r="D10" s="221">
        <v>45092</v>
      </c>
      <c r="E10" s="147" t="s">
        <v>79</v>
      </c>
      <c r="F10" s="149"/>
      <c r="G10" s="151">
        <v>8661.5</v>
      </c>
      <c r="H10" s="152">
        <v>0</v>
      </c>
      <c r="I10" s="153">
        <f t="shared" ref="I10" si="9">SUM(G10:H10)</f>
        <v>8661.5</v>
      </c>
      <c r="J10" s="154">
        <f t="shared" si="1"/>
        <v>0</v>
      </c>
      <c r="K10" s="154">
        <f t="shared" si="2"/>
        <v>8661.5</v>
      </c>
      <c r="L10" s="154">
        <f t="shared" si="3"/>
        <v>7641.91</v>
      </c>
      <c r="M10" s="154">
        <f t="shared" ref="M10" si="10">K10-L10</f>
        <v>1019.5900000000001</v>
      </c>
      <c r="N10" s="155">
        <f t="shared" si="4"/>
        <v>0.21360000000000001</v>
      </c>
      <c r="O10" s="154">
        <f t="shared" ref="O10" si="11">M10*N10</f>
        <v>217.78442400000003</v>
      </c>
      <c r="P10" s="156">
        <f t="shared" si="5"/>
        <v>809.25</v>
      </c>
      <c r="Q10" s="154">
        <f t="shared" ref="Q10" si="12">O10+P10</f>
        <v>1027.0344239999999</v>
      </c>
      <c r="R10" s="154">
        <f t="shared" si="6"/>
        <v>0</v>
      </c>
      <c r="S10" s="154">
        <f t="shared" ref="S10" si="13">ROUND(Q10-R10,2)</f>
        <v>1027.03</v>
      </c>
      <c r="T10" s="153">
        <f t="shared" ref="T10" si="14">-IF(S10&gt;0,0,S10)</f>
        <v>0</v>
      </c>
      <c r="U10" s="153">
        <f t="shared" si="7"/>
        <v>1027.03</v>
      </c>
      <c r="V10" s="153">
        <f t="shared" si="8"/>
        <v>1027.03</v>
      </c>
      <c r="W10" s="153">
        <f t="shared" ref="W10:W26" si="15">I10+T10-V10</f>
        <v>7634.47</v>
      </c>
      <c r="X10" s="86"/>
      <c r="Y10" s="4"/>
    </row>
    <row r="11" spans="1:26" s="91" customFormat="1" ht="78" customHeight="1" x14ac:dyDescent="0.3">
      <c r="A11" s="186"/>
      <c r="B11" s="146" t="s">
        <v>168</v>
      </c>
      <c r="C11" s="146" t="s">
        <v>110</v>
      </c>
      <c r="D11" s="220">
        <v>43601</v>
      </c>
      <c r="E11" s="148" t="s">
        <v>79</v>
      </c>
      <c r="F11" s="149">
        <v>15</v>
      </c>
      <c r="G11" s="151">
        <v>8661.5</v>
      </c>
      <c r="H11" s="152">
        <v>0</v>
      </c>
      <c r="I11" s="153">
        <f t="shared" ref="I11:I12" si="16">SUM(G11:H11)</f>
        <v>8661.5</v>
      </c>
      <c r="J11" s="154">
        <f t="shared" ref="J11:J12" si="17">IF(G11/15&lt;=SMG,0,H11/2)</f>
        <v>0</v>
      </c>
      <c r="K11" s="154">
        <f t="shared" ref="K11:K12" si="18">G11+J11</f>
        <v>8661.5</v>
      </c>
      <c r="L11" s="154">
        <f t="shared" ref="L11:L17" si="19">VLOOKUP(K11,Tarifa1,1)</f>
        <v>7641.91</v>
      </c>
      <c r="M11" s="154">
        <f t="shared" ref="M11:M17" si="20">K11-L11</f>
        <v>1019.5900000000001</v>
      </c>
      <c r="N11" s="155">
        <f t="shared" ref="N11:N17" si="21">VLOOKUP(K11,Tarifa1,3)</f>
        <v>0.21360000000000001</v>
      </c>
      <c r="O11" s="154">
        <f t="shared" ref="O11:O17" si="22">M11*N11</f>
        <v>217.78442400000003</v>
      </c>
      <c r="P11" s="156">
        <f t="shared" ref="P11:P17" si="23">VLOOKUP(K11,Tarifa1,2)</f>
        <v>809.25</v>
      </c>
      <c r="Q11" s="154">
        <f t="shared" ref="Q11:Q17" si="24">O11+P11</f>
        <v>1027.0344239999999</v>
      </c>
      <c r="R11" s="154">
        <f t="shared" ref="R11:R17" si="25">VLOOKUP(K11,Credito1,2)</f>
        <v>0</v>
      </c>
      <c r="S11" s="154">
        <f t="shared" ref="S11:S17" si="26">ROUND(Q11-R11,2)</f>
        <v>1027.03</v>
      </c>
      <c r="T11" s="153">
        <f t="shared" ref="T11:T17" si="27">-IF(S11&gt;0,0,S11)</f>
        <v>0</v>
      </c>
      <c r="U11" s="153">
        <f t="shared" ref="U11:U17" si="28">IF(G11/15&lt;=SMG,0,IF(S11&lt;0,0,S11))</f>
        <v>1027.03</v>
      </c>
      <c r="V11" s="153">
        <f t="shared" si="8"/>
        <v>1027.03</v>
      </c>
      <c r="W11" s="153">
        <f t="shared" si="15"/>
        <v>7634.47</v>
      </c>
      <c r="X11" s="86"/>
      <c r="Y11" s="4"/>
    </row>
    <row r="12" spans="1:26" s="91" customFormat="1" ht="78" customHeight="1" x14ac:dyDescent="0.3">
      <c r="A12" s="186"/>
      <c r="B12" s="146" t="s">
        <v>344</v>
      </c>
      <c r="C12" s="146" t="s">
        <v>110</v>
      </c>
      <c r="D12" s="220">
        <v>45367</v>
      </c>
      <c r="E12" s="148" t="s">
        <v>242</v>
      </c>
      <c r="F12" s="149">
        <v>15</v>
      </c>
      <c r="G12" s="151">
        <v>8256.5</v>
      </c>
      <c r="H12" s="152">
        <v>0</v>
      </c>
      <c r="I12" s="153">
        <f t="shared" si="16"/>
        <v>8256.5</v>
      </c>
      <c r="J12" s="154">
        <f t="shared" si="17"/>
        <v>0</v>
      </c>
      <c r="K12" s="154">
        <f t="shared" si="18"/>
        <v>8256.5</v>
      </c>
      <c r="L12" s="154">
        <f t="shared" ref="L12" si="29">VLOOKUP(K12,Tarifa1,1)</f>
        <v>7641.91</v>
      </c>
      <c r="M12" s="154">
        <f t="shared" ref="M12" si="30">K12-L12</f>
        <v>614.59000000000015</v>
      </c>
      <c r="N12" s="155">
        <f t="shared" ref="N12" si="31">VLOOKUP(K12,Tarifa1,3)</f>
        <v>0.21360000000000001</v>
      </c>
      <c r="O12" s="154">
        <f t="shared" ref="O12" si="32">M12*N12</f>
        <v>131.27642400000005</v>
      </c>
      <c r="P12" s="156">
        <f t="shared" ref="P12" si="33">VLOOKUP(K12,Tarifa1,2)</f>
        <v>809.25</v>
      </c>
      <c r="Q12" s="154">
        <f t="shared" ref="Q12" si="34">O12+P12</f>
        <v>940.52642400000002</v>
      </c>
      <c r="R12" s="154">
        <f t="shared" ref="R12" si="35">VLOOKUP(K12,Credito1,2)</f>
        <v>0</v>
      </c>
      <c r="S12" s="154">
        <f t="shared" ref="S12" si="36">ROUND(Q12-R12,2)</f>
        <v>940.53</v>
      </c>
      <c r="T12" s="153">
        <f t="shared" ref="T12" si="37">-IF(S12&gt;0,0,S12)</f>
        <v>0</v>
      </c>
      <c r="U12" s="153">
        <f t="shared" ref="U12" si="38">IF(G12/15&lt;=SMG,0,IF(S12&lt;0,0,S12))</f>
        <v>940.53</v>
      </c>
      <c r="V12" s="153">
        <f t="shared" si="8"/>
        <v>940.53</v>
      </c>
      <c r="W12" s="153">
        <f t="shared" si="15"/>
        <v>7315.97</v>
      </c>
      <c r="X12" s="86"/>
      <c r="Y12" s="4"/>
    </row>
    <row r="13" spans="1:26" s="91" customFormat="1" ht="78" customHeight="1" x14ac:dyDescent="0.3">
      <c r="A13" s="186"/>
      <c r="B13" s="146" t="s">
        <v>345</v>
      </c>
      <c r="C13" s="146" t="s">
        <v>110</v>
      </c>
      <c r="D13" s="221">
        <v>45367</v>
      </c>
      <c r="E13" s="148" t="s">
        <v>242</v>
      </c>
      <c r="F13" s="149">
        <v>15</v>
      </c>
      <c r="G13" s="151">
        <v>8256.5</v>
      </c>
      <c r="H13" s="152">
        <v>0</v>
      </c>
      <c r="I13" s="153">
        <f t="shared" ref="I13" si="39">SUM(G13:H13)</f>
        <v>8256.5</v>
      </c>
      <c r="J13" s="154">
        <f t="shared" ref="J13:J14" si="40">IF(G13/15&lt;=SMG,0,H13/2)</f>
        <v>0</v>
      </c>
      <c r="K13" s="154">
        <f t="shared" ref="K13:K14" si="41">G13+J13</f>
        <v>8256.5</v>
      </c>
      <c r="L13" s="154">
        <f t="shared" ref="L13:L14" si="42">VLOOKUP(K13,Tarifa1,1)</f>
        <v>7641.91</v>
      </c>
      <c r="M13" s="154">
        <f t="shared" ref="M13:M14" si="43">K13-L13</f>
        <v>614.59000000000015</v>
      </c>
      <c r="N13" s="155">
        <f t="shared" ref="N13:N14" si="44">VLOOKUP(K13,Tarifa1,3)</f>
        <v>0.21360000000000001</v>
      </c>
      <c r="O13" s="154">
        <f t="shared" ref="O13:O14" si="45">M13*N13</f>
        <v>131.27642400000005</v>
      </c>
      <c r="P13" s="156">
        <f t="shared" ref="P13:P14" si="46">VLOOKUP(K13,Tarifa1,2)</f>
        <v>809.25</v>
      </c>
      <c r="Q13" s="154">
        <f t="shared" ref="Q13:Q14" si="47">O13+P13</f>
        <v>940.52642400000002</v>
      </c>
      <c r="R13" s="154">
        <f t="shared" ref="R13:R14" si="48">VLOOKUP(K13,Credito1,2)</f>
        <v>0</v>
      </c>
      <c r="S13" s="154">
        <f t="shared" ref="S13:S14" si="49">ROUND(Q13-R13,2)</f>
        <v>940.53</v>
      </c>
      <c r="T13" s="153">
        <f t="shared" ref="T13:T14" si="50">-IF(S13&gt;0,0,S13)</f>
        <v>0</v>
      </c>
      <c r="U13" s="153">
        <f t="shared" ref="U13:U14" si="51">IF(G13/15&lt;=SMG,0,IF(S13&lt;0,0,S13))</f>
        <v>940.53</v>
      </c>
      <c r="V13" s="153">
        <f t="shared" si="8"/>
        <v>940.53</v>
      </c>
      <c r="W13" s="153">
        <f t="shared" si="15"/>
        <v>7315.97</v>
      </c>
      <c r="X13" s="86"/>
      <c r="Y13" s="4"/>
    </row>
    <row r="14" spans="1:26" s="91" customFormat="1" ht="78" customHeight="1" x14ac:dyDescent="0.3">
      <c r="A14" s="186"/>
      <c r="B14" s="146" t="s">
        <v>180</v>
      </c>
      <c r="C14" s="146" t="s">
        <v>110</v>
      </c>
      <c r="D14" s="221">
        <v>43937</v>
      </c>
      <c r="E14" s="148" t="s">
        <v>80</v>
      </c>
      <c r="F14" s="149">
        <v>15</v>
      </c>
      <c r="G14" s="151">
        <v>7851.5</v>
      </c>
      <c r="H14" s="152">
        <v>0</v>
      </c>
      <c r="I14" s="153">
        <f t="shared" ref="I14" si="52">SUM(G14:H14)</f>
        <v>7851.5</v>
      </c>
      <c r="J14" s="154">
        <f t="shared" si="40"/>
        <v>0</v>
      </c>
      <c r="K14" s="154">
        <f t="shared" si="41"/>
        <v>7851.5</v>
      </c>
      <c r="L14" s="154">
        <f t="shared" si="42"/>
        <v>7641.91</v>
      </c>
      <c r="M14" s="154">
        <f t="shared" si="43"/>
        <v>209.59000000000015</v>
      </c>
      <c r="N14" s="155">
        <f t="shared" si="44"/>
        <v>0.21360000000000001</v>
      </c>
      <c r="O14" s="154">
        <f t="shared" si="45"/>
        <v>44.768424000000032</v>
      </c>
      <c r="P14" s="156">
        <f t="shared" si="46"/>
        <v>809.25</v>
      </c>
      <c r="Q14" s="154">
        <f t="shared" si="47"/>
        <v>854.01842399999998</v>
      </c>
      <c r="R14" s="154">
        <f t="shared" si="48"/>
        <v>0</v>
      </c>
      <c r="S14" s="154">
        <f t="shared" si="49"/>
        <v>854.02</v>
      </c>
      <c r="T14" s="153">
        <f t="shared" si="50"/>
        <v>0</v>
      </c>
      <c r="U14" s="153">
        <f t="shared" si="51"/>
        <v>854.02</v>
      </c>
      <c r="V14" s="153">
        <f t="shared" si="8"/>
        <v>854.02</v>
      </c>
      <c r="W14" s="153">
        <f t="shared" si="15"/>
        <v>6997.48</v>
      </c>
      <c r="X14" s="86"/>
      <c r="Y14" s="4"/>
    </row>
    <row r="15" spans="1:26" s="91" customFormat="1" ht="78" customHeight="1" x14ac:dyDescent="0.3">
      <c r="A15" s="186"/>
      <c r="B15" s="146" t="s">
        <v>103</v>
      </c>
      <c r="C15" s="146" t="s">
        <v>110</v>
      </c>
      <c r="D15" s="221">
        <v>41898</v>
      </c>
      <c r="E15" s="148" t="s">
        <v>80</v>
      </c>
      <c r="F15" s="149">
        <v>15</v>
      </c>
      <c r="G15" s="151">
        <v>7851.5</v>
      </c>
      <c r="H15" s="152">
        <v>0</v>
      </c>
      <c r="I15" s="153">
        <f t="shared" ref="I15" si="53">SUM(G15:H15)</f>
        <v>7851.5</v>
      </c>
      <c r="J15" s="154">
        <f t="shared" ref="J15:J16" si="54">IF(G15/15&lt;=SMG,0,H15/2)</f>
        <v>0</v>
      </c>
      <c r="K15" s="154">
        <f t="shared" ref="K15:K16" si="55">G15+J15</f>
        <v>7851.5</v>
      </c>
      <c r="L15" s="154">
        <f t="shared" si="19"/>
        <v>7641.91</v>
      </c>
      <c r="M15" s="154">
        <f t="shared" si="20"/>
        <v>209.59000000000015</v>
      </c>
      <c r="N15" s="155">
        <f t="shared" si="21"/>
        <v>0.21360000000000001</v>
      </c>
      <c r="O15" s="154">
        <f t="shared" si="22"/>
        <v>44.768424000000032</v>
      </c>
      <c r="P15" s="156">
        <f t="shared" si="23"/>
        <v>809.25</v>
      </c>
      <c r="Q15" s="154">
        <f t="shared" si="24"/>
        <v>854.01842399999998</v>
      </c>
      <c r="R15" s="154">
        <f t="shared" si="25"/>
        <v>0</v>
      </c>
      <c r="S15" s="154">
        <f t="shared" si="26"/>
        <v>854.02</v>
      </c>
      <c r="T15" s="153">
        <f t="shared" si="27"/>
        <v>0</v>
      </c>
      <c r="U15" s="153">
        <f t="shared" si="28"/>
        <v>854.02</v>
      </c>
      <c r="V15" s="153">
        <f t="shared" si="8"/>
        <v>854.02</v>
      </c>
      <c r="W15" s="153">
        <f t="shared" si="15"/>
        <v>6997.48</v>
      </c>
      <c r="X15" s="87"/>
      <c r="Y15" s="4"/>
    </row>
    <row r="16" spans="1:26" ht="78" customHeight="1" x14ac:dyDescent="0.3">
      <c r="A16" s="186"/>
      <c r="B16" s="146" t="s">
        <v>178</v>
      </c>
      <c r="C16" s="146" t="s">
        <v>110</v>
      </c>
      <c r="D16" s="220">
        <v>43831</v>
      </c>
      <c r="E16" s="148" t="s">
        <v>80</v>
      </c>
      <c r="F16" s="188">
        <v>15</v>
      </c>
      <c r="G16" s="151">
        <v>7851.5</v>
      </c>
      <c r="H16" s="152">
        <v>0</v>
      </c>
      <c r="I16" s="153">
        <f t="shared" ref="I16" si="56">SUM(G16:H16)</f>
        <v>7851.5</v>
      </c>
      <c r="J16" s="154">
        <f t="shared" si="54"/>
        <v>0</v>
      </c>
      <c r="K16" s="154">
        <f t="shared" si="55"/>
        <v>7851.5</v>
      </c>
      <c r="L16" s="154">
        <f t="shared" si="19"/>
        <v>7641.91</v>
      </c>
      <c r="M16" s="154">
        <f t="shared" si="20"/>
        <v>209.59000000000015</v>
      </c>
      <c r="N16" s="155">
        <f t="shared" si="21"/>
        <v>0.21360000000000001</v>
      </c>
      <c r="O16" s="154">
        <f t="shared" si="22"/>
        <v>44.768424000000032</v>
      </c>
      <c r="P16" s="156">
        <f t="shared" si="23"/>
        <v>809.25</v>
      </c>
      <c r="Q16" s="154">
        <f t="shared" si="24"/>
        <v>854.01842399999998</v>
      </c>
      <c r="R16" s="154">
        <f t="shared" si="25"/>
        <v>0</v>
      </c>
      <c r="S16" s="154">
        <f t="shared" si="26"/>
        <v>854.02</v>
      </c>
      <c r="T16" s="153">
        <f t="shared" si="27"/>
        <v>0</v>
      </c>
      <c r="U16" s="153">
        <f t="shared" si="28"/>
        <v>854.02</v>
      </c>
      <c r="V16" s="153">
        <f t="shared" si="8"/>
        <v>854.02</v>
      </c>
      <c r="W16" s="153">
        <f t="shared" si="15"/>
        <v>6997.48</v>
      </c>
      <c r="X16" s="87"/>
      <c r="Y16" s="4"/>
    </row>
    <row r="17" spans="1:25" ht="78" customHeight="1" x14ac:dyDescent="0.3">
      <c r="A17" s="186"/>
      <c r="B17" s="146" t="s">
        <v>239</v>
      </c>
      <c r="C17" s="146" t="s">
        <v>110</v>
      </c>
      <c r="D17" s="220">
        <v>44608</v>
      </c>
      <c r="E17" s="148" t="s">
        <v>80</v>
      </c>
      <c r="F17" s="149"/>
      <c r="G17" s="151">
        <v>7851.5</v>
      </c>
      <c r="H17" s="152">
        <v>0</v>
      </c>
      <c r="I17" s="153">
        <f t="shared" ref="I17" si="57">SUM(G17:H17)</f>
        <v>7851.5</v>
      </c>
      <c r="J17" s="154">
        <f t="shared" ref="J17:J18" si="58">IF(G17/15&lt;=SMG,0,H17/2)</f>
        <v>0</v>
      </c>
      <c r="K17" s="154">
        <f t="shared" ref="K17:K18" si="59">G17+J17</f>
        <v>7851.5</v>
      </c>
      <c r="L17" s="154">
        <f t="shared" si="19"/>
        <v>7641.91</v>
      </c>
      <c r="M17" s="154">
        <f t="shared" si="20"/>
        <v>209.59000000000015</v>
      </c>
      <c r="N17" s="155">
        <f t="shared" si="21"/>
        <v>0.21360000000000001</v>
      </c>
      <c r="O17" s="154">
        <f t="shared" si="22"/>
        <v>44.768424000000032</v>
      </c>
      <c r="P17" s="156">
        <f t="shared" si="23"/>
        <v>809.25</v>
      </c>
      <c r="Q17" s="154">
        <f t="shared" si="24"/>
        <v>854.01842399999998</v>
      </c>
      <c r="R17" s="154">
        <f t="shared" si="25"/>
        <v>0</v>
      </c>
      <c r="S17" s="154">
        <f t="shared" si="26"/>
        <v>854.02</v>
      </c>
      <c r="T17" s="153">
        <f t="shared" si="27"/>
        <v>0</v>
      </c>
      <c r="U17" s="153">
        <f t="shared" si="28"/>
        <v>854.02</v>
      </c>
      <c r="V17" s="153">
        <f t="shared" si="8"/>
        <v>854.02</v>
      </c>
      <c r="W17" s="153">
        <f t="shared" si="15"/>
        <v>6997.48</v>
      </c>
      <c r="X17" s="87"/>
      <c r="Y17" s="4"/>
    </row>
    <row r="18" spans="1:25" ht="78" customHeight="1" x14ac:dyDescent="0.3">
      <c r="A18" s="186"/>
      <c r="B18" s="146" t="s">
        <v>280</v>
      </c>
      <c r="C18" s="146" t="s">
        <v>110</v>
      </c>
      <c r="D18" s="221">
        <v>44986</v>
      </c>
      <c r="E18" s="148" t="s">
        <v>80</v>
      </c>
      <c r="F18" s="149"/>
      <c r="G18" s="151">
        <v>7851.5</v>
      </c>
      <c r="H18" s="152">
        <v>0</v>
      </c>
      <c r="I18" s="153">
        <f t="shared" ref="I18" si="60">SUM(G18:H18)</f>
        <v>7851.5</v>
      </c>
      <c r="J18" s="154">
        <f t="shared" si="58"/>
        <v>0</v>
      </c>
      <c r="K18" s="154">
        <f t="shared" si="59"/>
        <v>7851.5</v>
      </c>
      <c r="L18" s="154">
        <f t="shared" ref="L18" si="61">VLOOKUP(K18,Tarifa1,1)</f>
        <v>7641.91</v>
      </c>
      <c r="M18" s="154">
        <f t="shared" ref="M18" si="62">K18-L18</f>
        <v>209.59000000000015</v>
      </c>
      <c r="N18" s="155">
        <f t="shared" ref="N18" si="63">VLOOKUP(K18,Tarifa1,3)</f>
        <v>0.21360000000000001</v>
      </c>
      <c r="O18" s="154">
        <f t="shared" ref="O18" si="64">M18*N18</f>
        <v>44.768424000000032</v>
      </c>
      <c r="P18" s="156">
        <f t="shared" ref="P18" si="65">VLOOKUP(K18,Tarifa1,2)</f>
        <v>809.25</v>
      </c>
      <c r="Q18" s="154">
        <f t="shared" ref="Q18" si="66">O18+P18</f>
        <v>854.01842399999998</v>
      </c>
      <c r="R18" s="154">
        <f t="shared" ref="R18" si="67">VLOOKUP(K18,Credito1,2)</f>
        <v>0</v>
      </c>
      <c r="S18" s="154">
        <f t="shared" ref="S18" si="68">ROUND(Q18-R18,2)</f>
        <v>854.02</v>
      </c>
      <c r="T18" s="153">
        <f t="shared" ref="T18" si="69">-IF(S18&gt;0,0,S18)</f>
        <v>0</v>
      </c>
      <c r="U18" s="153">
        <f t="shared" ref="U18" si="70">IF(G18/15&lt;=SMG,0,IF(S18&lt;0,0,S18))</f>
        <v>854.02</v>
      </c>
      <c r="V18" s="153">
        <f t="shared" si="8"/>
        <v>854.02</v>
      </c>
      <c r="W18" s="153">
        <f t="shared" si="15"/>
        <v>6997.48</v>
      </c>
      <c r="X18" s="87"/>
      <c r="Y18" s="4"/>
    </row>
    <row r="19" spans="1:25" ht="78" customHeight="1" x14ac:dyDescent="0.3">
      <c r="A19" s="186"/>
      <c r="B19" s="146" t="s">
        <v>297</v>
      </c>
      <c r="C19" s="146" t="s">
        <v>110</v>
      </c>
      <c r="D19" s="221">
        <v>45092</v>
      </c>
      <c r="E19" s="148" t="s">
        <v>80</v>
      </c>
      <c r="F19" s="149"/>
      <c r="G19" s="151">
        <v>7851.5</v>
      </c>
      <c r="H19" s="152">
        <v>0</v>
      </c>
      <c r="I19" s="153">
        <f t="shared" ref="I19" si="71">SUM(G19:H19)</f>
        <v>7851.5</v>
      </c>
      <c r="J19" s="154">
        <f t="shared" ref="J19" si="72">IF(G19/15&lt;=SMG,0,H19/2)</f>
        <v>0</v>
      </c>
      <c r="K19" s="154">
        <f t="shared" ref="K19" si="73">G19+J19</f>
        <v>7851.5</v>
      </c>
      <c r="L19" s="154">
        <f t="shared" ref="L19" si="74">VLOOKUP(K19,Tarifa1,1)</f>
        <v>7641.91</v>
      </c>
      <c r="M19" s="154">
        <f t="shared" ref="M19" si="75">K19-L19</f>
        <v>209.59000000000015</v>
      </c>
      <c r="N19" s="155">
        <f t="shared" ref="N19" si="76">VLOOKUP(K19,Tarifa1,3)</f>
        <v>0.21360000000000001</v>
      </c>
      <c r="O19" s="154">
        <f t="shared" ref="O19" si="77">M19*N19</f>
        <v>44.768424000000032</v>
      </c>
      <c r="P19" s="156">
        <f t="shared" ref="P19" si="78">VLOOKUP(K19,Tarifa1,2)</f>
        <v>809.25</v>
      </c>
      <c r="Q19" s="154">
        <f t="shared" ref="Q19" si="79">O19+P19</f>
        <v>854.01842399999998</v>
      </c>
      <c r="R19" s="154">
        <f t="shared" ref="R19" si="80">VLOOKUP(K19,Credito1,2)</f>
        <v>0</v>
      </c>
      <c r="S19" s="154">
        <f t="shared" ref="S19" si="81">ROUND(Q19-R19,2)</f>
        <v>854.02</v>
      </c>
      <c r="T19" s="153">
        <f t="shared" ref="T19" si="82">-IF(S19&gt;0,0,S19)</f>
        <v>0</v>
      </c>
      <c r="U19" s="153">
        <f t="shared" ref="U19" si="83">IF(G19/15&lt;=SMG,0,IF(S19&lt;0,0,S19))</f>
        <v>854.02</v>
      </c>
      <c r="V19" s="153">
        <f t="shared" si="8"/>
        <v>854.02</v>
      </c>
      <c r="W19" s="153">
        <f t="shared" si="15"/>
        <v>6997.48</v>
      </c>
      <c r="X19" s="87"/>
      <c r="Y19" s="4"/>
    </row>
    <row r="20" spans="1:25" ht="78" customHeight="1" x14ac:dyDescent="0.3">
      <c r="A20" s="186"/>
      <c r="B20" s="146" t="s">
        <v>309</v>
      </c>
      <c r="C20" s="146" t="s">
        <v>110</v>
      </c>
      <c r="D20" s="221">
        <v>45132</v>
      </c>
      <c r="E20" s="148" t="s">
        <v>80</v>
      </c>
      <c r="F20" s="149"/>
      <c r="G20" s="151">
        <v>7851.5</v>
      </c>
      <c r="H20" s="152">
        <v>0</v>
      </c>
      <c r="I20" s="153">
        <f t="shared" ref="I20" si="84">SUM(G20:H20)</f>
        <v>7851.5</v>
      </c>
      <c r="J20" s="154">
        <f t="shared" ref="J20" si="85">IF(G20/15&lt;=SMG,0,H20/2)</f>
        <v>0</v>
      </c>
      <c r="K20" s="154">
        <f t="shared" ref="K20" si="86">G20+J20</f>
        <v>7851.5</v>
      </c>
      <c r="L20" s="154">
        <f t="shared" ref="L20" si="87">VLOOKUP(K20,Tarifa1,1)</f>
        <v>7641.91</v>
      </c>
      <c r="M20" s="154">
        <f t="shared" ref="M20" si="88">K20-L20</f>
        <v>209.59000000000015</v>
      </c>
      <c r="N20" s="155">
        <f t="shared" ref="N20" si="89">VLOOKUP(K20,Tarifa1,3)</f>
        <v>0.21360000000000001</v>
      </c>
      <c r="O20" s="154">
        <f t="shared" ref="O20" si="90">M20*N20</f>
        <v>44.768424000000032</v>
      </c>
      <c r="P20" s="156">
        <f t="shared" ref="P20" si="91">VLOOKUP(K20,Tarifa1,2)</f>
        <v>809.25</v>
      </c>
      <c r="Q20" s="154">
        <f t="shared" ref="Q20" si="92">O20+P20</f>
        <v>854.01842399999998</v>
      </c>
      <c r="R20" s="154">
        <f t="shared" ref="R20" si="93">VLOOKUP(K20,Credito1,2)</f>
        <v>0</v>
      </c>
      <c r="S20" s="154">
        <f t="shared" ref="S20" si="94">ROUND(Q20-R20,2)</f>
        <v>854.02</v>
      </c>
      <c r="T20" s="153">
        <f t="shared" ref="T20" si="95">-IF(S20&gt;0,0,S20)</f>
        <v>0</v>
      </c>
      <c r="U20" s="153">
        <f t="shared" ref="U20" si="96">IF(G20/15&lt;=SMG,0,IF(S20&lt;0,0,S20))</f>
        <v>854.02</v>
      </c>
      <c r="V20" s="153">
        <f t="shared" si="8"/>
        <v>854.02</v>
      </c>
      <c r="W20" s="153">
        <f t="shared" si="15"/>
        <v>6997.48</v>
      </c>
      <c r="X20" s="87"/>
      <c r="Y20" s="4"/>
    </row>
    <row r="21" spans="1:25" ht="78" customHeight="1" x14ac:dyDescent="0.3">
      <c r="A21" s="186"/>
      <c r="B21" s="146" t="s">
        <v>346</v>
      </c>
      <c r="C21" s="146" t="s">
        <v>110</v>
      </c>
      <c r="D21" s="221">
        <v>45367</v>
      </c>
      <c r="E21" s="148" t="s">
        <v>80</v>
      </c>
      <c r="F21" s="149"/>
      <c r="G21" s="151">
        <v>7851.5</v>
      </c>
      <c r="H21" s="152">
        <v>0</v>
      </c>
      <c r="I21" s="153">
        <f t="shared" ref="I21:I22" si="97">SUM(G21:H21)</f>
        <v>7851.5</v>
      </c>
      <c r="J21" s="154">
        <f t="shared" ref="J21:J22" si="98">IF(G21/15&lt;=SMG,0,H21/2)</f>
        <v>0</v>
      </c>
      <c r="K21" s="154">
        <f t="shared" ref="K21:K22" si="99">G21+J21</f>
        <v>7851.5</v>
      </c>
      <c r="L21" s="154">
        <f t="shared" ref="L21:L22" si="100">VLOOKUP(K21,Tarifa1,1)</f>
        <v>7641.91</v>
      </c>
      <c r="M21" s="154">
        <f t="shared" ref="M21:M22" si="101">K21-L21</f>
        <v>209.59000000000015</v>
      </c>
      <c r="N21" s="155">
        <f t="shared" ref="N21:N22" si="102">VLOOKUP(K21,Tarifa1,3)</f>
        <v>0.21360000000000001</v>
      </c>
      <c r="O21" s="154">
        <f t="shared" ref="O21:O22" si="103">M21*N21</f>
        <v>44.768424000000032</v>
      </c>
      <c r="P21" s="156">
        <f t="shared" ref="P21:P22" si="104">VLOOKUP(K21,Tarifa1,2)</f>
        <v>809.25</v>
      </c>
      <c r="Q21" s="154">
        <f t="shared" ref="Q21:Q22" si="105">O21+P21</f>
        <v>854.01842399999998</v>
      </c>
      <c r="R21" s="154">
        <f t="shared" ref="R21:R22" si="106">VLOOKUP(K21,Credito1,2)</f>
        <v>0</v>
      </c>
      <c r="S21" s="154">
        <f t="shared" ref="S21:S22" si="107">ROUND(Q21-R21,2)</f>
        <v>854.02</v>
      </c>
      <c r="T21" s="153">
        <f t="shared" ref="T21:T22" si="108">-IF(S21&gt;0,0,S21)</f>
        <v>0</v>
      </c>
      <c r="U21" s="153">
        <f t="shared" ref="U21:U22" si="109">IF(G21/15&lt;=SMG,0,IF(S21&lt;0,0,S21))</f>
        <v>854.02</v>
      </c>
      <c r="V21" s="153">
        <f t="shared" si="8"/>
        <v>854.02</v>
      </c>
      <c r="W21" s="153">
        <f t="shared" si="15"/>
        <v>6997.48</v>
      </c>
      <c r="X21" s="87"/>
      <c r="Y21" s="4"/>
    </row>
    <row r="22" spans="1:25" ht="78" customHeight="1" x14ac:dyDescent="0.3">
      <c r="A22" s="186"/>
      <c r="B22" s="146" t="s">
        <v>347</v>
      </c>
      <c r="C22" s="146" t="s">
        <v>110</v>
      </c>
      <c r="D22" s="221">
        <v>45367</v>
      </c>
      <c r="E22" s="148" t="s">
        <v>80</v>
      </c>
      <c r="F22" s="149"/>
      <c r="G22" s="151">
        <v>7851.5</v>
      </c>
      <c r="H22" s="152">
        <v>0</v>
      </c>
      <c r="I22" s="153">
        <f t="shared" si="97"/>
        <v>7851.5</v>
      </c>
      <c r="J22" s="154">
        <f t="shared" si="98"/>
        <v>0</v>
      </c>
      <c r="K22" s="154">
        <f t="shared" si="99"/>
        <v>7851.5</v>
      </c>
      <c r="L22" s="154">
        <f t="shared" si="100"/>
        <v>7641.91</v>
      </c>
      <c r="M22" s="154">
        <f t="shared" si="101"/>
        <v>209.59000000000015</v>
      </c>
      <c r="N22" s="155">
        <f t="shared" si="102"/>
        <v>0.21360000000000001</v>
      </c>
      <c r="O22" s="154">
        <f t="shared" si="103"/>
        <v>44.768424000000032</v>
      </c>
      <c r="P22" s="156">
        <f t="shared" si="104"/>
        <v>809.25</v>
      </c>
      <c r="Q22" s="154">
        <f t="shared" si="105"/>
        <v>854.01842399999998</v>
      </c>
      <c r="R22" s="154">
        <f t="shared" si="106"/>
        <v>0</v>
      </c>
      <c r="S22" s="154">
        <f t="shared" si="107"/>
        <v>854.02</v>
      </c>
      <c r="T22" s="153">
        <f t="shared" si="108"/>
        <v>0</v>
      </c>
      <c r="U22" s="153">
        <f t="shared" si="109"/>
        <v>854.02</v>
      </c>
      <c r="V22" s="153">
        <f t="shared" si="8"/>
        <v>854.02</v>
      </c>
      <c r="W22" s="153">
        <f t="shared" si="15"/>
        <v>6997.48</v>
      </c>
      <c r="X22" s="87"/>
      <c r="Y22" s="4"/>
    </row>
    <row r="23" spans="1:25" ht="78" customHeight="1" x14ac:dyDescent="0.3">
      <c r="A23" s="186"/>
      <c r="B23" s="146" t="s">
        <v>348</v>
      </c>
      <c r="C23" s="146" t="s">
        <v>110</v>
      </c>
      <c r="D23" s="221">
        <v>45367</v>
      </c>
      <c r="E23" s="148" t="s">
        <v>80</v>
      </c>
      <c r="F23" s="149"/>
      <c r="G23" s="151">
        <v>7851.5</v>
      </c>
      <c r="H23" s="152">
        <v>0</v>
      </c>
      <c r="I23" s="153">
        <f t="shared" ref="I23:I26" si="110">SUM(G23:H23)</f>
        <v>7851.5</v>
      </c>
      <c r="J23" s="154">
        <f t="shared" ref="J23:J26" si="111">IF(G23/15&lt;=SMG,0,H23/2)</f>
        <v>0</v>
      </c>
      <c r="K23" s="154">
        <f t="shared" ref="K23:K26" si="112">G23+J23</f>
        <v>7851.5</v>
      </c>
      <c r="L23" s="154">
        <f t="shared" ref="L23:L26" si="113">VLOOKUP(K23,Tarifa1,1)</f>
        <v>7641.91</v>
      </c>
      <c r="M23" s="154">
        <f t="shared" ref="M23:M26" si="114">K23-L23</f>
        <v>209.59000000000015</v>
      </c>
      <c r="N23" s="155">
        <f t="shared" ref="N23:N26" si="115">VLOOKUP(K23,Tarifa1,3)</f>
        <v>0.21360000000000001</v>
      </c>
      <c r="O23" s="154">
        <f t="shared" ref="O23:O26" si="116">M23*N23</f>
        <v>44.768424000000032</v>
      </c>
      <c r="P23" s="156">
        <f t="shared" ref="P23:P26" si="117">VLOOKUP(K23,Tarifa1,2)</f>
        <v>809.25</v>
      </c>
      <c r="Q23" s="154">
        <f t="shared" ref="Q23:Q26" si="118">O23+P23</f>
        <v>854.01842399999998</v>
      </c>
      <c r="R23" s="154">
        <f t="shared" ref="R23:R26" si="119">VLOOKUP(K23,Credito1,2)</f>
        <v>0</v>
      </c>
      <c r="S23" s="154">
        <f t="shared" ref="S23:S26" si="120">ROUND(Q23-R23,2)</f>
        <v>854.02</v>
      </c>
      <c r="T23" s="153">
        <f t="shared" ref="T23:T26" si="121">-IF(S23&gt;0,0,S23)</f>
        <v>0</v>
      </c>
      <c r="U23" s="153">
        <f t="shared" ref="U23:U26" si="122">IF(G23/15&lt;=SMG,0,IF(S23&lt;0,0,S23))</f>
        <v>854.02</v>
      </c>
      <c r="V23" s="153">
        <f t="shared" si="8"/>
        <v>854.02</v>
      </c>
      <c r="W23" s="153">
        <f t="shared" si="15"/>
        <v>6997.48</v>
      </c>
      <c r="X23" s="87"/>
      <c r="Y23" s="4"/>
    </row>
    <row r="24" spans="1:25" ht="78" customHeight="1" x14ac:dyDescent="0.3">
      <c r="A24" s="186"/>
      <c r="B24" s="146" t="s">
        <v>324</v>
      </c>
      <c r="C24" s="146" t="s">
        <v>110</v>
      </c>
      <c r="D24" s="221">
        <v>45200</v>
      </c>
      <c r="E24" s="148" t="s">
        <v>80</v>
      </c>
      <c r="F24" s="149"/>
      <c r="G24" s="151">
        <v>7851.5</v>
      </c>
      <c r="H24" s="152">
        <v>0</v>
      </c>
      <c r="I24" s="153">
        <f t="shared" ref="I24" si="123">SUM(G24:H24)</f>
        <v>7851.5</v>
      </c>
      <c r="J24" s="154">
        <f t="shared" ref="J24" si="124">IF(G24/15&lt;=SMG,0,H24/2)</f>
        <v>0</v>
      </c>
      <c r="K24" s="154">
        <f t="shared" ref="K24" si="125">G24+J24</f>
        <v>7851.5</v>
      </c>
      <c r="L24" s="154">
        <f t="shared" ref="L24" si="126">VLOOKUP(K24,Tarifa1,1)</f>
        <v>7641.91</v>
      </c>
      <c r="M24" s="154">
        <f t="shared" ref="M24" si="127">K24-L24</f>
        <v>209.59000000000015</v>
      </c>
      <c r="N24" s="155">
        <f t="shared" ref="N24" si="128">VLOOKUP(K24,Tarifa1,3)</f>
        <v>0.21360000000000001</v>
      </c>
      <c r="O24" s="154">
        <f t="shared" ref="O24" si="129">M24*N24</f>
        <v>44.768424000000032</v>
      </c>
      <c r="P24" s="156">
        <f t="shared" ref="P24" si="130">VLOOKUP(K24,Tarifa1,2)</f>
        <v>809.25</v>
      </c>
      <c r="Q24" s="154">
        <f t="shared" ref="Q24" si="131">O24+P24</f>
        <v>854.01842399999998</v>
      </c>
      <c r="R24" s="154">
        <f t="shared" ref="R24" si="132">VLOOKUP(K24,Credito1,2)</f>
        <v>0</v>
      </c>
      <c r="S24" s="154">
        <f t="shared" ref="S24" si="133">ROUND(Q24-R24,2)</f>
        <v>854.02</v>
      </c>
      <c r="T24" s="153">
        <f t="shared" ref="T24" si="134">-IF(S24&gt;0,0,S24)</f>
        <v>0</v>
      </c>
      <c r="U24" s="153">
        <f t="shared" ref="U24" si="135">IF(G24/15&lt;=SMG,0,IF(S24&lt;0,0,S24))</f>
        <v>854.02</v>
      </c>
      <c r="V24" s="153">
        <f t="shared" si="8"/>
        <v>854.02</v>
      </c>
      <c r="W24" s="153">
        <f t="shared" si="15"/>
        <v>6997.48</v>
      </c>
      <c r="X24" s="87"/>
      <c r="Y24" s="4"/>
    </row>
    <row r="25" spans="1:25" ht="78" customHeight="1" x14ac:dyDescent="0.3">
      <c r="A25" s="186"/>
      <c r="B25" s="146" t="s">
        <v>337</v>
      </c>
      <c r="C25" s="146" t="s">
        <v>110</v>
      </c>
      <c r="D25" s="221">
        <v>45292</v>
      </c>
      <c r="E25" s="148" t="s">
        <v>80</v>
      </c>
      <c r="F25" s="149"/>
      <c r="G25" s="151">
        <v>7851.5</v>
      </c>
      <c r="H25" s="152">
        <v>0</v>
      </c>
      <c r="I25" s="153">
        <f t="shared" ref="I25" si="136">SUM(G25:H25)</f>
        <v>7851.5</v>
      </c>
      <c r="J25" s="154">
        <f t="shared" ref="J25" si="137">IF(G25/15&lt;=SMG,0,H25/2)</f>
        <v>0</v>
      </c>
      <c r="K25" s="154">
        <f t="shared" ref="K25" si="138">G25+J25</f>
        <v>7851.5</v>
      </c>
      <c r="L25" s="154">
        <f t="shared" ref="L25" si="139">VLOOKUP(K25,Tarifa1,1)</f>
        <v>7641.91</v>
      </c>
      <c r="M25" s="154">
        <f t="shared" ref="M25" si="140">K25-L25</f>
        <v>209.59000000000015</v>
      </c>
      <c r="N25" s="155">
        <f t="shared" ref="N25" si="141">VLOOKUP(K25,Tarifa1,3)</f>
        <v>0.21360000000000001</v>
      </c>
      <c r="O25" s="154">
        <f t="shared" ref="O25" si="142">M25*N25</f>
        <v>44.768424000000032</v>
      </c>
      <c r="P25" s="156">
        <f t="shared" ref="P25" si="143">VLOOKUP(K25,Tarifa1,2)</f>
        <v>809.25</v>
      </c>
      <c r="Q25" s="154">
        <f t="shared" ref="Q25" si="144">O25+P25</f>
        <v>854.01842399999998</v>
      </c>
      <c r="R25" s="154">
        <f t="shared" ref="R25" si="145">VLOOKUP(K25,Credito1,2)</f>
        <v>0</v>
      </c>
      <c r="S25" s="154">
        <f t="shared" ref="S25" si="146">ROUND(Q25-R25,2)</f>
        <v>854.02</v>
      </c>
      <c r="T25" s="153">
        <f t="shared" ref="T25" si="147">-IF(S25&gt;0,0,S25)</f>
        <v>0</v>
      </c>
      <c r="U25" s="153">
        <f t="shared" ref="U25" si="148">IF(G25/15&lt;=SMG,0,IF(S25&lt;0,0,S25))</f>
        <v>854.02</v>
      </c>
      <c r="V25" s="153">
        <f t="shared" si="8"/>
        <v>854.02</v>
      </c>
      <c r="W25" s="153">
        <f t="shared" si="15"/>
        <v>6997.48</v>
      </c>
      <c r="X25" s="87"/>
      <c r="Y25" s="4"/>
    </row>
    <row r="26" spans="1:25" ht="78" customHeight="1" x14ac:dyDescent="0.3">
      <c r="A26" s="186"/>
      <c r="B26" s="146" t="s">
        <v>341</v>
      </c>
      <c r="C26" s="146" t="s">
        <v>110</v>
      </c>
      <c r="D26" s="221">
        <v>45352</v>
      </c>
      <c r="E26" s="148" t="s">
        <v>80</v>
      </c>
      <c r="F26" s="149"/>
      <c r="G26" s="151">
        <v>7851.5</v>
      </c>
      <c r="H26" s="152">
        <v>0</v>
      </c>
      <c r="I26" s="153">
        <f t="shared" si="110"/>
        <v>7851.5</v>
      </c>
      <c r="J26" s="154">
        <f t="shared" si="111"/>
        <v>0</v>
      </c>
      <c r="K26" s="154">
        <f t="shared" si="112"/>
        <v>7851.5</v>
      </c>
      <c r="L26" s="154">
        <f t="shared" si="113"/>
        <v>7641.91</v>
      </c>
      <c r="M26" s="154">
        <f t="shared" si="114"/>
        <v>209.59000000000015</v>
      </c>
      <c r="N26" s="155">
        <f t="shared" si="115"/>
        <v>0.21360000000000001</v>
      </c>
      <c r="O26" s="154">
        <f t="shared" si="116"/>
        <v>44.768424000000032</v>
      </c>
      <c r="P26" s="156">
        <f t="shared" si="117"/>
        <v>809.25</v>
      </c>
      <c r="Q26" s="154">
        <f t="shared" si="118"/>
        <v>854.01842399999998</v>
      </c>
      <c r="R26" s="154">
        <f t="shared" si="119"/>
        <v>0</v>
      </c>
      <c r="S26" s="154">
        <f t="shared" si="120"/>
        <v>854.02</v>
      </c>
      <c r="T26" s="153">
        <f t="shared" si="121"/>
        <v>0</v>
      </c>
      <c r="U26" s="153">
        <f t="shared" si="122"/>
        <v>854.02</v>
      </c>
      <c r="V26" s="153">
        <f t="shared" si="8"/>
        <v>854.02</v>
      </c>
      <c r="W26" s="153">
        <f t="shared" si="15"/>
        <v>6997.48</v>
      </c>
      <c r="X26" s="87"/>
      <c r="Y26" s="4"/>
    </row>
    <row r="27" spans="1:25" ht="29.25" customHeight="1" thickBot="1" x14ac:dyDescent="0.35">
      <c r="A27" s="280" t="s">
        <v>44</v>
      </c>
      <c r="B27" s="281"/>
      <c r="C27" s="281"/>
      <c r="D27" s="281"/>
      <c r="E27" s="281"/>
      <c r="F27" s="281"/>
      <c r="G27" s="158">
        <f>SUM(G9:G26)</f>
        <v>146507.5</v>
      </c>
      <c r="H27" s="158">
        <f>SUM(H9:H26)</f>
        <v>0</v>
      </c>
      <c r="I27" s="158">
        <f>SUM(I9:I26)</f>
        <v>146507.5</v>
      </c>
      <c r="J27" s="159">
        <f t="shared" ref="J27:S27" si="149">SUM(J9:J15)</f>
        <v>0</v>
      </c>
      <c r="K27" s="159">
        <f t="shared" si="149"/>
        <v>60141</v>
      </c>
      <c r="L27" s="159">
        <f t="shared" si="149"/>
        <v>53493.37000000001</v>
      </c>
      <c r="M27" s="159">
        <f t="shared" si="149"/>
        <v>6647.630000000001</v>
      </c>
      <c r="N27" s="159">
        <f t="shared" si="149"/>
        <v>1.4952000000000001</v>
      </c>
      <c r="O27" s="159">
        <f t="shared" si="149"/>
        <v>1419.9337680000006</v>
      </c>
      <c r="P27" s="159">
        <f t="shared" si="149"/>
        <v>5664.75</v>
      </c>
      <c r="Q27" s="159">
        <f t="shared" si="149"/>
        <v>7084.683767999999</v>
      </c>
      <c r="R27" s="159">
        <f t="shared" si="149"/>
        <v>0</v>
      </c>
      <c r="S27" s="159">
        <f t="shared" si="149"/>
        <v>7084.6900000000005</v>
      </c>
      <c r="T27" s="158">
        <f>SUM(T9:T26)</f>
        <v>0</v>
      </c>
      <c r="U27" s="158">
        <f>SUM(U9:U26)</f>
        <v>16478.910000000003</v>
      </c>
      <c r="V27" s="158">
        <f>SUM(V9:V26)</f>
        <v>16478.910000000003</v>
      </c>
      <c r="W27" s="158">
        <f>SUM(W9:W26)</f>
        <v>130028.58999999995</v>
      </c>
      <c r="X27" s="4"/>
      <c r="Y27" s="4"/>
    </row>
    <row r="28" spans="1:25" ht="13.8" thickTop="1" x14ac:dyDescent="0.25"/>
  </sheetData>
  <mergeCells count="7">
    <mergeCell ref="A27:F27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2" zoomScale="73" zoomScaleNormal="73" workbookViewId="0">
      <selection activeCell="X30" sqref="X30"/>
    </sheetView>
  </sheetViews>
  <sheetFormatPr baseColWidth="10" defaultColWidth="11.44140625" defaultRowHeight="13.2" x14ac:dyDescent="0.25"/>
  <cols>
    <col min="1" max="1" width="5.5546875" style="65" hidden="1" customWidth="1"/>
    <col min="2" max="2" width="9.44140625" style="65" customWidth="1"/>
    <col min="3" max="3" width="7.6640625" style="65" customWidth="1"/>
    <col min="4" max="4" width="27.5546875" style="65" customWidth="1"/>
    <col min="5" max="5" width="17.5546875" style="65" customWidth="1"/>
    <col min="6" max="6" width="19.5546875" style="65" customWidth="1"/>
    <col min="7" max="7" width="6.5546875" style="65" hidden="1" customWidth="1"/>
    <col min="8" max="8" width="10" style="65" hidden="1" customWidth="1"/>
    <col min="9" max="9" width="16.33203125" style="65" customWidth="1"/>
    <col min="10" max="10" width="14" style="65" customWidth="1"/>
    <col min="11" max="11" width="15.6640625" style="65" customWidth="1"/>
    <col min="12" max="12" width="13.109375" style="65" hidden="1" customWidth="1"/>
    <col min="13" max="15" width="14.33203125" style="65" hidden="1" customWidth="1"/>
    <col min="16" max="17" width="13.109375" style="65" hidden="1" customWidth="1"/>
    <col min="18" max="18" width="10.5546875" style="65" hidden="1" customWidth="1"/>
    <col min="19" max="20" width="13.109375" style="65" hidden="1" customWidth="1"/>
    <col min="21" max="21" width="11.5546875" style="65" hidden="1" customWidth="1"/>
    <col min="22" max="22" width="9.6640625" style="65" customWidth="1"/>
    <col min="23" max="23" width="14.44140625" style="65" customWidth="1"/>
    <col min="24" max="24" width="15" style="65" customWidth="1"/>
    <col min="25" max="25" width="15.88671875" style="65" customWidth="1"/>
    <col min="26" max="26" width="50" style="65" customWidth="1"/>
    <col min="27" max="16384" width="11.44140625" style="65"/>
  </cols>
  <sheetData>
    <row r="1" spans="1:26" ht="17.399999999999999" x14ac:dyDescent="0.3">
      <c r="A1" s="293" t="s">
        <v>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6.2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5">
      <c r="A5" s="66"/>
      <c r="B5" s="66"/>
      <c r="C5" s="66"/>
      <c r="D5" s="66"/>
      <c r="E5" s="66"/>
      <c r="F5" s="66"/>
      <c r="G5" s="67" t="s">
        <v>22</v>
      </c>
      <c r="H5" s="67" t="s">
        <v>5</v>
      </c>
      <c r="I5" s="322" t="s">
        <v>1</v>
      </c>
      <c r="J5" s="323"/>
      <c r="K5" s="324"/>
      <c r="L5" s="68" t="s">
        <v>25</v>
      </c>
      <c r="M5" s="69"/>
      <c r="N5" s="325" t="s">
        <v>8</v>
      </c>
      <c r="O5" s="326"/>
      <c r="P5" s="326"/>
      <c r="Q5" s="326"/>
      <c r="R5" s="326"/>
      <c r="S5" s="327"/>
      <c r="T5" s="68" t="s">
        <v>29</v>
      </c>
      <c r="U5" s="68" t="s">
        <v>9</v>
      </c>
      <c r="V5" s="67" t="s">
        <v>52</v>
      </c>
      <c r="W5" s="328" t="s">
        <v>2</v>
      </c>
      <c r="X5" s="329"/>
      <c r="Y5" s="67" t="s">
        <v>0</v>
      </c>
      <c r="Z5" s="70"/>
    </row>
    <row r="6" spans="1:26" ht="21" x14ac:dyDescent="0.25">
      <c r="A6" s="71" t="s">
        <v>20</v>
      </c>
      <c r="B6" s="72" t="s">
        <v>99</v>
      </c>
      <c r="C6" s="72" t="s">
        <v>111</v>
      </c>
      <c r="D6" s="71" t="s">
        <v>21</v>
      </c>
      <c r="E6" s="71"/>
      <c r="F6" s="71"/>
      <c r="G6" s="73" t="s">
        <v>23</v>
      </c>
      <c r="H6" s="71" t="s">
        <v>24</v>
      </c>
      <c r="I6" s="67" t="s">
        <v>5</v>
      </c>
      <c r="J6" s="67" t="s">
        <v>58</v>
      </c>
      <c r="K6" s="67" t="s">
        <v>27</v>
      </c>
      <c r="L6" s="74" t="s">
        <v>26</v>
      </c>
      <c r="M6" s="69" t="s">
        <v>31</v>
      </c>
      <c r="N6" s="69" t="s">
        <v>11</v>
      </c>
      <c r="O6" s="69" t="s">
        <v>33</v>
      </c>
      <c r="P6" s="69" t="s">
        <v>35</v>
      </c>
      <c r="Q6" s="69" t="s">
        <v>36</v>
      </c>
      <c r="R6" s="69" t="s">
        <v>13</v>
      </c>
      <c r="S6" s="69" t="s">
        <v>9</v>
      </c>
      <c r="T6" s="74" t="s">
        <v>39</v>
      </c>
      <c r="U6" s="74" t="s">
        <v>40</v>
      </c>
      <c r="V6" s="71" t="s">
        <v>30</v>
      </c>
      <c r="W6" s="23" t="s">
        <v>263</v>
      </c>
      <c r="X6" s="67" t="s">
        <v>6</v>
      </c>
      <c r="Y6" s="71" t="s">
        <v>3</v>
      </c>
      <c r="Z6" s="75" t="s">
        <v>57</v>
      </c>
    </row>
    <row r="7" spans="1:26" x14ac:dyDescent="0.25">
      <c r="A7" s="76"/>
      <c r="B7" s="71"/>
      <c r="C7" s="71"/>
      <c r="D7" s="71"/>
      <c r="E7" s="71"/>
      <c r="F7" s="71"/>
      <c r="G7" s="71"/>
      <c r="H7" s="71"/>
      <c r="I7" s="71" t="s">
        <v>46</v>
      </c>
      <c r="J7" s="71" t="s">
        <v>59</v>
      </c>
      <c r="K7" s="71" t="s">
        <v>28</v>
      </c>
      <c r="L7" s="74" t="s">
        <v>42</v>
      </c>
      <c r="M7" s="68" t="s">
        <v>32</v>
      </c>
      <c r="N7" s="68" t="s">
        <v>12</v>
      </c>
      <c r="O7" s="68" t="s">
        <v>34</v>
      </c>
      <c r="P7" s="68" t="s">
        <v>34</v>
      </c>
      <c r="Q7" s="68" t="s">
        <v>37</v>
      </c>
      <c r="R7" s="68" t="s">
        <v>14</v>
      </c>
      <c r="S7" s="68" t="s">
        <v>38</v>
      </c>
      <c r="T7" s="74" t="s">
        <v>18</v>
      </c>
      <c r="U7" s="77" t="s">
        <v>124</v>
      </c>
      <c r="V7" s="71" t="s">
        <v>51</v>
      </c>
      <c r="W7" s="71"/>
      <c r="X7" s="71" t="s">
        <v>43</v>
      </c>
      <c r="Y7" s="71" t="s">
        <v>4</v>
      </c>
      <c r="Z7" s="78"/>
    </row>
    <row r="8" spans="1:26" ht="37.5" customHeight="1" x14ac:dyDescent="0.3">
      <c r="A8" s="79"/>
      <c r="B8" s="80"/>
      <c r="C8" s="80"/>
      <c r="D8" s="133" t="s">
        <v>130</v>
      </c>
      <c r="E8" s="98" t="s">
        <v>275</v>
      </c>
      <c r="F8" s="81" t="s">
        <v>61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2"/>
    </row>
    <row r="9" spans="1:26" ht="96" customHeight="1" x14ac:dyDescent="0.3">
      <c r="A9" s="206"/>
      <c r="B9" s="146" t="s">
        <v>256</v>
      </c>
      <c r="C9" s="146" t="s">
        <v>110</v>
      </c>
      <c r="D9" s="187" t="s">
        <v>254</v>
      </c>
      <c r="E9" s="220">
        <v>44730</v>
      </c>
      <c r="F9" s="148" t="s">
        <v>255</v>
      </c>
      <c r="G9" s="149"/>
      <c r="H9" s="150"/>
      <c r="I9" s="151">
        <v>9833.5</v>
      </c>
      <c r="J9" s="152">
        <v>0</v>
      </c>
      <c r="K9" s="153">
        <f t="shared" ref="K9" si="0">SUM(I9:J9)</f>
        <v>9833.5</v>
      </c>
      <c r="L9" s="154">
        <f t="shared" ref="L9" si="1">IF(I9/15&lt;=SMG,0,J9/2)</f>
        <v>0</v>
      </c>
      <c r="M9" s="154">
        <f t="shared" ref="M9" si="2">I9+L9</f>
        <v>9833.5</v>
      </c>
      <c r="N9" s="154">
        <f t="shared" ref="N9:N13" si="3">VLOOKUP(M9,Tarifa1,1)</f>
        <v>7641.91</v>
      </c>
      <c r="O9" s="154">
        <f>M9-N9</f>
        <v>2191.59</v>
      </c>
      <c r="P9" s="155">
        <f t="shared" ref="P9:P13" si="4">VLOOKUP(M9,Tarifa1,3)</f>
        <v>0.21360000000000001</v>
      </c>
      <c r="Q9" s="154">
        <f>O9*P9</f>
        <v>468.12362400000006</v>
      </c>
      <c r="R9" s="156">
        <f t="shared" ref="R9:R13" si="5">VLOOKUP(M9,Tarifa1,2)</f>
        <v>809.25</v>
      </c>
      <c r="S9" s="154">
        <f>Q9+R9</f>
        <v>1277.3736240000001</v>
      </c>
      <c r="T9" s="154">
        <f t="shared" ref="T9:T13" si="6">VLOOKUP(M9,Credito1,2)</f>
        <v>0</v>
      </c>
      <c r="U9" s="154">
        <f>ROUND(S9-T9,2)</f>
        <v>1277.3699999999999</v>
      </c>
      <c r="V9" s="153">
        <f>-IF(U9&gt;0,0,U9)</f>
        <v>0</v>
      </c>
      <c r="W9" s="153">
        <f t="shared" ref="W9:W13" si="7">IF(I9/15&lt;=SMG,0,IF(U9&lt;0,0,U9))</f>
        <v>1277.3699999999999</v>
      </c>
      <c r="X9" s="153">
        <f t="shared" ref="X9:X16" si="8">SUM(W9:W9)</f>
        <v>1277.3699999999999</v>
      </c>
      <c r="Y9" s="153">
        <f t="shared" ref="Y9:Y16" si="9">K9+V9-X9</f>
        <v>8556.130000000001</v>
      </c>
      <c r="Z9" s="203"/>
    </row>
    <row r="10" spans="1:26" s="91" customFormat="1" ht="96" customHeight="1" x14ac:dyDescent="0.3">
      <c r="A10" s="107"/>
      <c r="B10" s="146" t="s">
        <v>184</v>
      </c>
      <c r="C10" s="146" t="s">
        <v>110</v>
      </c>
      <c r="D10" s="187" t="s">
        <v>183</v>
      </c>
      <c r="E10" s="220">
        <v>43998</v>
      </c>
      <c r="F10" s="147" t="s">
        <v>128</v>
      </c>
      <c r="G10" s="149"/>
      <c r="H10" s="150"/>
      <c r="I10" s="151">
        <v>5940.5</v>
      </c>
      <c r="J10" s="152">
        <v>0</v>
      </c>
      <c r="K10" s="153">
        <f t="shared" ref="K10" si="10">SUM(I10:J10)</f>
        <v>5940.5</v>
      </c>
      <c r="L10" s="154">
        <f t="shared" ref="L10" si="11">IF(I10/15&lt;=SMG,0,J10/2)</f>
        <v>0</v>
      </c>
      <c r="M10" s="154">
        <f t="shared" ref="M10:M11" si="12">I10+L10</f>
        <v>5940.5</v>
      </c>
      <c r="N10" s="154">
        <f t="shared" si="3"/>
        <v>5490.76</v>
      </c>
      <c r="O10" s="154">
        <f t="shared" ref="O10:O11" si="13">M10-N10</f>
        <v>449.73999999999978</v>
      </c>
      <c r="P10" s="155">
        <f t="shared" si="4"/>
        <v>0.16</v>
      </c>
      <c r="Q10" s="154">
        <f t="shared" ref="Q10:Q11" si="14">O10*P10</f>
        <v>71.958399999999969</v>
      </c>
      <c r="R10" s="156">
        <f t="shared" si="5"/>
        <v>441</v>
      </c>
      <c r="S10" s="154">
        <f t="shared" ref="S10:S11" si="15">Q10+R10</f>
        <v>512.95839999999998</v>
      </c>
      <c r="T10" s="154">
        <f t="shared" si="6"/>
        <v>0</v>
      </c>
      <c r="U10" s="154">
        <f t="shared" ref="U10:U11" si="16">ROUND(S10-T10,2)</f>
        <v>512.96</v>
      </c>
      <c r="V10" s="153">
        <f t="shared" ref="V10:V11" si="17">-IF(U10&gt;0,0,U10)</f>
        <v>0</v>
      </c>
      <c r="W10" s="153">
        <f t="shared" si="7"/>
        <v>512.96</v>
      </c>
      <c r="X10" s="153">
        <f t="shared" si="8"/>
        <v>512.96</v>
      </c>
      <c r="Y10" s="153">
        <f t="shared" si="9"/>
        <v>5427.54</v>
      </c>
      <c r="Z10" s="90"/>
    </row>
    <row r="11" spans="1:26" s="91" customFormat="1" ht="96" customHeight="1" x14ac:dyDescent="0.3">
      <c r="A11" s="107"/>
      <c r="B11" s="146" t="s">
        <v>269</v>
      </c>
      <c r="C11" s="146" t="s">
        <v>110</v>
      </c>
      <c r="D11" s="187" t="s">
        <v>270</v>
      </c>
      <c r="E11" s="220">
        <v>44942</v>
      </c>
      <c r="F11" s="147" t="s">
        <v>128</v>
      </c>
      <c r="G11" s="149"/>
      <c r="H11" s="150"/>
      <c r="I11" s="151">
        <v>5367</v>
      </c>
      <c r="J11" s="152">
        <v>0</v>
      </c>
      <c r="K11" s="153">
        <f t="shared" ref="K11:K13" si="18">SUM(I11:J11)</f>
        <v>5367</v>
      </c>
      <c r="L11" s="154">
        <f t="shared" ref="L11:L13" si="19">IF(I11/15&lt;=SMG,0,J11/2)</f>
        <v>0</v>
      </c>
      <c r="M11" s="154">
        <f t="shared" si="12"/>
        <v>5367</v>
      </c>
      <c r="N11" s="154">
        <f t="shared" si="3"/>
        <v>3124.36</v>
      </c>
      <c r="O11" s="154">
        <f t="shared" si="13"/>
        <v>2242.64</v>
      </c>
      <c r="P11" s="155">
        <f t="shared" si="4"/>
        <v>0.10879999999999999</v>
      </c>
      <c r="Q11" s="154">
        <f t="shared" si="14"/>
        <v>243.99923199999998</v>
      </c>
      <c r="R11" s="156">
        <f t="shared" si="5"/>
        <v>183.45</v>
      </c>
      <c r="S11" s="154">
        <f t="shared" si="15"/>
        <v>427.44923199999994</v>
      </c>
      <c r="T11" s="154">
        <f t="shared" si="6"/>
        <v>0</v>
      </c>
      <c r="U11" s="154">
        <f t="shared" si="16"/>
        <v>427.45</v>
      </c>
      <c r="V11" s="153">
        <f t="shared" si="17"/>
        <v>0</v>
      </c>
      <c r="W11" s="153">
        <f t="shared" si="7"/>
        <v>427.45</v>
      </c>
      <c r="X11" s="153">
        <f t="shared" si="8"/>
        <v>427.45</v>
      </c>
      <c r="Y11" s="153">
        <f t="shared" si="9"/>
        <v>4939.55</v>
      </c>
      <c r="Z11" s="90"/>
    </row>
    <row r="12" spans="1:26" s="91" customFormat="1" ht="96" customHeight="1" x14ac:dyDescent="0.3">
      <c r="A12" s="107"/>
      <c r="B12" s="146" t="s">
        <v>271</v>
      </c>
      <c r="C12" s="146" t="s">
        <v>110</v>
      </c>
      <c r="D12" s="187" t="s">
        <v>272</v>
      </c>
      <c r="E12" s="220">
        <v>44942</v>
      </c>
      <c r="F12" s="147" t="s">
        <v>128</v>
      </c>
      <c r="G12" s="149"/>
      <c r="H12" s="150"/>
      <c r="I12" s="151">
        <v>5367</v>
      </c>
      <c r="J12" s="152">
        <v>0</v>
      </c>
      <c r="K12" s="153">
        <f t="shared" si="18"/>
        <v>5367</v>
      </c>
      <c r="L12" s="154">
        <f t="shared" si="19"/>
        <v>0</v>
      </c>
      <c r="M12" s="154">
        <f t="shared" ref="M12" si="20">I12+L12</f>
        <v>5367</v>
      </c>
      <c r="N12" s="154">
        <f t="shared" si="3"/>
        <v>3124.36</v>
      </c>
      <c r="O12" s="154">
        <f t="shared" ref="O12" si="21">M12-N12</f>
        <v>2242.64</v>
      </c>
      <c r="P12" s="155">
        <f t="shared" si="4"/>
        <v>0.10879999999999999</v>
      </c>
      <c r="Q12" s="154">
        <f t="shared" ref="Q12" si="22">O12*P12</f>
        <v>243.99923199999998</v>
      </c>
      <c r="R12" s="156">
        <f t="shared" si="5"/>
        <v>183.45</v>
      </c>
      <c r="S12" s="154">
        <f t="shared" ref="S12" si="23">Q12+R12</f>
        <v>427.44923199999994</v>
      </c>
      <c r="T12" s="154">
        <f t="shared" si="6"/>
        <v>0</v>
      </c>
      <c r="U12" s="154">
        <f t="shared" ref="U12" si="24">ROUND(S12-T12,2)</f>
        <v>427.45</v>
      </c>
      <c r="V12" s="153">
        <f t="shared" ref="V12" si="25">-IF(U12&gt;0,0,U12)</f>
        <v>0</v>
      </c>
      <c r="W12" s="153">
        <f t="shared" si="7"/>
        <v>427.45</v>
      </c>
      <c r="X12" s="153">
        <f t="shared" si="8"/>
        <v>427.45</v>
      </c>
      <c r="Y12" s="153">
        <f t="shared" si="9"/>
        <v>4939.55</v>
      </c>
      <c r="Z12" s="90"/>
    </row>
    <row r="13" spans="1:26" s="91" customFormat="1" ht="96" customHeight="1" x14ac:dyDescent="0.3">
      <c r="A13" s="107"/>
      <c r="B13" s="146" t="s">
        <v>273</v>
      </c>
      <c r="C13" s="146" t="s">
        <v>110</v>
      </c>
      <c r="D13" s="187" t="s">
        <v>274</v>
      </c>
      <c r="E13" s="220">
        <v>44942</v>
      </c>
      <c r="F13" s="147" t="s">
        <v>128</v>
      </c>
      <c r="G13" s="149"/>
      <c r="H13" s="150"/>
      <c r="I13" s="151">
        <v>5367</v>
      </c>
      <c r="J13" s="152">
        <v>0</v>
      </c>
      <c r="K13" s="153">
        <f t="shared" si="18"/>
        <v>5367</v>
      </c>
      <c r="L13" s="154">
        <f t="shared" si="19"/>
        <v>0</v>
      </c>
      <c r="M13" s="154">
        <f t="shared" ref="M13" si="26">I13+L13</f>
        <v>5367</v>
      </c>
      <c r="N13" s="154">
        <f t="shared" si="3"/>
        <v>3124.36</v>
      </c>
      <c r="O13" s="154">
        <f t="shared" ref="O13" si="27">M13-N13</f>
        <v>2242.64</v>
      </c>
      <c r="P13" s="155">
        <f t="shared" si="4"/>
        <v>0.10879999999999999</v>
      </c>
      <c r="Q13" s="154">
        <f t="shared" ref="Q13" si="28">O13*P13</f>
        <v>243.99923199999998</v>
      </c>
      <c r="R13" s="156">
        <f t="shared" si="5"/>
        <v>183.45</v>
      </c>
      <c r="S13" s="154">
        <f t="shared" ref="S13" si="29">Q13+R13</f>
        <v>427.44923199999994</v>
      </c>
      <c r="T13" s="154">
        <f t="shared" si="6"/>
        <v>0</v>
      </c>
      <c r="U13" s="154">
        <f t="shared" ref="U13" si="30">ROUND(S13-T13,2)</f>
        <v>427.45</v>
      </c>
      <c r="V13" s="153">
        <f t="shared" ref="V13" si="31">-IF(U13&gt;0,0,U13)</f>
        <v>0</v>
      </c>
      <c r="W13" s="153">
        <f t="shared" si="7"/>
        <v>427.45</v>
      </c>
      <c r="X13" s="153">
        <f t="shared" si="8"/>
        <v>427.45</v>
      </c>
      <c r="Y13" s="153">
        <f t="shared" si="9"/>
        <v>4939.55</v>
      </c>
      <c r="Z13" s="90"/>
    </row>
    <row r="14" spans="1:26" s="91" customFormat="1" ht="96" customHeight="1" x14ac:dyDescent="0.3">
      <c r="A14" s="107"/>
      <c r="B14" s="146" t="s">
        <v>338</v>
      </c>
      <c r="C14" s="146" t="s">
        <v>110</v>
      </c>
      <c r="D14" s="187" t="s">
        <v>339</v>
      </c>
      <c r="E14" s="220">
        <v>45293</v>
      </c>
      <c r="F14" s="147" t="s">
        <v>128</v>
      </c>
      <c r="G14" s="149"/>
      <c r="H14" s="150"/>
      <c r="I14" s="151">
        <v>5009.2</v>
      </c>
      <c r="J14" s="152">
        <v>0</v>
      </c>
      <c r="K14" s="153">
        <f t="shared" ref="K14" si="32">SUM(I14:J14)</f>
        <v>5009.2</v>
      </c>
      <c r="L14" s="154">
        <f t="shared" ref="L14" si="33">IF(I14/15&lt;=SMG,0,J14/2)</f>
        <v>0</v>
      </c>
      <c r="M14" s="154">
        <f t="shared" ref="M14" si="34">I14+L14</f>
        <v>5009.2</v>
      </c>
      <c r="N14" s="154">
        <f t="shared" ref="N14" si="35">VLOOKUP(M14,Tarifa1,1)</f>
        <v>3124.36</v>
      </c>
      <c r="O14" s="154">
        <f t="shared" ref="O14" si="36">M14-N14</f>
        <v>1884.8399999999997</v>
      </c>
      <c r="P14" s="155">
        <f t="shared" ref="P14" si="37">VLOOKUP(M14,Tarifa1,3)</f>
        <v>0.10879999999999999</v>
      </c>
      <c r="Q14" s="154">
        <f t="shared" ref="Q14" si="38">O14*P14</f>
        <v>205.07059199999995</v>
      </c>
      <c r="R14" s="156">
        <f t="shared" ref="R14" si="39">VLOOKUP(M14,Tarifa1,2)</f>
        <v>183.45</v>
      </c>
      <c r="S14" s="154">
        <f t="shared" ref="S14" si="40">Q14+R14</f>
        <v>388.52059199999997</v>
      </c>
      <c r="T14" s="154">
        <f t="shared" ref="T14" si="41">VLOOKUP(M14,Credito1,2)</f>
        <v>0</v>
      </c>
      <c r="U14" s="154">
        <f t="shared" ref="U14" si="42">ROUND(S14-T14,2)</f>
        <v>388.52</v>
      </c>
      <c r="V14" s="153">
        <f t="shared" ref="V14" si="43">-IF(U14&gt;0,0,U14)</f>
        <v>0</v>
      </c>
      <c r="W14" s="153">
        <f t="shared" ref="W14" si="44">IF(I14/15&lt;=SMG,0,IF(U14&lt;0,0,U14))</f>
        <v>388.52</v>
      </c>
      <c r="X14" s="153">
        <f t="shared" si="8"/>
        <v>388.52</v>
      </c>
      <c r="Y14" s="153">
        <f t="shared" si="9"/>
        <v>4620.68</v>
      </c>
      <c r="Z14" s="90"/>
    </row>
    <row r="15" spans="1:26" s="91" customFormat="1" ht="96" customHeight="1" x14ac:dyDescent="0.3">
      <c r="A15" s="107"/>
      <c r="B15" s="146" t="s">
        <v>131</v>
      </c>
      <c r="C15" s="146" t="s">
        <v>110</v>
      </c>
      <c r="D15" s="187" t="s">
        <v>127</v>
      </c>
      <c r="E15" s="220">
        <v>43101</v>
      </c>
      <c r="F15" s="148" t="s">
        <v>129</v>
      </c>
      <c r="G15" s="149">
        <v>15</v>
      </c>
      <c r="H15" s="150">
        <f>I15/G15</f>
        <v>356.03333333333336</v>
      </c>
      <c r="I15" s="151">
        <v>5340.5</v>
      </c>
      <c r="J15" s="152">
        <v>0</v>
      </c>
      <c r="K15" s="153">
        <f t="shared" ref="K15" si="45">SUM(I15:J15)</f>
        <v>5340.5</v>
      </c>
      <c r="L15" s="154">
        <f t="shared" ref="L15" si="46">IF(I15/15&lt;=SMG,0,J15/2)</f>
        <v>0</v>
      </c>
      <c r="M15" s="154">
        <f t="shared" ref="M15" si="47">I15+L15</f>
        <v>5340.5</v>
      </c>
      <c r="N15" s="154">
        <f t="shared" ref="N15" si="48">VLOOKUP(M15,Tarifa1,1)</f>
        <v>3124.36</v>
      </c>
      <c r="O15" s="154">
        <f t="shared" ref="O15" si="49">M15-N15</f>
        <v>2216.14</v>
      </c>
      <c r="P15" s="155">
        <f t="shared" ref="P15" si="50">VLOOKUP(M15,Tarifa1,3)</f>
        <v>0.10879999999999999</v>
      </c>
      <c r="Q15" s="154">
        <f t="shared" ref="Q15" si="51">O15*P15</f>
        <v>241.11603199999996</v>
      </c>
      <c r="R15" s="156">
        <f t="shared" ref="R15" si="52">VLOOKUP(M15,Tarifa1,2)</f>
        <v>183.45</v>
      </c>
      <c r="S15" s="154">
        <f t="shared" ref="S15" si="53">Q15+R15</f>
        <v>424.56603199999995</v>
      </c>
      <c r="T15" s="154">
        <f t="shared" ref="T15" si="54">VLOOKUP(M15,Credito1,2)</f>
        <v>0</v>
      </c>
      <c r="U15" s="154">
        <f t="shared" ref="U15" si="55">ROUND(S15-T15,2)</f>
        <v>424.57</v>
      </c>
      <c r="V15" s="153">
        <f t="shared" ref="V15" si="56">-IF(U15&gt;0,0,U15)</f>
        <v>0</v>
      </c>
      <c r="W15" s="153">
        <f t="shared" ref="W15" si="57">IF(I15/15&lt;=SMG,0,IF(U15&lt;0,0,U15))</f>
        <v>424.57</v>
      </c>
      <c r="X15" s="153">
        <f t="shared" si="8"/>
        <v>424.57</v>
      </c>
      <c r="Y15" s="153">
        <f t="shared" si="9"/>
        <v>4915.93</v>
      </c>
      <c r="Z15" s="90"/>
    </row>
    <row r="16" spans="1:26" s="91" customFormat="1" ht="96" customHeight="1" x14ac:dyDescent="0.3">
      <c r="A16" s="107"/>
      <c r="B16" s="146" t="s">
        <v>317</v>
      </c>
      <c r="C16" s="146" t="s">
        <v>110</v>
      </c>
      <c r="D16" s="187" t="s">
        <v>318</v>
      </c>
      <c r="E16" s="220">
        <v>45154</v>
      </c>
      <c r="F16" s="148" t="s">
        <v>129</v>
      </c>
      <c r="G16" s="149">
        <v>15</v>
      </c>
      <c r="H16" s="150">
        <f>I16/G16</f>
        <v>356.03333333333336</v>
      </c>
      <c r="I16" s="151">
        <v>5340.5</v>
      </c>
      <c r="J16" s="152">
        <v>0</v>
      </c>
      <c r="K16" s="153">
        <f t="shared" ref="K16" si="58">SUM(I16:J16)</f>
        <v>5340.5</v>
      </c>
      <c r="L16" s="154">
        <f t="shared" ref="L16" si="59">IF(I16/15&lt;=SMG,0,J16/2)</f>
        <v>0</v>
      </c>
      <c r="M16" s="154">
        <f t="shared" ref="M16" si="60">I16+L16</f>
        <v>5340.5</v>
      </c>
      <c r="N16" s="154">
        <f t="shared" ref="N16" si="61">VLOOKUP(M16,Tarifa1,1)</f>
        <v>3124.36</v>
      </c>
      <c r="O16" s="154">
        <f t="shared" ref="O16" si="62">M16-N16</f>
        <v>2216.14</v>
      </c>
      <c r="P16" s="155">
        <f t="shared" ref="P16" si="63">VLOOKUP(M16,Tarifa1,3)</f>
        <v>0.10879999999999999</v>
      </c>
      <c r="Q16" s="154">
        <f t="shared" ref="Q16" si="64">O16*P16</f>
        <v>241.11603199999996</v>
      </c>
      <c r="R16" s="156">
        <f t="shared" ref="R16" si="65">VLOOKUP(M16,Tarifa1,2)</f>
        <v>183.45</v>
      </c>
      <c r="S16" s="154">
        <f t="shared" ref="S16" si="66">Q16+R16</f>
        <v>424.56603199999995</v>
      </c>
      <c r="T16" s="154">
        <f t="shared" ref="T16" si="67">VLOOKUP(M16,Credito1,2)</f>
        <v>0</v>
      </c>
      <c r="U16" s="154">
        <f t="shared" ref="U16" si="68">ROUND(S16-T16,2)</f>
        <v>424.57</v>
      </c>
      <c r="V16" s="153">
        <f t="shared" ref="V16" si="69">-IF(U16&gt;0,0,U16)</f>
        <v>0</v>
      </c>
      <c r="W16" s="153">
        <f t="shared" ref="W16" si="70">IF(I16/15&lt;=SMG,0,IF(U16&lt;0,0,U16))</f>
        <v>424.57</v>
      </c>
      <c r="X16" s="153">
        <f t="shared" si="8"/>
        <v>424.57</v>
      </c>
      <c r="Y16" s="153">
        <f t="shared" si="9"/>
        <v>4915.93</v>
      </c>
      <c r="Z16" s="90"/>
    </row>
    <row r="17" spans="1:25" ht="40.5" customHeight="1" thickBot="1" x14ac:dyDescent="0.35">
      <c r="A17" s="280" t="s">
        <v>44</v>
      </c>
      <c r="B17" s="281"/>
      <c r="C17" s="281"/>
      <c r="D17" s="281"/>
      <c r="E17" s="281"/>
      <c r="F17" s="281"/>
      <c r="G17" s="281"/>
      <c r="H17" s="282"/>
      <c r="I17" s="158">
        <f>SUM(I9:I16)</f>
        <v>47565.2</v>
      </c>
      <c r="J17" s="158">
        <f>SUM(J9:J16)</f>
        <v>0</v>
      </c>
      <c r="K17" s="158">
        <f t="shared" ref="K17:V17" si="71">SUM(K10:K16)</f>
        <v>37731.699999999997</v>
      </c>
      <c r="L17" s="159">
        <f t="shared" si="71"/>
        <v>0</v>
      </c>
      <c r="M17" s="159">
        <f t="shared" si="71"/>
        <v>37731.699999999997</v>
      </c>
      <c r="N17" s="159">
        <f t="shared" si="71"/>
        <v>24236.920000000002</v>
      </c>
      <c r="O17" s="159">
        <f t="shared" si="71"/>
        <v>13494.779999999999</v>
      </c>
      <c r="P17" s="159">
        <f t="shared" si="71"/>
        <v>0.81279999999999997</v>
      </c>
      <c r="Q17" s="159">
        <f t="shared" si="71"/>
        <v>1491.2587519999997</v>
      </c>
      <c r="R17" s="159">
        <f t="shared" si="71"/>
        <v>1541.7000000000003</v>
      </c>
      <c r="S17" s="159">
        <f t="shared" si="71"/>
        <v>3032.9587519999995</v>
      </c>
      <c r="T17" s="159">
        <f t="shared" si="71"/>
        <v>0</v>
      </c>
      <c r="U17" s="159">
        <f t="shared" si="71"/>
        <v>3032.9700000000003</v>
      </c>
      <c r="V17" s="158">
        <f t="shared" si="71"/>
        <v>0</v>
      </c>
      <c r="W17" s="158">
        <f>SUM(W9:W16)</f>
        <v>4310.3399999999992</v>
      </c>
      <c r="X17" s="158">
        <f>SUM(X9:X16)</f>
        <v>4310.3399999999992</v>
      </c>
      <c r="Y17" s="158">
        <f>SUM(Y9:Y16)</f>
        <v>43254.86</v>
      </c>
    </row>
    <row r="18" spans="1:25" ht="18" thickTop="1" x14ac:dyDescent="0.3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</row>
    <row r="19" spans="1:25" ht="17.399999999999999" x14ac:dyDescent="0.3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25" ht="17.399999999999999" x14ac:dyDescent="0.3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</row>
    <row r="21" spans="1:25" ht="13.8" x14ac:dyDescent="0.25"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B1" zoomScale="70" zoomScaleNormal="70" workbookViewId="0">
      <pane ySplit="1" topLeftCell="A17" activePane="bottomLeft" state="frozen"/>
      <selection activeCell="B1" sqref="B1"/>
      <selection pane="bottomLeft" activeCell="B27" sqref="A27:XFD33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3" t="s">
        <v>77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</row>
    <row r="2" spans="1:32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</row>
    <row r="3" spans="1:32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32" ht="25.5" customHeight="1" x14ac:dyDescent="0.3">
      <c r="A4" s="4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32" s="51" customFormat="1" ht="15.6" x14ac:dyDescent="0.3">
      <c r="A5" s="47"/>
      <c r="B5" s="117"/>
      <c r="C5" s="117"/>
      <c r="D5" s="117"/>
      <c r="E5" s="117"/>
      <c r="F5" s="261"/>
      <c r="G5" s="118" t="s">
        <v>22</v>
      </c>
      <c r="H5" s="264" t="s">
        <v>5</v>
      </c>
      <c r="I5" s="285" t="s">
        <v>1</v>
      </c>
      <c r="J5" s="286"/>
      <c r="K5" s="287"/>
      <c r="L5" s="119" t="s">
        <v>25</v>
      </c>
      <c r="M5" s="120"/>
      <c r="N5" s="288" t="s">
        <v>8</v>
      </c>
      <c r="O5" s="289"/>
      <c r="P5" s="289"/>
      <c r="Q5" s="289"/>
      <c r="R5" s="289"/>
      <c r="S5" s="290"/>
      <c r="T5" s="119" t="s">
        <v>52</v>
      </c>
      <c r="U5" s="119" t="s">
        <v>9</v>
      </c>
      <c r="V5" s="118" t="s">
        <v>52</v>
      </c>
      <c r="W5" s="291" t="s">
        <v>2</v>
      </c>
      <c r="X5" s="292"/>
      <c r="Y5" s="118" t="s">
        <v>0</v>
      </c>
      <c r="Z5" s="47"/>
    </row>
    <row r="6" spans="1:32" s="51" customFormat="1" ht="29.25" customHeight="1" x14ac:dyDescent="0.3">
      <c r="A6" s="52" t="s">
        <v>20</v>
      </c>
      <c r="B6" s="121" t="s">
        <v>99</v>
      </c>
      <c r="C6" s="121" t="s">
        <v>118</v>
      </c>
      <c r="D6" s="122" t="s">
        <v>21</v>
      </c>
      <c r="E6" s="122"/>
      <c r="F6" s="262"/>
      <c r="G6" s="267" t="s">
        <v>23</v>
      </c>
      <c r="H6" s="265" t="s">
        <v>24</v>
      </c>
      <c r="I6" s="118" t="s">
        <v>5</v>
      </c>
      <c r="J6" s="118" t="s">
        <v>58</v>
      </c>
      <c r="K6" s="118" t="s">
        <v>27</v>
      </c>
      <c r="L6" s="123" t="s">
        <v>26</v>
      </c>
      <c r="M6" s="120" t="s">
        <v>31</v>
      </c>
      <c r="N6" s="120" t="s">
        <v>11</v>
      </c>
      <c r="O6" s="120" t="s">
        <v>33</v>
      </c>
      <c r="P6" s="120" t="s">
        <v>35</v>
      </c>
      <c r="Q6" s="120" t="s">
        <v>36</v>
      </c>
      <c r="R6" s="120" t="s">
        <v>13</v>
      </c>
      <c r="S6" s="120" t="s">
        <v>9</v>
      </c>
      <c r="T6" s="123" t="s">
        <v>39</v>
      </c>
      <c r="U6" s="123" t="s">
        <v>40</v>
      </c>
      <c r="V6" s="122" t="s">
        <v>30</v>
      </c>
      <c r="W6" s="118" t="s">
        <v>263</v>
      </c>
      <c r="X6" s="118" t="s">
        <v>6</v>
      </c>
      <c r="Y6" s="122" t="s">
        <v>3</v>
      </c>
      <c r="Z6" s="52" t="s">
        <v>57</v>
      </c>
    </row>
    <row r="7" spans="1:32" s="51" customFormat="1" ht="15.6" x14ac:dyDescent="0.3">
      <c r="A7" s="60"/>
      <c r="B7" s="124"/>
      <c r="C7" s="124"/>
      <c r="D7" s="125"/>
      <c r="E7" s="125"/>
      <c r="F7" s="263"/>
      <c r="G7" s="125"/>
      <c r="H7" s="266"/>
      <c r="I7" s="125" t="s">
        <v>46</v>
      </c>
      <c r="J7" s="125" t="s">
        <v>59</v>
      </c>
      <c r="K7" s="125" t="s">
        <v>28</v>
      </c>
      <c r="L7" s="126" t="s">
        <v>42</v>
      </c>
      <c r="M7" s="119" t="s">
        <v>32</v>
      </c>
      <c r="N7" s="119" t="s">
        <v>12</v>
      </c>
      <c r="O7" s="119" t="s">
        <v>34</v>
      </c>
      <c r="P7" s="119" t="s">
        <v>34</v>
      </c>
      <c r="Q7" s="119" t="s">
        <v>37</v>
      </c>
      <c r="R7" s="119" t="s">
        <v>14</v>
      </c>
      <c r="S7" s="119" t="s">
        <v>38</v>
      </c>
      <c r="T7" s="123" t="s">
        <v>51</v>
      </c>
      <c r="U7" s="127" t="s">
        <v>195</v>
      </c>
      <c r="V7" s="125" t="s">
        <v>51</v>
      </c>
      <c r="W7" s="125"/>
      <c r="X7" s="125" t="s">
        <v>43</v>
      </c>
      <c r="Y7" s="125" t="s">
        <v>4</v>
      </c>
      <c r="Z7" s="57"/>
    </row>
    <row r="8" spans="1:32" s="51" customFormat="1" ht="43.5" customHeight="1" x14ac:dyDescent="0.3">
      <c r="A8" s="206"/>
      <c r="B8" s="224" t="s">
        <v>99</v>
      </c>
      <c r="C8" s="224" t="s">
        <v>118</v>
      </c>
      <c r="D8" s="225" t="s">
        <v>62</v>
      </c>
      <c r="E8" s="224" t="s">
        <v>276</v>
      </c>
      <c r="F8" s="206" t="s">
        <v>61</v>
      </c>
      <c r="G8" s="206"/>
      <c r="H8" s="206"/>
      <c r="I8" s="226">
        <f>SUM(I9:I11)</f>
        <v>48804.5</v>
      </c>
      <c r="J8" s="226">
        <f>SUM(J9:J11)</f>
        <v>0</v>
      </c>
      <c r="K8" s="226">
        <f>SUM(K9:K11)</f>
        <v>48804.5</v>
      </c>
      <c r="L8" s="206"/>
      <c r="M8" s="206"/>
      <c r="N8" s="206"/>
      <c r="O8" s="206"/>
      <c r="P8" s="206"/>
      <c r="Q8" s="206"/>
      <c r="R8" s="206"/>
      <c r="S8" s="206"/>
      <c r="T8" s="206"/>
      <c r="U8" s="227"/>
      <c r="V8" s="226">
        <f>SUM(V9:V11)</f>
        <v>0</v>
      </c>
      <c r="W8" s="226">
        <f>SUM(W9:W11)</f>
        <v>8588.43</v>
      </c>
      <c r="X8" s="226">
        <f>SUM(X9:X11)</f>
        <v>8588.43</v>
      </c>
      <c r="Y8" s="226" t="e">
        <f>SUM(Y9:Y11)</f>
        <v>#REF!</v>
      </c>
      <c r="Z8" s="63"/>
    </row>
    <row r="9" spans="1:32" s="51" customFormat="1" ht="102.75" customHeight="1" x14ac:dyDescent="0.35">
      <c r="A9" s="146" t="s">
        <v>83</v>
      </c>
      <c r="B9" s="145" t="s">
        <v>188</v>
      </c>
      <c r="C9" s="146" t="s">
        <v>110</v>
      </c>
      <c r="D9" s="210" t="s">
        <v>189</v>
      </c>
      <c r="E9" s="215">
        <v>43374</v>
      </c>
      <c r="F9" s="148" t="s">
        <v>190</v>
      </c>
      <c r="G9" s="149">
        <v>15</v>
      </c>
      <c r="H9" s="150">
        <v>1677.25</v>
      </c>
      <c r="I9" s="151">
        <v>28536</v>
      </c>
      <c r="J9" s="152">
        <v>0</v>
      </c>
      <c r="K9" s="153">
        <f>SUM(I9:J9)</f>
        <v>28536</v>
      </c>
      <c r="L9" s="154">
        <f>IF(I9/15&lt;=SMG,0,J9/2)</f>
        <v>0</v>
      </c>
      <c r="M9" s="154">
        <f>I9+L9</f>
        <v>28536</v>
      </c>
      <c r="N9" s="154">
        <f>VLOOKUP(M9,Tarifa1,1)</f>
        <v>24292.66</v>
      </c>
      <c r="O9" s="154">
        <f>M9-N9</f>
        <v>4243.34</v>
      </c>
      <c r="P9" s="155">
        <f>VLOOKUP(M9,Tarifa1,3)</f>
        <v>0.3</v>
      </c>
      <c r="Q9" s="154">
        <f>O9*P9</f>
        <v>1273.002</v>
      </c>
      <c r="R9" s="156">
        <f>VLOOKUP(M9,Tarifa1,2)</f>
        <v>4557.75</v>
      </c>
      <c r="S9" s="154">
        <f>Q9+R9</f>
        <v>5830.7520000000004</v>
      </c>
      <c r="T9" s="154">
        <f>VLOOKUP(M9,Credito1,2)</f>
        <v>0</v>
      </c>
      <c r="U9" s="154">
        <f>ROUND(S9-T9,2)</f>
        <v>5830.75</v>
      </c>
      <c r="V9" s="153">
        <f>-IF(U9&gt;0,0,U9)</f>
        <v>0</v>
      </c>
      <c r="W9" s="153">
        <f>IF(I9/15&lt;=SMG,0,IF(U9&lt;0,0,U9))</f>
        <v>5830.75</v>
      </c>
      <c r="X9" s="153">
        <f>SUM(W9:W9)</f>
        <v>5830.75</v>
      </c>
      <c r="Y9" s="153">
        <f>K9+V9-X9</f>
        <v>22705.25</v>
      </c>
      <c r="Z9" s="58"/>
    </row>
    <row r="10" spans="1:32" s="51" customFormat="1" ht="102.75" customHeight="1" x14ac:dyDescent="0.35">
      <c r="A10" s="146" t="s">
        <v>84</v>
      </c>
      <c r="B10" s="145" t="s">
        <v>151</v>
      </c>
      <c r="C10" s="146" t="s">
        <v>110</v>
      </c>
      <c r="D10" s="210" t="s">
        <v>142</v>
      </c>
      <c r="E10" s="215">
        <v>43101</v>
      </c>
      <c r="F10" s="148" t="s">
        <v>191</v>
      </c>
      <c r="G10" s="149">
        <v>15</v>
      </c>
      <c r="H10" s="150">
        <v>850.15</v>
      </c>
      <c r="I10" s="151">
        <v>14464.5</v>
      </c>
      <c r="J10" s="152">
        <v>0</v>
      </c>
      <c r="K10" s="153">
        <f>SUM(I10:J10)</f>
        <v>14464.5</v>
      </c>
      <c r="L10" s="154">
        <f>IF(I10/15&lt;=SMG,0,J10/2)</f>
        <v>0</v>
      </c>
      <c r="M10" s="154">
        <f t="shared" ref="M10" si="0">I10+L10</f>
        <v>14464.5</v>
      </c>
      <c r="N10" s="154">
        <f>VLOOKUP(M10,Tarifa1,1)</f>
        <v>7641.91</v>
      </c>
      <c r="O10" s="154">
        <f t="shared" ref="O10" si="1">M10-N10</f>
        <v>6822.59</v>
      </c>
      <c r="P10" s="155">
        <f>VLOOKUP(M10,Tarifa1,3)</f>
        <v>0.21360000000000001</v>
      </c>
      <c r="Q10" s="154">
        <f t="shared" ref="Q10" si="2">O10*P10</f>
        <v>1457.3052240000002</v>
      </c>
      <c r="R10" s="156">
        <f>VLOOKUP(M10,Tarifa1,2)</f>
        <v>809.25</v>
      </c>
      <c r="S10" s="154">
        <f t="shared" ref="S10" si="3">Q10+R10</f>
        <v>2266.5552240000002</v>
      </c>
      <c r="T10" s="154">
        <f>VLOOKUP(M10,Credito1,2)</f>
        <v>0</v>
      </c>
      <c r="U10" s="154">
        <f t="shared" ref="U10" si="4">ROUND(S10-T10,2)</f>
        <v>2266.56</v>
      </c>
      <c r="V10" s="153">
        <v>0</v>
      </c>
      <c r="W10" s="153">
        <f>IF(I10/15&lt;=SMG,0,IF(U10&lt;0,0,U10))</f>
        <v>2266.56</v>
      </c>
      <c r="X10" s="153">
        <f>SUM(W10:W10)</f>
        <v>2266.56</v>
      </c>
      <c r="Y10" s="153">
        <f>K10+V10-X10</f>
        <v>12197.94</v>
      </c>
      <c r="Z10" s="58"/>
      <c r="AF10" s="59"/>
    </row>
    <row r="11" spans="1:32" s="51" customFormat="1" ht="102.75" customHeight="1" x14ac:dyDescent="0.35">
      <c r="A11" s="146"/>
      <c r="B11" s="146" t="s">
        <v>105</v>
      </c>
      <c r="C11" s="145" t="s">
        <v>110</v>
      </c>
      <c r="D11" s="210" t="s">
        <v>65</v>
      </c>
      <c r="E11" s="215">
        <v>40026</v>
      </c>
      <c r="F11" s="147" t="s">
        <v>63</v>
      </c>
      <c r="G11" s="149">
        <v>15</v>
      </c>
      <c r="H11" s="150">
        <v>341.11</v>
      </c>
      <c r="I11" s="151">
        <v>5804</v>
      </c>
      <c r="J11" s="152">
        <v>0</v>
      </c>
      <c r="K11" s="153">
        <f>SUM(I11:J11)</f>
        <v>5804</v>
      </c>
      <c r="L11" s="154">
        <f>IF(I11/15&lt;=SMG,0,J11/2)</f>
        <v>0</v>
      </c>
      <c r="M11" s="154">
        <f t="shared" ref="M11" si="5">I11+L11</f>
        <v>5804</v>
      </c>
      <c r="N11" s="154">
        <f>VLOOKUP(M11,Tarifa1,1)</f>
        <v>5490.76</v>
      </c>
      <c r="O11" s="154">
        <f t="shared" ref="O11" si="6">M11-N11</f>
        <v>313.23999999999978</v>
      </c>
      <c r="P11" s="155">
        <f>VLOOKUP(M11,Tarifa1,3)</f>
        <v>0.16</v>
      </c>
      <c r="Q11" s="154">
        <f t="shared" ref="Q11" si="7">O11*P11</f>
        <v>50.118399999999966</v>
      </c>
      <c r="R11" s="156">
        <f>VLOOKUP(M11,Tarifa1,2)</f>
        <v>441</v>
      </c>
      <c r="S11" s="154">
        <f t="shared" ref="S11" si="8">Q11+R11</f>
        <v>491.11839999999995</v>
      </c>
      <c r="T11" s="154">
        <f>VLOOKUP(M11,Credito1,2)</f>
        <v>0</v>
      </c>
      <c r="U11" s="154">
        <f t="shared" ref="U11" si="9">ROUND(S11-T11,2)</f>
        <v>491.12</v>
      </c>
      <c r="V11" s="153">
        <v>0</v>
      </c>
      <c r="W11" s="153">
        <f>IF(I11/15&lt;=SMG,0,IF(U11&lt;0,0,U11))</f>
        <v>491.12</v>
      </c>
      <c r="X11" s="153">
        <f>SUM(W11:W11)</f>
        <v>491.12</v>
      </c>
      <c r="Y11" s="153" t="e">
        <f>K11+V11-X11-#REF!</f>
        <v>#REF!</v>
      </c>
      <c r="Z11" s="58"/>
      <c r="AF11" s="59"/>
    </row>
    <row r="12" spans="1:32" s="51" customFormat="1" ht="44.25" customHeight="1" x14ac:dyDescent="0.3">
      <c r="A12" s="146"/>
      <c r="B12" s="224" t="s">
        <v>99</v>
      </c>
      <c r="C12" s="224" t="s">
        <v>118</v>
      </c>
      <c r="D12" s="239" t="s">
        <v>114</v>
      </c>
      <c r="E12" s="224" t="s">
        <v>276</v>
      </c>
      <c r="F12" s="206" t="s">
        <v>61</v>
      </c>
      <c r="G12" s="206"/>
      <c r="H12" s="206"/>
      <c r="I12" s="226">
        <f>SUM(I13)</f>
        <v>6498</v>
      </c>
      <c r="J12" s="226">
        <f>SUM(J13)</f>
        <v>0</v>
      </c>
      <c r="K12" s="226">
        <f>SUM(K13)</f>
        <v>6498</v>
      </c>
      <c r="L12" s="206"/>
      <c r="M12" s="206"/>
      <c r="N12" s="206"/>
      <c r="O12" s="206"/>
      <c r="P12" s="206"/>
      <c r="Q12" s="206"/>
      <c r="R12" s="228"/>
      <c r="S12" s="206"/>
      <c r="T12" s="206"/>
      <c r="U12" s="227"/>
      <c r="V12" s="226">
        <f>SUM(V13)</f>
        <v>0</v>
      </c>
      <c r="W12" s="226">
        <f>SUM(W13)</f>
        <v>604.29</v>
      </c>
      <c r="X12" s="226">
        <f>SUM(X13)</f>
        <v>604.29</v>
      </c>
      <c r="Y12" s="226">
        <f>SUM(Y13)</f>
        <v>5893.71</v>
      </c>
      <c r="Z12" s="63"/>
      <c r="AF12" s="59"/>
    </row>
    <row r="13" spans="1:32" s="51" customFormat="1" ht="102.75" customHeight="1" x14ac:dyDescent="0.35">
      <c r="A13" s="146" t="s">
        <v>85</v>
      </c>
      <c r="B13" s="146" t="s">
        <v>253</v>
      </c>
      <c r="C13" s="145" t="s">
        <v>110</v>
      </c>
      <c r="D13" s="210" t="s">
        <v>248</v>
      </c>
      <c r="E13" s="215">
        <v>44743</v>
      </c>
      <c r="F13" s="148" t="s">
        <v>96</v>
      </c>
      <c r="G13" s="149">
        <v>15</v>
      </c>
      <c r="H13" s="150">
        <v>381.95</v>
      </c>
      <c r="I13" s="151">
        <v>6498</v>
      </c>
      <c r="J13" s="152">
        <v>0</v>
      </c>
      <c r="K13" s="153">
        <f>I13</f>
        <v>6498</v>
      </c>
      <c r="L13" s="154">
        <f>IF(I13/15&lt;=SMG,0,J13/2)</f>
        <v>0</v>
      </c>
      <c r="M13" s="154">
        <f t="shared" ref="M13" si="10">I13+L13</f>
        <v>6498</v>
      </c>
      <c r="N13" s="154">
        <f>VLOOKUP(M13,Tarifa1,1)</f>
        <v>6382.81</v>
      </c>
      <c r="O13" s="154">
        <f t="shared" ref="O13" si="11">M13-N13</f>
        <v>115.1899999999996</v>
      </c>
      <c r="P13" s="155">
        <f>VLOOKUP(M13,Tarifa1,3)</f>
        <v>0.1792</v>
      </c>
      <c r="Q13" s="154">
        <f t="shared" ref="Q13" si="12">O13*P13</f>
        <v>20.642047999999928</v>
      </c>
      <c r="R13" s="156">
        <f>VLOOKUP(M13,Tarifa1,2)</f>
        <v>583.65</v>
      </c>
      <c r="S13" s="154">
        <f t="shared" ref="S13" si="13">Q13+R13</f>
        <v>604.29204799999991</v>
      </c>
      <c r="T13" s="154">
        <f>VLOOKUP(M13,Credito1,2)</f>
        <v>0</v>
      </c>
      <c r="U13" s="154">
        <f t="shared" ref="U13" si="14">ROUND(S13-T13,2)</f>
        <v>604.29</v>
      </c>
      <c r="V13" s="153">
        <f>-IF(U13&gt;0,0,U13)</f>
        <v>0</v>
      </c>
      <c r="W13" s="153">
        <f>IF(I13/15&lt;=SMG,0,IF(U13&lt;0,0,U13))</f>
        <v>604.29</v>
      </c>
      <c r="X13" s="153">
        <f>SUM(W13:W13)</f>
        <v>604.29</v>
      </c>
      <c r="Y13" s="153">
        <f>K13+V13-X13</f>
        <v>5893.71</v>
      </c>
      <c r="Z13" s="58"/>
      <c r="AF13" s="59"/>
    </row>
    <row r="14" spans="1:32" s="51" customFormat="1" ht="44.25" customHeight="1" x14ac:dyDescent="0.3">
      <c r="A14" s="146"/>
      <c r="B14" s="224" t="s">
        <v>99</v>
      </c>
      <c r="C14" s="224" t="s">
        <v>118</v>
      </c>
      <c r="D14" s="225" t="s">
        <v>115</v>
      </c>
      <c r="E14" s="224" t="s">
        <v>276</v>
      </c>
      <c r="F14" s="206" t="s">
        <v>61</v>
      </c>
      <c r="G14" s="206"/>
      <c r="H14" s="206"/>
      <c r="I14" s="226">
        <v>4896.5</v>
      </c>
      <c r="J14" s="226">
        <f>SUM(J15)</f>
        <v>0</v>
      </c>
      <c r="K14" s="226">
        <f>SUM(K15)</f>
        <v>5771.25</v>
      </c>
      <c r="L14" s="206"/>
      <c r="M14" s="206"/>
      <c r="N14" s="206"/>
      <c r="O14" s="206"/>
      <c r="P14" s="206"/>
      <c r="Q14" s="206"/>
      <c r="R14" s="228"/>
      <c r="S14" s="206"/>
      <c r="T14" s="206"/>
      <c r="U14" s="227"/>
      <c r="V14" s="226">
        <f>SUM(V15)</f>
        <v>0</v>
      </c>
      <c r="W14" s="226">
        <f>SUM(W15)</f>
        <v>485.88</v>
      </c>
      <c r="X14" s="226">
        <f>SUM(X15)</f>
        <v>485.88</v>
      </c>
      <c r="Y14" s="226">
        <f>SUM(Y15)</f>
        <v>5285.37</v>
      </c>
      <c r="Z14" s="63"/>
      <c r="AF14" s="59"/>
    </row>
    <row r="15" spans="1:32" s="51" customFormat="1" ht="102.75" customHeight="1" x14ac:dyDescent="0.35">
      <c r="A15" s="146" t="s">
        <v>87</v>
      </c>
      <c r="B15" s="146" t="s">
        <v>198</v>
      </c>
      <c r="C15" s="146" t="s">
        <v>340</v>
      </c>
      <c r="D15" s="210" t="s">
        <v>213</v>
      </c>
      <c r="E15" s="215">
        <v>44470</v>
      </c>
      <c r="F15" s="148" t="s">
        <v>251</v>
      </c>
      <c r="G15" s="149">
        <v>15</v>
      </c>
      <c r="H15" s="150">
        <v>305.35000000000002</v>
      </c>
      <c r="I15" s="151">
        <v>5771.25</v>
      </c>
      <c r="J15" s="152">
        <v>0</v>
      </c>
      <c r="K15" s="153">
        <f>SUM(I15:J15)</f>
        <v>5771.25</v>
      </c>
      <c r="L15" s="154">
        <f>IF(I15/15&lt;=SMG,0,J15/2)</f>
        <v>0</v>
      </c>
      <c r="M15" s="154">
        <f t="shared" ref="M15" si="15">I15+L15</f>
        <v>5771.25</v>
      </c>
      <c r="N15" s="154">
        <f>VLOOKUP(M15,Tarifa1,1)</f>
        <v>5490.76</v>
      </c>
      <c r="O15" s="154">
        <f t="shared" ref="O15" si="16">M15-N15</f>
        <v>280.48999999999978</v>
      </c>
      <c r="P15" s="155">
        <f>VLOOKUP(M15,Tarifa1,3)</f>
        <v>0.16</v>
      </c>
      <c r="Q15" s="154">
        <f t="shared" ref="Q15" si="17">O15*P15</f>
        <v>44.878399999999964</v>
      </c>
      <c r="R15" s="156">
        <f>VLOOKUP(M15,Tarifa1,2)</f>
        <v>441</v>
      </c>
      <c r="S15" s="154">
        <f t="shared" ref="S15" si="18">Q15+R15</f>
        <v>485.87839999999994</v>
      </c>
      <c r="T15" s="154">
        <f>VLOOKUP(M15,Credito1,2)</f>
        <v>0</v>
      </c>
      <c r="U15" s="154">
        <f t="shared" ref="U15" si="19">ROUND(S15-T15,2)</f>
        <v>485.88</v>
      </c>
      <c r="V15" s="153">
        <f t="shared" ref="V15" si="20">-IF(U15&gt;0,0,U15)</f>
        <v>0</v>
      </c>
      <c r="W15" s="153">
        <f>IF(I15/15&lt;=SMG,0,IF(U15&lt;0,0,U15))</f>
        <v>485.88</v>
      </c>
      <c r="X15" s="153">
        <f>SUM(W15:W15)</f>
        <v>485.88</v>
      </c>
      <c r="Y15" s="153">
        <f>K15+V15-X15</f>
        <v>5285.37</v>
      </c>
      <c r="Z15" s="58"/>
      <c r="AF15" s="64"/>
    </row>
    <row r="16" spans="1:32" s="51" customFormat="1" ht="43.5" customHeight="1" x14ac:dyDescent="0.3">
      <c r="A16" s="146"/>
      <c r="B16" s="224" t="s">
        <v>99</v>
      </c>
      <c r="C16" s="224" t="s">
        <v>118</v>
      </c>
      <c r="D16" s="225" t="s">
        <v>116</v>
      </c>
      <c r="E16" s="224" t="s">
        <v>276</v>
      </c>
      <c r="F16" s="206" t="s">
        <v>61</v>
      </c>
      <c r="G16" s="206"/>
      <c r="H16" s="206"/>
      <c r="I16" s="226">
        <f>SUM(I17:I18)</f>
        <v>14978</v>
      </c>
      <c r="J16" s="226">
        <f>SUM(J17:J18)</f>
        <v>0</v>
      </c>
      <c r="K16" s="226">
        <f>SUM(K17:K18)</f>
        <v>14978</v>
      </c>
      <c r="L16" s="206"/>
      <c r="M16" s="206"/>
      <c r="N16" s="206"/>
      <c r="O16" s="206"/>
      <c r="P16" s="206"/>
      <c r="Q16" s="206"/>
      <c r="R16" s="228"/>
      <c r="S16" s="206"/>
      <c r="T16" s="206"/>
      <c r="U16" s="227"/>
      <c r="V16" s="226">
        <f>SUM(V17:V18)</f>
        <v>0</v>
      </c>
      <c r="W16" s="226">
        <f>SUM(W17:W18)</f>
        <v>1799.98</v>
      </c>
      <c r="X16" s="226">
        <f>SUM(X17:X18)</f>
        <v>1799.98</v>
      </c>
      <c r="Y16" s="226">
        <f>SUM(Y17:Y18)</f>
        <v>13178.02</v>
      </c>
      <c r="Z16" s="63"/>
      <c r="AF16" s="64"/>
    </row>
    <row r="17" spans="1:32" s="51" customFormat="1" ht="102.75" customHeight="1" x14ac:dyDescent="0.35">
      <c r="A17" s="146" t="s">
        <v>88</v>
      </c>
      <c r="B17" s="145" t="s">
        <v>147</v>
      </c>
      <c r="C17" s="146" t="s">
        <v>110</v>
      </c>
      <c r="D17" s="210" t="s">
        <v>133</v>
      </c>
      <c r="E17" s="215">
        <v>43374</v>
      </c>
      <c r="F17" s="148" t="s">
        <v>82</v>
      </c>
      <c r="G17" s="149">
        <v>15</v>
      </c>
      <c r="H17" s="150">
        <v>625.85200000000009</v>
      </c>
      <c r="I17" s="151">
        <v>10972.5</v>
      </c>
      <c r="J17" s="152">
        <v>0</v>
      </c>
      <c r="K17" s="153">
        <f>I17</f>
        <v>10972.5</v>
      </c>
      <c r="L17" s="154">
        <f>IF(I17/15&lt;=SMG,0,J17/2)</f>
        <v>0</v>
      </c>
      <c r="M17" s="154">
        <f t="shared" ref="M17:M18" si="21">I17+L17</f>
        <v>10972.5</v>
      </c>
      <c r="N17" s="154">
        <f>VLOOKUP(M17,Tarifa1,1)</f>
        <v>7641.91</v>
      </c>
      <c r="O17" s="154">
        <f t="shared" ref="O17:O18" si="22">M17-N17</f>
        <v>3330.59</v>
      </c>
      <c r="P17" s="155">
        <f>VLOOKUP(M17,Tarifa1,3)</f>
        <v>0.21360000000000001</v>
      </c>
      <c r="Q17" s="154">
        <f t="shared" ref="Q17:Q18" si="23">O17*P17</f>
        <v>711.41402400000004</v>
      </c>
      <c r="R17" s="156">
        <f>VLOOKUP(M17,Tarifa1,2)</f>
        <v>809.25</v>
      </c>
      <c r="S17" s="154">
        <f t="shared" ref="S17:S18" si="24">Q17+R17</f>
        <v>1520.6640240000002</v>
      </c>
      <c r="T17" s="154">
        <f>VLOOKUP(M17,Credito1,2)</f>
        <v>0</v>
      </c>
      <c r="U17" s="154">
        <f t="shared" ref="U17:U18" si="25">ROUND(S17-T17,2)</f>
        <v>1520.66</v>
      </c>
      <c r="V17" s="153">
        <f t="shared" ref="V17:V18" si="26">-IF(U17&gt;0,0,U17)</f>
        <v>0</v>
      </c>
      <c r="W17" s="153">
        <f>IF(I17/15&lt;=SMG,0,IF(U17&lt;0,0,U17))</f>
        <v>1520.66</v>
      </c>
      <c r="X17" s="153">
        <f>SUM(W17:W17)</f>
        <v>1520.66</v>
      </c>
      <c r="Y17" s="153">
        <f>K17+V17-X17</f>
        <v>9451.84</v>
      </c>
      <c r="Z17" s="58"/>
      <c r="AF17" s="64"/>
    </row>
    <row r="18" spans="1:32" s="51" customFormat="1" ht="102.75" customHeight="1" x14ac:dyDescent="0.35">
      <c r="A18" s="260"/>
      <c r="B18" s="250" t="s">
        <v>278</v>
      </c>
      <c r="C18" s="160" t="s">
        <v>110</v>
      </c>
      <c r="D18" s="255" t="s">
        <v>279</v>
      </c>
      <c r="E18" s="251">
        <v>44991</v>
      </c>
      <c r="F18" s="252" t="s">
        <v>63</v>
      </c>
      <c r="G18" s="253">
        <v>10</v>
      </c>
      <c r="H18" s="254"/>
      <c r="I18" s="151">
        <v>4005.5</v>
      </c>
      <c r="J18" s="152">
        <v>0</v>
      </c>
      <c r="K18" s="153">
        <f>SUM(I18:J18)</f>
        <v>4005.5</v>
      </c>
      <c r="L18" s="154">
        <f>IF(I18/15&lt;=SMG,0,J18/2)</f>
        <v>0</v>
      </c>
      <c r="M18" s="154">
        <f t="shared" si="21"/>
        <v>4005.5</v>
      </c>
      <c r="N18" s="154">
        <f>VLOOKUP(M18,Tarifa1,1)</f>
        <v>3124.36</v>
      </c>
      <c r="O18" s="154">
        <f t="shared" si="22"/>
        <v>881.13999999999987</v>
      </c>
      <c r="P18" s="155">
        <f>VLOOKUP(M18,Tarifa1,3)</f>
        <v>0.10879999999999999</v>
      </c>
      <c r="Q18" s="154">
        <f t="shared" si="23"/>
        <v>95.868031999999985</v>
      </c>
      <c r="R18" s="156">
        <f>VLOOKUP(M18,Tarifa1,2)</f>
        <v>183.45</v>
      </c>
      <c r="S18" s="154">
        <f t="shared" si="24"/>
        <v>279.31803199999996</v>
      </c>
      <c r="T18" s="154">
        <f>VLOOKUP(M18,Credito1,2)</f>
        <v>0</v>
      </c>
      <c r="U18" s="154">
        <f t="shared" si="25"/>
        <v>279.32</v>
      </c>
      <c r="V18" s="153">
        <f t="shared" si="26"/>
        <v>0</v>
      </c>
      <c r="W18" s="153">
        <f>IF(I18/15&lt;=SMG,0,IF(U18&lt;0,0,U18))</f>
        <v>279.32</v>
      </c>
      <c r="X18" s="153">
        <f>SUM(W18:W18)</f>
        <v>279.32</v>
      </c>
      <c r="Y18" s="153">
        <f>K18+V18-X18</f>
        <v>3726.18</v>
      </c>
      <c r="Z18" s="56"/>
      <c r="AF18" s="64"/>
    </row>
    <row r="19" spans="1:32" s="51" customFormat="1" ht="21.75" customHeight="1" x14ac:dyDescent="0.3">
      <c r="A19" s="230"/>
      <c r="B19" s="231"/>
      <c r="C19" s="231"/>
      <c r="D19" s="232"/>
      <c r="E19" s="232"/>
      <c r="F19" s="232"/>
      <c r="G19" s="188"/>
      <c r="H19" s="233"/>
      <c r="I19" s="234"/>
      <c r="J19" s="235"/>
      <c r="K19" s="236"/>
      <c r="L19" s="237"/>
      <c r="M19" s="237"/>
      <c r="N19" s="237"/>
      <c r="O19" s="237"/>
      <c r="P19" s="238"/>
      <c r="Q19" s="237"/>
      <c r="R19" s="237"/>
      <c r="S19" s="237"/>
      <c r="T19" s="237"/>
      <c r="U19" s="237"/>
      <c r="V19" s="236"/>
      <c r="W19" s="236"/>
      <c r="X19" s="236"/>
      <c r="Y19" s="236"/>
      <c r="Z19" s="58"/>
    </row>
    <row r="20" spans="1:32" s="51" customFormat="1" ht="41.25" customHeight="1" thickBot="1" x14ac:dyDescent="0.35">
      <c r="A20" s="280" t="s">
        <v>44</v>
      </c>
      <c r="B20" s="281"/>
      <c r="C20" s="281"/>
      <c r="D20" s="281"/>
      <c r="E20" s="281"/>
      <c r="F20" s="281"/>
      <c r="G20" s="281"/>
      <c r="H20" s="282"/>
      <c r="I20" s="158">
        <f>I8+I12+I14+I16</f>
        <v>75177</v>
      </c>
      <c r="J20" s="158">
        <f>J8+J12+J14+J16</f>
        <v>0</v>
      </c>
      <c r="K20" s="158">
        <f>K8+K12+K14+K16</f>
        <v>76051.75</v>
      </c>
      <c r="L20" s="159">
        <f t="shared" ref="L20:U20" si="27">SUM(L9:L18)</f>
        <v>0</v>
      </c>
      <c r="M20" s="159">
        <f t="shared" si="27"/>
        <v>76051.75</v>
      </c>
      <c r="N20" s="159">
        <f t="shared" si="27"/>
        <v>60065.17</v>
      </c>
      <c r="O20" s="159">
        <f t="shared" si="27"/>
        <v>15986.58</v>
      </c>
      <c r="P20" s="159">
        <f t="shared" si="27"/>
        <v>1.3352000000000002</v>
      </c>
      <c r="Q20" s="159">
        <f t="shared" si="27"/>
        <v>3653.2281279999997</v>
      </c>
      <c r="R20" s="159">
        <f t="shared" si="27"/>
        <v>7825.3499999999995</v>
      </c>
      <c r="S20" s="159">
        <f t="shared" si="27"/>
        <v>11478.578127999997</v>
      </c>
      <c r="T20" s="159">
        <f t="shared" si="27"/>
        <v>0</v>
      </c>
      <c r="U20" s="159">
        <f t="shared" si="27"/>
        <v>11478.58</v>
      </c>
      <c r="V20" s="158">
        <f>V8+V12+V14+V16</f>
        <v>0</v>
      </c>
      <c r="W20" s="158">
        <f>W8+W12+W14+W16</f>
        <v>11478.58</v>
      </c>
      <c r="X20" s="158">
        <f>X8+X12+X14+X16</f>
        <v>11478.58</v>
      </c>
      <c r="Y20" s="158" t="e">
        <f>Y8+Y12+Y14+Y16</f>
        <v>#REF!</v>
      </c>
    </row>
    <row r="21" spans="1:32" s="51" customFormat="1" ht="12" customHeight="1" thickTop="1" x14ac:dyDescent="0.3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spans="1:32" s="51" customFormat="1" ht="12" customHeight="1" x14ac:dyDescent="0.2"/>
    <row r="23" spans="1:32" s="51" customFormat="1" ht="12" customHeight="1" x14ac:dyDescent="0.2"/>
    <row r="24" spans="1:32" s="51" customFormat="1" ht="12" customHeight="1" x14ac:dyDescent="0.2"/>
    <row r="25" spans="1:32" s="51" customFormat="1" ht="12" customHeight="1" x14ac:dyDescent="0.2"/>
    <row r="26" spans="1:32" s="51" customFormat="1" ht="12" customHeight="1" x14ac:dyDescent="0.2"/>
    <row r="35" spans="11:11" x14ac:dyDescent="0.25">
      <c r="K35" s="4" t="s">
        <v>225</v>
      </c>
    </row>
  </sheetData>
  <mergeCells count="7">
    <mergeCell ref="A20:H20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2" zoomScale="75" zoomScaleNormal="75" workbookViewId="0">
      <selection activeCell="B23" sqref="A23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7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7" ht="19.8" x14ac:dyDescent="0.3">
      <c r="A3" s="190" t="s">
        <v>328</v>
      </c>
      <c r="B3" s="284" t="s">
        <v>342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187</v>
      </c>
      <c r="I6" s="294" t="s">
        <v>1</v>
      </c>
      <c r="J6" s="295"/>
      <c r="K6" s="296"/>
      <c r="L6" s="24" t="s">
        <v>25</v>
      </c>
      <c r="M6" s="25"/>
      <c r="N6" s="297" t="s">
        <v>8</v>
      </c>
      <c r="O6" s="298"/>
      <c r="P6" s="298"/>
      <c r="Q6" s="298"/>
      <c r="R6" s="298"/>
      <c r="S6" s="299"/>
      <c r="T6" s="24" t="s">
        <v>29</v>
      </c>
      <c r="U6" s="24" t="s">
        <v>9</v>
      </c>
      <c r="V6" s="23" t="s">
        <v>52</v>
      </c>
      <c r="W6" s="300" t="s">
        <v>2</v>
      </c>
      <c r="X6" s="301"/>
      <c r="Y6" s="23" t="s">
        <v>0</v>
      </c>
      <c r="Z6" s="34"/>
    </row>
    <row r="7" spans="1:27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5" t="s">
        <v>263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89" t="s">
        <v>99</v>
      </c>
      <c r="C9" s="189" t="s">
        <v>118</v>
      </c>
      <c r="D9" s="239" t="s">
        <v>233</v>
      </c>
      <c r="E9" s="224" t="s">
        <v>276</v>
      </c>
      <c r="F9" s="206" t="s">
        <v>61</v>
      </c>
      <c r="G9" s="241"/>
      <c r="H9" s="206"/>
      <c r="I9" s="242">
        <f>I10</f>
        <v>10972.5</v>
      </c>
      <c r="J9" s="242">
        <f>J10</f>
        <v>0</v>
      </c>
      <c r="K9" s="242">
        <f>K10</f>
        <v>10972.5</v>
      </c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2">
        <f>V10</f>
        <v>0</v>
      </c>
      <c r="W9" s="242">
        <f>W10</f>
        <v>1520.66</v>
      </c>
      <c r="X9" s="242">
        <f>X10</f>
        <v>1520.66</v>
      </c>
      <c r="Y9" s="242">
        <f>Y10</f>
        <v>9451.84</v>
      </c>
      <c r="Z9" s="132"/>
    </row>
    <row r="10" spans="1:27" ht="133.5" customHeight="1" x14ac:dyDescent="0.35">
      <c r="A10" s="240"/>
      <c r="B10" s="163">
        <v>161</v>
      </c>
      <c r="C10" s="145" t="s">
        <v>110</v>
      </c>
      <c r="D10" s="210" t="s">
        <v>234</v>
      </c>
      <c r="E10" s="215">
        <v>43374</v>
      </c>
      <c r="F10" s="148" t="s">
        <v>235</v>
      </c>
      <c r="G10" s="164">
        <v>15</v>
      </c>
      <c r="H10" s="165">
        <f>I10/G10</f>
        <v>731.5</v>
      </c>
      <c r="I10" s="151">
        <v>10972.5</v>
      </c>
      <c r="J10" s="152">
        <v>0</v>
      </c>
      <c r="K10" s="153">
        <f>I10</f>
        <v>10972.5</v>
      </c>
      <c r="L10" s="154">
        <f>IF(I10/15&lt;=SMG,0,J10/2)</f>
        <v>0</v>
      </c>
      <c r="M10" s="154">
        <f t="shared" ref="M10" si="0">I10+L10</f>
        <v>10972.5</v>
      </c>
      <c r="N10" s="154">
        <f>VLOOKUP(M10,Tarifa1,1)</f>
        <v>7641.91</v>
      </c>
      <c r="O10" s="154">
        <f t="shared" ref="O10" si="1">M10-N10</f>
        <v>3330.59</v>
      </c>
      <c r="P10" s="155">
        <f>VLOOKUP(M10,Tarifa1,3)</f>
        <v>0.21360000000000001</v>
      </c>
      <c r="Q10" s="154">
        <f t="shared" ref="Q10" si="2">O10*P10</f>
        <v>711.41402400000004</v>
      </c>
      <c r="R10" s="156">
        <f>VLOOKUP(M10,Tarifa1,2)</f>
        <v>809.25</v>
      </c>
      <c r="S10" s="154">
        <f t="shared" ref="S10" si="3">Q10+R10</f>
        <v>1520.6640240000002</v>
      </c>
      <c r="T10" s="154">
        <f>VLOOKUP(M10,Credito1,2)</f>
        <v>0</v>
      </c>
      <c r="U10" s="154">
        <f t="shared" ref="U10" si="4">ROUND(S10-T10,2)</f>
        <v>1520.66</v>
      </c>
      <c r="V10" s="153">
        <f t="shared" ref="V10" si="5">-IF(U10&gt;0,0,U10)</f>
        <v>0</v>
      </c>
      <c r="W10" s="153">
        <f>IF(I10/15&lt;=SMG,0,IF(U10&lt;0,0,U10))</f>
        <v>1520.66</v>
      </c>
      <c r="X10" s="153">
        <f>SUM(W10:W10)</f>
        <v>1520.66</v>
      </c>
      <c r="Y10" s="153">
        <f>K10+V10-X10</f>
        <v>9451.84</v>
      </c>
      <c r="Z10" s="108"/>
    </row>
    <row r="11" spans="1:27" ht="52.5" customHeight="1" x14ac:dyDescent="0.3">
      <c r="A11" s="206"/>
      <c r="B11" s="189" t="s">
        <v>99</v>
      </c>
      <c r="C11" s="189" t="s">
        <v>118</v>
      </c>
      <c r="D11" s="239" t="s">
        <v>120</v>
      </c>
      <c r="E11" s="229"/>
      <c r="F11" s="206" t="s">
        <v>61</v>
      </c>
      <c r="G11" s="241"/>
      <c r="H11" s="206"/>
      <c r="I11" s="242">
        <f>I12</f>
        <v>8057.5</v>
      </c>
      <c r="J11" s="242">
        <f>J12</f>
        <v>0</v>
      </c>
      <c r="K11" s="242">
        <f>K12</f>
        <v>8057.5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>
        <f>V12</f>
        <v>0</v>
      </c>
      <c r="W11" s="242">
        <f>W12</f>
        <v>898.02</v>
      </c>
      <c r="X11" s="242">
        <f>X12</f>
        <v>898.02</v>
      </c>
      <c r="Y11" s="242">
        <f>Y12</f>
        <v>7159.48</v>
      </c>
      <c r="Z11" s="243"/>
    </row>
    <row r="12" spans="1:27" ht="132.75" customHeight="1" x14ac:dyDescent="0.35">
      <c r="A12" s="169"/>
      <c r="B12" s="145" t="s">
        <v>230</v>
      </c>
      <c r="C12" s="146" t="s">
        <v>110</v>
      </c>
      <c r="D12" s="210" t="s">
        <v>231</v>
      </c>
      <c r="E12" s="215">
        <v>44487</v>
      </c>
      <c r="F12" s="148" t="s">
        <v>232</v>
      </c>
      <c r="G12" s="149">
        <v>13</v>
      </c>
      <c r="H12" s="150">
        <f t="shared" ref="H12" si="6">I12/G12</f>
        <v>619.80769230769226</v>
      </c>
      <c r="I12" s="151">
        <v>8057.5</v>
      </c>
      <c r="J12" s="152">
        <v>0</v>
      </c>
      <c r="K12" s="153">
        <f t="shared" ref="K12" si="7">SUM(I12:J12)</f>
        <v>8057.5</v>
      </c>
      <c r="L12" s="154">
        <f t="shared" ref="L12" si="8">IF(I12/15&lt;=SMG,0,J12/2)</f>
        <v>0</v>
      </c>
      <c r="M12" s="154">
        <f t="shared" ref="M12" si="9">I12+L12</f>
        <v>8057.5</v>
      </c>
      <c r="N12" s="154">
        <f t="shared" ref="N12" si="10">VLOOKUP(M12,Tarifa1,1)</f>
        <v>7641.91</v>
      </c>
      <c r="O12" s="154">
        <f t="shared" ref="O12" si="11">M12-N12</f>
        <v>415.59000000000015</v>
      </c>
      <c r="P12" s="155">
        <f t="shared" ref="P12" si="12">VLOOKUP(M12,Tarifa1,3)</f>
        <v>0.21360000000000001</v>
      </c>
      <c r="Q12" s="154">
        <f t="shared" ref="Q12" si="13">O12*P12</f>
        <v>88.770024000000035</v>
      </c>
      <c r="R12" s="156">
        <f t="shared" ref="R12" si="14">VLOOKUP(M12,Tarifa1,2)</f>
        <v>809.25</v>
      </c>
      <c r="S12" s="154">
        <f t="shared" ref="S12" si="15">Q12+R12</f>
        <v>898.02002400000003</v>
      </c>
      <c r="T12" s="154">
        <f t="shared" ref="T12" si="16">VLOOKUP(M12,Credito1,2)</f>
        <v>0</v>
      </c>
      <c r="U12" s="154">
        <f t="shared" ref="U12" si="17">ROUND(S12-T12,2)</f>
        <v>898.02</v>
      </c>
      <c r="V12" s="153">
        <f t="shared" ref="V12" si="18">-IF(U12&gt;0,0,U12)</f>
        <v>0</v>
      </c>
      <c r="W12" s="153">
        <f t="shared" ref="W12" si="19">IF(I12/15&lt;=SMG,0,IF(U12&lt;0,0,U12))</f>
        <v>898.02</v>
      </c>
      <c r="X12" s="153">
        <f>SUM(W12:W12)</f>
        <v>898.02</v>
      </c>
      <c r="Y12" s="153">
        <f>K12+V12-X12</f>
        <v>7159.48</v>
      </c>
      <c r="Z12" s="108"/>
    </row>
    <row r="13" spans="1:27" ht="53.25" customHeight="1" x14ac:dyDescent="0.3">
      <c r="A13" s="169"/>
      <c r="B13" s="189" t="s">
        <v>99</v>
      </c>
      <c r="C13" s="189" t="s">
        <v>118</v>
      </c>
      <c r="D13" s="225" t="s">
        <v>76</v>
      </c>
      <c r="E13" s="229"/>
      <c r="F13" s="206" t="s">
        <v>61</v>
      </c>
      <c r="G13" s="206"/>
      <c r="H13" s="206"/>
      <c r="I13" s="242">
        <f>SUM(I14)</f>
        <v>12455.5</v>
      </c>
      <c r="J13" s="242">
        <f>SUM(J14)</f>
        <v>0</v>
      </c>
      <c r="K13" s="242">
        <f>SUM(K14)</f>
        <v>12455.5</v>
      </c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2">
        <f>SUM(V14)</f>
        <v>0</v>
      </c>
      <c r="W13" s="242">
        <f>SUM(W14)</f>
        <v>1837.43</v>
      </c>
      <c r="X13" s="242">
        <f>SUM(X14)</f>
        <v>1837.43</v>
      </c>
      <c r="Y13" s="242">
        <f>SUM(Y14)</f>
        <v>10618.07</v>
      </c>
      <c r="Z13" s="243"/>
    </row>
    <row r="14" spans="1:27" ht="132.75" customHeight="1" x14ac:dyDescent="0.35">
      <c r="A14" s="169"/>
      <c r="B14" s="163">
        <v>290</v>
      </c>
      <c r="C14" s="145" t="s">
        <v>110</v>
      </c>
      <c r="D14" s="210" t="s">
        <v>238</v>
      </c>
      <c r="E14" s="215">
        <v>44593</v>
      </c>
      <c r="F14" s="147" t="s">
        <v>76</v>
      </c>
      <c r="G14" s="164">
        <v>15</v>
      </c>
      <c r="H14" s="165">
        <f>I14/G14</f>
        <v>830.36666666666667</v>
      </c>
      <c r="I14" s="166">
        <v>12455.5</v>
      </c>
      <c r="J14" s="167">
        <v>0</v>
      </c>
      <c r="K14" s="168">
        <f>SUM(I14:J14)</f>
        <v>12455.5</v>
      </c>
      <c r="L14" s="154">
        <f>IF(I14/15&lt;=SMG,0,J14/2)</f>
        <v>0</v>
      </c>
      <c r="M14" s="154">
        <f>I14+L14</f>
        <v>12455.5</v>
      </c>
      <c r="N14" s="154">
        <f>VLOOKUP(M14,Tarifa1,1)</f>
        <v>7641.91</v>
      </c>
      <c r="O14" s="154">
        <f>M14-N14</f>
        <v>4813.59</v>
      </c>
      <c r="P14" s="155">
        <f>VLOOKUP(M14,Tarifa1,3)</f>
        <v>0.21360000000000001</v>
      </c>
      <c r="Q14" s="154">
        <f>O14*P14</f>
        <v>1028.182824</v>
      </c>
      <c r="R14" s="156">
        <f>VLOOKUP(M14,Tarifa1,2)</f>
        <v>809.25</v>
      </c>
      <c r="S14" s="154">
        <f>Q14+R14</f>
        <v>1837.432824</v>
      </c>
      <c r="T14" s="154">
        <f>VLOOKUP(M14,Credito1,2)</f>
        <v>0</v>
      </c>
      <c r="U14" s="154">
        <f>ROUND(S14-T14,2)</f>
        <v>1837.43</v>
      </c>
      <c r="V14" s="153">
        <f>-IF(U14&gt;0,0,U14)</f>
        <v>0</v>
      </c>
      <c r="W14" s="153">
        <f>IF(I14/15&lt;=SMG,0,IF(U14&lt;0,0,U14))</f>
        <v>1837.43</v>
      </c>
      <c r="X14" s="153">
        <f>SUM(W14:W14)</f>
        <v>1837.43</v>
      </c>
      <c r="Y14" s="153">
        <f>K14+V14-X14</f>
        <v>10618.07</v>
      </c>
      <c r="Z14" s="108"/>
    </row>
    <row r="15" spans="1:27" ht="40.5" customHeight="1" thickBot="1" x14ac:dyDescent="0.35">
      <c r="A15" s="280" t="s">
        <v>44</v>
      </c>
      <c r="B15" s="281"/>
      <c r="C15" s="281"/>
      <c r="D15" s="281"/>
      <c r="E15" s="281"/>
      <c r="F15" s="281"/>
      <c r="G15" s="281"/>
      <c r="H15" s="282"/>
      <c r="I15" s="204">
        <f>I9+I11+I13</f>
        <v>31485.5</v>
      </c>
      <c r="J15" s="204">
        <f>J9+J11+J13</f>
        <v>0</v>
      </c>
      <c r="K15" s="204">
        <f>K9+K11+K13</f>
        <v>31485.5</v>
      </c>
      <c r="L15" s="159">
        <f t="shared" ref="L15:U15" si="20">SUM(L12:L12)</f>
        <v>0</v>
      </c>
      <c r="M15" s="159">
        <f t="shared" si="20"/>
        <v>8057.5</v>
      </c>
      <c r="N15" s="159">
        <f t="shared" si="20"/>
        <v>7641.91</v>
      </c>
      <c r="O15" s="159">
        <f t="shared" si="20"/>
        <v>415.59000000000015</v>
      </c>
      <c r="P15" s="159">
        <f t="shared" si="20"/>
        <v>0.21360000000000001</v>
      </c>
      <c r="Q15" s="159">
        <f t="shared" si="20"/>
        <v>88.770024000000035</v>
      </c>
      <c r="R15" s="159">
        <f t="shared" si="20"/>
        <v>809.25</v>
      </c>
      <c r="S15" s="159">
        <f t="shared" si="20"/>
        <v>898.02002400000003</v>
      </c>
      <c r="T15" s="159">
        <f t="shared" si="20"/>
        <v>0</v>
      </c>
      <c r="U15" s="159">
        <f t="shared" si="20"/>
        <v>898.02</v>
      </c>
      <c r="V15" s="204">
        <f>V9+V11+V13</f>
        <v>0</v>
      </c>
      <c r="W15" s="204">
        <f>W9+W11+W13</f>
        <v>4256.1100000000006</v>
      </c>
      <c r="X15" s="204">
        <f>X9+X11+X13</f>
        <v>4256.1100000000006</v>
      </c>
      <c r="Y15" s="204">
        <f>Y9+Y11+Y13</f>
        <v>27229.39</v>
      </c>
      <c r="Z15" s="109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B35" zoomScale="66" zoomScaleNormal="66" workbookViewId="0">
      <selection activeCell="B43" sqref="A43:XFD52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3" t="s">
        <v>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</row>
    <row r="2" spans="1:32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</row>
    <row r="3" spans="1:32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2" t="s">
        <v>111</v>
      </c>
      <c r="D5" s="47"/>
      <c r="E5" s="47"/>
      <c r="F5" s="47"/>
      <c r="G5" s="48" t="s">
        <v>22</v>
      </c>
      <c r="H5" s="48" t="s">
        <v>5</v>
      </c>
      <c r="I5" s="305" t="s">
        <v>1</v>
      </c>
      <c r="J5" s="306"/>
      <c r="K5" s="307"/>
      <c r="L5" s="49" t="s">
        <v>25</v>
      </c>
      <c r="M5" s="50"/>
      <c r="N5" s="308" t="s">
        <v>8</v>
      </c>
      <c r="O5" s="309"/>
      <c r="P5" s="309"/>
      <c r="Q5" s="309"/>
      <c r="R5" s="309"/>
      <c r="S5" s="310"/>
      <c r="T5" s="49" t="s">
        <v>29</v>
      </c>
      <c r="U5" s="49" t="s">
        <v>9</v>
      </c>
      <c r="V5" s="48" t="s">
        <v>52</v>
      </c>
      <c r="W5" s="311" t="s">
        <v>2</v>
      </c>
      <c r="X5" s="312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99</v>
      </c>
      <c r="C6" s="303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263</v>
      </c>
      <c r="X6" s="48" t="s">
        <v>6</v>
      </c>
      <c r="Y6" s="52" t="s">
        <v>3</v>
      </c>
      <c r="Z6" s="52" t="s">
        <v>57</v>
      </c>
    </row>
    <row r="7" spans="1:32" s="51" customFormat="1" ht="12" x14ac:dyDescent="0.25">
      <c r="A7" s="60"/>
      <c r="B7" s="60"/>
      <c r="C7" s="304"/>
      <c r="D7" s="60"/>
      <c r="E7" s="60"/>
      <c r="F7" s="60"/>
      <c r="G7" s="60"/>
      <c r="H7" s="60"/>
      <c r="I7" s="60" t="s">
        <v>46</v>
      </c>
      <c r="J7" s="60" t="s">
        <v>59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119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0"/>
      <c r="C8" s="130"/>
      <c r="D8" s="129" t="s">
        <v>68</v>
      </c>
      <c r="E8" s="128" t="s">
        <v>276</v>
      </c>
      <c r="F8" s="130" t="s">
        <v>61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/>
      <c r="V8" s="130"/>
      <c r="W8" s="130"/>
      <c r="X8" s="130"/>
      <c r="Y8" s="130"/>
      <c r="Z8" s="63"/>
    </row>
    <row r="9" spans="1:32" s="91" customFormat="1" ht="154.5" customHeight="1" x14ac:dyDescent="0.35">
      <c r="A9" s="107" t="s">
        <v>85</v>
      </c>
      <c r="B9" s="145" t="s">
        <v>164</v>
      </c>
      <c r="C9" s="146" t="s">
        <v>110</v>
      </c>
      <c r="D9" s="210" t="s">
        <v>162</v>
      </c>
      <c r="E9" s="215">
        <v>43512</v>
      </c>
      <c r="F9" s="148" t="s">
        <v>277</v>
      </c>
      <c r="G9" s="149">
        <v>15</v>
      </c>
      <c r="H9" s="150">
        <f t="shared" ref="H9:H11" si="0">I9/G9</f>
        <v>779.9666666666667</v>
      </c>
      <c r="I9" s="151">
        <v>11699.5</v>
      </c>
      <c r="J9" s="152">
        <v>0</v>
      </c>
      <c r="K9" s="153">
        <f>SUM(I9:J9)</f>
        <v>11699.5</v>
      </c>
      <c r="L9" s="154">
        <f>IF(I9/15&lt;=SMG,0,J9/2)</f>
        <v>0</v>
      </c>
      <c r="M9" s="154">
        <f t="shared" ref="M9:M10" si="1">I9+L9</f>
        <v>11699.5</v>
      </c>
      <c r="N9" s="154">
        <f t="shared" ref="N9" si="2">VLOOKUP(M9,Tarifa1,1)</f>
        <v>7641.91</v>
      </c>
      <c r="O9" s="154">
        <f t="shared" ref="O9:O10" si="3">M9-N9</f>
        <v>4057.59</v>
      </c>
      <c r="P9" s="155">
        <f t="shared" ref="P9" si="4">VLOOKUP(M9,Tarifa1,3)</f>
        <v>0.21360000000000001</v>
      </c>
      <c r="Q9" s="154">
        <f t="shared" ref="Q9:Q10" si="5">O9*P9</f>
        <v>866.70122400000002</v>
      </c>
      <c r="R9" s="156">
        <f t="shared" ref="R9" si="6">VLOOKUP(M9,Tarifa1,2)</f>
        <v>809.25</v>
      </c>
      <c r="S9" s="154">
        <f t="shared" ref="S9:S10" si="7">Q9+R9</f>
        <v>1675.9512239999999</v>
      </c>
      <c r="T9" s="154">
        <f t="shared" ref="T9" si="8">VLOOKUP(M9,Credito1,2)</f>
        <v>0</v>
      </c>
      <c r="U9" s="154">
        <f t="shared" ref="U9:U10" si="9">ROUND(S9-T9,2)</f>
        <v>1675.95</v>
      </c>
      <c r="V9" s="153">
        <f t="shared" ref="V9:V10" si="10">-IF(U9&gt;0,0,U9)</f>
        <v>0</v>
      </c>
      <c r="W9" s="153">
        <f t="shared" ref="W9" si="11">IF(I9/15&lt;=SMG,0,IF(U9&lt;0,0,U9))</f>
        <v>1675.95</v>
      </c>
      <c r="X9" s="153">
        <f t="shared" ref="X9:X15" si="12">SUM(W9:W9)</f>
        <v>1675.95</v>
      </c>
      <c r="Y9" s="153">
        <f>K9+V9-X9</f>
        <v>10023.549999999999</v>
      </c>
      <c r="Z9" s="108"/>
      <c r="AA9" s="93"/>
      <c r="AF9" s="94"/>
    </row>
    <row r="10" spans="1:32" s="91" customFormat="1" ht="154.5" customHeight="1" x14ac:dyDescent="0.35">
      <c r="A10" s="107"/>
      <c r="B10" s="145" t="s">
        <v>299</v>
      </c>
      <c r="C10" s="146" t="s">
        <v>110</v>
      </c>
      <c r="D10" s="210" t="s">
        <v>306</v>
      </c>
      <c r="E10" s="215">
        <v>45139</v>
      </c>
      <c r="F10" s="148" t="s">
        <v>307</v>
      </c>
      <c r="G10" s="149"/>
      <c r="H10" s="150"/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si="1"/>
        <v>4509</v>
      </c>
      <c r="N10" s="154">
        <f>VLOOKUP(M10,Tarifa1,1)</f>
        <v>3124.36</v>
      </c>
      <c r="O10" s="154">
        <f t="shared" si="3"/>
        <v>1384.6399999999999</v>
      </c>
      <c r="P10" s="155">
        <f>VLOOKUP(M10,Tarifa1,3)</f>
        <v>0.10879999999999999</v>
      </c>
      <c r="Q10" s="154">
        <f t="shared" si="5"/>
        <v>150.64883199999997</v>
      </c>
      <c r="R10" s="156">
        <f>VLOOKUP(M10,Tarifa1,2)</f>
        <v>183.45</v>
      </c>
      <c r="S10" s="154">
        <f t="shared" si="7"/>
        <v>334.09883199999996</v>
      </c>
      <c r="T10" s="154">
        <f>VLOOKUP(M10,Credito1,2)</f>
        <v>0</v>
      </c>
      <c r="U10" s="154">
        <f t="shared" si="9"/>
        <v>334.1</v>
      </c>
      <c r="V10" s="153">
        <f t="shared" si="10"/>
        <v>0</v>
      </c>
      <c r="W10" s="153">
        <f>IF(I10/15&lt;=SMG,0,IF(U10&lt;0,0,U10))</f>
        <v>334.1</v>
      </c>
      <c r="X10" s="153">
        <f t="shared" si="12"/>
        <v>334.1</v>
      </c>
      <c r="Y10" s="153">
        <f>K10+V10-X10</f>
        <v>4174.8999999999996</v>
      </c>
      <c r="Z10" s="108"/>
      <c r="AA10" s="93"/>
      <c r="AF10" s="94"/>
    </row>
    <row r="11" spans="1:32" s="91" customFormat="1" ht="154.5" customHeight="1" x14ac:dyDescent="0.35">
      <c r="A11" s="107"/>
      <c r="B11" s="146" t="s">
        <v>181</v>
      </c>
      <c r="C11" s="146" t="s">
        <v>110</v>
      </c>
      <c r="D11" s="210" t="s">
        <v>182</v>
      </c>
      <c r="E11" s="215">
        <v>43983</v>
      </c>
      <c r="F11" s="148" t="s">
        <v>240</v>
      </c>
      <c r="G11" s="149">
        <v>15</v>
      </c>
      <c r="H11" s="150">
        <f t="shared" si="0"/>
        <v>779.9666666666667</v>
      </c>
      <c r="I11" s="151">
        <v>11699.5</v>
      </c>
      <c r="J11" s="152">
        <v>0</v>
      </c>
      <c r="K11" s="153">
        <f>SUM(I11:J11)</f>
        <v>11699.5</v>
      </c>
      <c r="L11" s="154">
        <f>IF(I11/15&lt;=SMG,0,J11/2)</f>
        <v>0</v>
      </c>
      <c r="M11" s="154">
        <f t="shared" ref="M11:M12" si="13">I11+L11</f>
        <v>11699.5</v>
      </c>
      <c r="N11" s="154">
        <f t="shared" ref="N11:N12" si="14">VLOOKUP(M11,Tarifa1,1)</f>
        <v>7641.91</v>
      </c>
      <c r="O11" s="154">
        <f t="shared" ref="O11:O12" si="15">M11-N11</f>
        <v>4057.59</v>
      </c>
      <c r="P11" s="155">
        <f t="shared" ref="P11:P12" si="16">VLOOKUP(M11,Tarifa1,3)</f>
        <v>0.21360000000000001</v>
      </c>
      <c r="Q11" s="154">
        <f t="shared" ref="Q11:Q12" si="17">O11*P11</f>
        <v>866.70122400000002</v>
      </c>
      <c r="R11" s="156">
        <f t="shared" ref="R11:R12" si="18">VLOOKUP(M11,Tarifa1,2)</f>
        <v>809.25</v>
      </c>
      <c r="S11" s="154">
        <f t="shared" ref="S11:S12" si="19">Q11+R11</f>
        <v>1675.9512239999999</v>
      </c>
      <c r="T11" s="154">
        <f t="shared" ref="T11:T12" si="20">VLOOKUP(M11,Credito1,2)</f>
        <v>0</v>
      </c>
      <c r="U11" s="154">
        <f t="shared" ref="U11:U12" si="21">ROUND(S11-T11,2)</f>
        <v>1675.95</v>
      </c>
      <c r="V11" s="153">
        <f t="shared" ref="V11:V12" si="22">-IF(U11&gt;0,0,U11)</f>
        <v>0</v>
      </c>
      <c r="W11" s="153">
        <f t="shared" ref="W11:W12" si="23">IF(I11/15&lt;=SMG,0,IF(U11&lt;0,0,U11))</f>
        <v>1675.95</v>
      </c>
      <c r="X11" s="153">
        <f t="shared" si="12"/>
        <v>1675.95</v>
      </c>
      <c r="Y11" s="153">
        <f>K11+V11-X11</f>
        <v>10023.549999999999</v>
      </c>
      <c r="Z11" s="108"/>
      <c r="AA11" s="93"/>
      <c r="AF11" s="94"/>
    </row>
    <row r="12" spans="1:32" s="91" customFormat="1" ht="154.5" customHeight="1" x14ac:dyDescent="0.35">
      <c r="A12" s="107"/>
      <c r="B12" s="145" t="s">
        <v>261</v>
      </c>
      <c r="C12" s="145" t="s">
        <v>110</v>
      </c>
      <c r="D12" s="212" t="s">
        <v>262</v>
      </c>
      <c r="E12" s="223">
        <v>44866</v>
      </c>
      <c r="F12" s="148" t="s">
        <v>67</v>
      </c>
      <c r="G12" s="149"/>
      <c r="H12" s="150"/>
      <c r="I12" s="151">
        <v>6440.5</v>
      </c>
      <c r="J12" s="152">
        <v>0</v>
      </c>
      <c r="K12" s="151">
        <f>I12</f>
        <v>6440.5</v>
      </c>
      <c r="L12" s="154">
        <f t="shared" ref="L12" si="24">IF(I12/15&lt;=SMG,0,J12/2)</f>
        <v>0</v>
      </c>
      <c r="M12" s="154">
        <f t="shared" si="13"/>
        <v>6440.5</v>
      </c>
      <c r="N12" s="154">
        <f t="shared" si="14"/>
        <v>6382.81</v>
      </c>
      <c r="O12" s="154">
        <f t="shared" si="15"/>
        <v>57.6899999999996</v>
      </c>
      <c r="P12" s="155">
        <f t="shared" si="16"/>
        <v>0.1792</v>
      </c>
      <c r="Q12" s="154">
        <f t="shared" si="17"/>
        <v>10.338047999999928</v>
      </c>
      <c r="R12" s="156">
        <f t="shared" si="18"/>
        <v>583.65</v>
      </c>
      <c r="S12" s="154">
        <f t="shared" si="19"/>
        <v>593.98804799999994</v>
      </c>
      <c r="T12" s="154">
        <f t="shared" si="20"/>
        <v>0</v>
      </c>
      <c r="U12" s="154">
        <f t="shared" si="21"/>
        <v>593.99</v>
      </c>
      <c r="V12" s="153">
        <f t="shared" si="22"/>
        <v>0</v>
      </c>
      <c r="W12" s="153">
        <f t="shared" si="23"/>
        <v>593.99</v>
      </c>
      <c r="X12" s="153">
        <f t="shared" si="12"/>
        <v>593.99</v>
      </c>
      <c r="Y12" s="153">
        <f>K12+V12-X12+J12</f>
        <v>5846.51</v>
      </c>
      <c r="Z12" s="108"/>
      <c r="AF12" s="94"/>
    </row>
    <row r="13" spans="1:32" s="91" customFormat="1" ht="154.5" customHeight="1" x14ac:dyDescent="0.35">
      <c r="A13" s="107"/>
      <c r="B13" s="145" t="s">
        <v>283</v>
      </c>
      <c r="C13" s="145" t="s">
        <v>110</v>
      </c>
      <c r="D13" s="212" t="s">
        <v>282</v>
      </c>
      <c r="E13" s="221">
        <v>45042</v>
      </c>
      <c r="F13" s="148" t="s">
        <v>67</v>
      </c>
      <c r="G13" s="149"/>
      <c r="H13" s="150"/>
      <c r="I13" s="151">
        <v>6440.5</v>
      </c>
      <c r="J13" s="152">
        <v>0</v>
      </c>
      <c r="K13" s="151">
        <f>I13</f>
        <v>6440.5</v>
      </c>
      <c r="L13" s="154">
        <f t="shared" ref="L13:L15" si="25">IF(I13/15&lt;=SMG,0,J13/2)</f>
        <v>0</v>
      </c>
      <c r="M13" s="154">
        <f t="shared" ref="M13:M15" si="26">I13+L13</f>
        <v>6440.5</v>
      </c>
      <c r="N13" s="154">
        <f t="shared" ref="N13:N15" si="27">VLOOKUP(M13,Tarifa1,1)</f>
        <v>6382.81</v>
      </c>
      <c r="O13" s="154">
        <f t="shared" ref="O13:O15" si="28">M13-N13</f>
        <v>57.6899999999996</v>
      </c>
      <c r="P13" s="155">
        <f t="shared" ref="P13:P15" si="29">VLOOKUP(M13,Tarifa1,3)</f>
        <v>0.1792</v>
      </c>
      <c r="Q13" s="154">
        <f t="shared" ref="Q13:Q15" si="30">O13*P13</f>
        <v>10.338047999999928</v>
      </c>
      <c r="R13" s="156">
        <f t="shared" ref="R13:R15" si="31">VLOOKUP(M13,Tarifa1,2)</f>
        <v>583.65</v>
      </c>
      <c r="S13" s="154">
        <f t="shared" ref="S13:S15" si="32">Q13+R13</f>
        <v>593.98804799999994</v>
      </c>
      <c r="T13" s="154">
        <f t="shared" ref="T13:T15" si="33">VLOOKUP(M13,Credito1,2)</f>
        <v>0</v>
      </c>
      <c r="U13" s="154">
        <f t="shared" ref="U13:U15" si="34">ROUND(S13-T13,2)</f>
        <v>593.99</v>
      </c>
      <c r="V13" s="153">
        <f t="shared" ref="V13:V15" si="35">-IF(U13&gt;0,0,U13)</f>
        <v>0</v>
      </c>
      <c r="W13" s="153">
        <f t="shared" ref="W13:W15" si="36">IF(I13/15&lt;=SMG,0,IF(U13&lt;0,0,U13))</f>
        <v>593.99</v>
      </c>
      <c r="X13" s="153">
        <f t="shared" si="12"/>
        <v>593.99</v>
      </c>
      <c r="Y13" s="153">
        <f>K13+V13-X13+J13</f>
        <v>5846.51</v>
      </c>
      <c r="Z13" s="108"/>
      <c r="AF13" s="94"/>
    </row>
    <row r="14" spans="1:32" s="91" customFormat="1" ht="154.5" customHeight="1" x14ac:dyDescent="0.35">
      <c r="A14" s="174"/>
      <c r="B14" s="145" t="s">
        <v>288</v>
      </c>
      <c r="C14" s="145" t="s">
        <v>110</v>
      </c>
      <c r="D14" s="212" t="s">
        <v>289</v>
      </c>
      <c r="E14" s="221">
        <v>45078</v>
      </c>
      <c r="F14" s="148" t="s">
        <v>290</v>
      </c>
      <c r="G14" s="149"/>
      <c r="H14" s="150"/>
      <c r="I14" s="151">
        <v>9400</v>
      </c>
      <c r="J14" s="152">
        <v>0</v>
      </c>
      <c r="K14" s="153">
        <f t="shared" ref="K14" si="37">SUM(I14:J14)</f>
        <v>9400</v>
      </c>
      <c r="L14" s="154">
        <f t="shared" si="25"/>
        <v>0</v>
      </c>
      <c r="M14" s="154">
        <f t="shared" si="26"/>
        <v>9400</v>
      </c>
      <c r="N14" s="154">
        <f t="shared" si="27"/>
        <v>7641.91</v>
      </c>
      <c r="O14" s="154">
        <f t="shared" si="28"/>
        <v>1758.0900000000001</v>
      </c>
      <c r="P14" s="155">
        <f t="shared" si="29"/>
        <v>0.21360000000000001</v>
      </c>
      <c r="Q14" s="154">
        <f t="shared" si="30"/>
        <v>375.52802400000007</v>
      </c>
      <c r="R14" s="156">
        <f t="shared" si="31"/>
        <v>809.25</v>
      </c>
      <c r="S14" s="154">
        <f t="shared" si="32"/>
        <v>1184.7780240000002</v>
      </c>
      <c r="T14" s="154">
        <f t="shared" si="33"/>
        <v>0</v>
      </c>
      <c r="U14" s="154">
        <f t="shared" si="34"/>
        <v>1184.78</v>
      </c>
      <c r="V14" s="153">
        <f t="shared" si="35"/>
        <v>0</v>
      </c>
      <c r="W14" s="153">
        <f t="shared" si="36"/>
        <v>1184.78</v>
      </c>
      <c r="X14" s="153">
        <f t="shared" si="12"/>
        <v>1184.78</v>
      </c>
      <c r="Y14" s="153">
        <f>K14+V14-X14</f>
        <v>8215.2199999999993</v>
      </c>
      <c r="Z14" s="108"/>
      <c r="AF14" s="94"/>
    </row>
    <row r="15" spans="1:32" s="91" customFormat="1" ht="154.5" customHeight="1" x14ac:dyDescent="0.35">
      <c r="A15" s="174"/>
      <c r="B15" s="146" t="s">
        <v>163</v>
      </c>
      <c r="C15" s="146" t="s">
        <v>110</v>
      </c>
      <c r="D15" s="208" t="s">
        <v>156</v>
      </c>
      <c r="E15" s="214">
        <v>43512</v>
      </c>
      <c r="F15" s="148" t="s">
        <v>154</v>
      </c>
      <c r="G15" s="149">
        <v>15</v>
      </c>
      <c r="H15" s="150"/>
      <c r="I15" s="151">
        <v>8808.5</v>
      </c>
      <c r="J15" s="152">
        <v>0</v>
      </c>
      <c r="K15" s="153">
        <f t="shared" ref="K15" si="38">SUM(I15:J15)</f>
        <v>8808.5</v>
      </c>
      <c r="L15" s="154">
        <f t="shared" si="25"/>
        <v>0</v>
      </c>
      <c r="M15" s="154">
        <f t="shared" si="26"/>
        <v>8808.5</v>
      </c>
      <c r="N15" s="154">
        <f t="shared" si="27"/>
        <v>7641.91</v>
      </c>
      <c r="O15" s="154">
        <f t="shared" si="28"/>
        <v>1166.5900000000001</v>
      </c>
      <c r="P15" s="155">
        <f t="shared" si="29"/>
        <v>0.21360000000000001</v>
      </c>
      <c r="Q15" s="154">
        <f t="shared" si="30"/>
        <v>249.18362400000004</v>
      </c>
      <c r="R15" s="156">
        <f t="shared" si="31"/>
        <v>809.25</v>
      </c>
      <c r="S15" s="154">
        <f t="shared" si="32"/>
        <v>1058.433624</v>
      </c>
      <c r="T15" s="154">
        <f t="shared" si="33"/>
        <v>0</v>
      </c>
      <c r="U15" s="154">
        <f t="shared" si="34"/>
        <v>1058.43</v>
      </c>
      <c r="V15" s="153">
        <f t="shared" si="35"/>
        <v>0</v>
      </c>
      <c r="W15" s="153">
        <f t="shared" si="36"/>
        <v>1058.43</v>
      </c>
      <c r="X15" s="153">
        <f t="shared" si="12"/>
        <v>1058.43</v>
      </c>
      <c r="Y15" s="153">
        <f>K15+V15-X15</f>
        <v>7750.07</v>
      </c>
      <c r="Z15" s="108"/>
      <c r="AF15" s="94"/>
    </row>
    <row r="16" spans="1:32" s="91" customFormat="1" ht="17.25" customHeight="1" x14ac:dyDescent="0.3">
      <c r="A16" s="174"/>
      <c r="B16" s="186"/>
      <c r="C16" s="186"/>
      <c r="D16" s="191"/>
      <c r="E16" s="192"/>
      <c r="F16" s="193"/>
      <c r="G16" s="194"/>
      <c r="H16" s="195"/>
      <c r="I16" s="196"/>
      <c r="J16" s="197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09"/>
      <c r="AF16" s="94"/>
    </row>
    <row r="17" spans="1:32" s="91" customFormat="1" ht="17.25" customHeight="1" x14ac:dyDescent="0.3">
      <c r="A17" s="174"/>
      <c r="B17" s="186"/>
      <c r="C17" s="186"/>
      <c r="D17" s="191"/>
      <c r="E17" s="192"/>
      <c r="F17" s="193"/>
      <c r="G17" s="194"/>
      <c r="H17" s="195"/>
      <c r="I17" s="196"/>
      <c r="J17" s="197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09"/>
      <c r="AF17" s="94"/>
    </row>
    <row r="18" spans="1:32" s="91" customFormat="1" ht="17.25" customHeight="1" x14ac:dyDescent="0.3">
      <c r="A18" s="174"/>
      <c r="B18" s="186"/>
      <c r="C18" s="186"/>
      <c r="D18" s="191"/>
      <c r="E18" s="192"/>
      <c r="F18" s="193"/>
      <c r="G18" s="194"/>
      <c r="H18" s="195"/>
      <c r="I18" s="196"/>
      <c r="J18" s="197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09"/>
      <c r="AF18" s="94"/>
    </row>
    <row r="19" spans="1:32" s="91" customFormat="1" ht="17.25" customHeight="1" x14ac:dyDescent="0.3">
      <c r="A19" s="174"/>
      <c r="B19" s="186"/>
      <c r="C19" s="186"/>
      <c r="D19" s="191"/>
      <c r="E19" s="192"/>
      <c r="F19" s="193"/>
      <c r="G19" s="194"/>
      <c r="H19" s="195"/>
      <c r="I19" s="196"/>
      <c r="J19" s="197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09"/>
      <c r="AF19" s="94"/>
    </row>
    <row r="20" spans="1:32" s="91" customFormat="1" ht="17.25" customHeight="1" x14ac:dyDescent="0.3">
      <c r="A20" s="174"/>
      <c r="B20" s="186"/>
      <c r="C20" s="186"/>
      <c r="D20" s="191"/>
      <c r="E20" s="192"/>
      <c r="F20" s="193"/>
      <c r="G20" s="194"/>
      <c r="H20" s="195"/>
      <c r="I20" s="196"/>
      <c r="J20" s="197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09"/>
      <c r="AF20" s="94"/>
    </row>
    <row r="21" spans="1:32" s="91" customFormat="1" ht="17.25" customHeight="1" x14ac:dyDescent="0.3">
      <c r="A21" s="174"/>
      <c r="B21" s="186"/>
      <c r="C21" s="186"/>
      <c r="D21" s="191"/>
      <c r="E21" s="192"/>
      <c r="F21" s="193"/>
      <c r="G21" s="194"/>
      <c r="H21" s="195"/>
      <c r="I21" s="196"/>
      <c r="J21" s="197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09"/>
      <c r="AF21" s="94"/>
    </row>
    <row r="22" spans="1:32" s="91" customFormat="1" ht="17.25" customHeight="1" x14ac:dyDescent="0.3">
      <c r="A22" s="174"/>
      <c r="B22" s="186"/>
      <c r="C22" s="186"/>
      <c r="D22" s="191"/>
      <c r="E22" s="192"/>
      <c r="F22" s="193"/>
      <c r="G22" s="194"/>
      <c r="H22" s="195"/>
      <c r="I22" s="196"/>
      <c r="J22" s="197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09"/>
      <c r="AF22" s="94"/>
    </row>
    <row r="23" spans="1:32" s="91" customFormat="1" ht="17.25" customHeight="1" x14ac:dyDescent="0.3">
      <c r="A23" s="174"/>
      <c r="B23" s="186"/>
      <c r="C23" s="186"/>
      <c r="D23" s="191"/>
      <c r="E23" s="192"/>
      <c r="F23" s="193"/>
      <c r="G23" s="194"/>
      <c r="H23" s="195"/>
      <c r="I23" s="196"/>
      <c r="J23" s="197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09"/>
      <c r="AF23" s="94"/>
    </row>
    <row r="24" spans="1:32" s="91" customFormat="1" ht="17.25" customHeight="1" x14ac:dyDescent="0.3">
      <c r="A24" s="174"/>
      <c r="B24" s="186"/>
      <c r="C24" s="186"/>
      <c r="D24" s="191"/>
      <c r="E24" s="192"/>
      <c r="F24" s="193"/>
      <c r="G24" s="194"/>
      <c r="H24" s="195"/>
      <c r="I24" s="196"/>
      <c r="J24" s="197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09"/>
      <c r="AF24" s="94"/>
    </row>
    <row r="25" spans="1:32" s="91" customFormat="1" ht="17.25" customHeight="1" x14ac:dyDescent="0.3">
      <c r="A25" s="174"/>
      <c r="B25" s="186"/>
      <c r="C25" s="186"/>
      <c r="D25" s="191"/>
      <c r="E25" s="192"/>
      <c r="F25" s="193"/>
      <c r="G25" s="194"/>
      <c r="H25" s="195"/>
      <c r="I25" s="196"/>
      <c r="J25" s="197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09"/>
      <c r="AF25" s="94"/>
    </row>
    <row r="26" spans="1:32" s="91" customFormat="1" ht="17.25" customHeight="1" x14ac:dyDescent="0.3">
      <c r="A26" s="174"/>
      <c r="B26" s="186"/>
      <c r="C26" s="186"/>
      <c r="D26" s="191"/>
      <c r="E26" s="192"/>
      <c r="F26" s="193"/>
      <c r="G26" s="194"/>
      <c r="H26" s="195"/>
      <c r="I26" s="196"/>
      <c r="J26" s="197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09"/>
      <c r="AF26" s="94"/>
    </row>
    <row r="27" spans="1:32" s="91" customFormat="1" ht="17.25" customHeight="1" x14ac:dyDescent="0.3">
      <c r="A27" s="174"/>
      <c r="B27" s="186"/>
      <c r="C27" s="186"/>
      <c r="D27" s="191"/>
      <c r="E27" s="192"/>
      <c r="F27" s="193"/>
      <c r="G27" s="194"/>
      <c r="H27" s="195"/>
      <c r="I27" s="196"/>
      <c r="J27" s="197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09"/>
      <c r="AF27" s="94"/>
    </row>
    <row r="28" spans="1:32" s="91" customFormat="1" ht="17.25" customHeight="1" x14ac:dyDescent="0.3">
      <c r="A28" s="174"/>
      <c r="B28" s="186"/>
      <c r="C28" s="186"/>
      <c r="D28" s="191"/>
      <c r="E28" s="192"/>
      <c r="F28" s="193"/>
      <c r="G28" s="194"/>
      <c r="H28" s="195"/>
      <c r="I28" s="196"/>
      <c r="J28" s="197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09"/>
      <c r="AF28" s="94"/>
    </row>
    <row r="29" spans="1:32" s="91" customFormat="1" ht="29.25" customHeight="1" x14ac:dyDescent="0.3">
      <c r="A29" s="174"/>
      <c r="B29" s="283" t="s">
        <v>78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F29" s="94"/>
    </row>
    <row r="30" spans="1:32" s="91" customFormat="1" ht="28.5" customHeight="1" x14ac:dyDescent="0.3">
      <c r="A30" s="174"/>
      <c r="B30" s="283" t="s">
        <v>64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F30" s="94"/>
    </row>
    <row r="31" spans="1:32" s="91" customFormat="1" ht="28.5" customHeight="1" x14ac:dyDescent="0.3">
      <c r="A31" s="174"/>
      <c r="B31" s="284" t="s">
        <v>342</v>
      </c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F31" s="94"/>
    </row>
    <row r="32" spans="1:32" s="91" customFormat="1" ht="28.5" customHeight="1" x14ac:dyDescent="0.3">
      <c r="A32" s="174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F32" s="94"/>
    </row>
    <row r="33" spans="1:32" s="91" customFormat="1" ht="134.25" customHeight="1" x14ac:dyDescent="0.35">
      <c r="A33" s="174"/>
      <c r="B33" s="146" t="s">
        <v>169</v>
      </c>
      <c r="C33" s="146" t="s">
        <v>110</v>
      </c>
      <c r="D33" s="208" t="s">
        <v>170</v>
      </c>
      <c r="E33" s="214">
        <v>43632</v>
      </c>
      <c r="F33" s="148" t="s">
        <v>154</v>
      </c>
      <c r="G33" s="149">
        <v>15</v>
      </c>
      <c r="H33" s="150"/>
      <c r="I33" s="151">
        <v>8808.5</v>
      </c>
      <c r="J33" s="152">
        <v>0</v>
      </c>
      <c r="K33" s="153">
        <f t="shared" ref="K33" si="39">SUM(I33:J33)</f>
        <v>8808.5</v>
      </c>
      <c r="L33" s="154">
        <f t="shared" ref="L33" si="40">IF(I33/15&lt;=SMG,0,J33/2)</f>
        <v>0</v>
      </c>
      <c r="M33" s="154">
        <f t="shared" ref="M33" si="41">I33+L33</f>
        <v>8808.5</v>
      </c>
      <c r="N33" s="154">
        <f t="shared" ref="N33" si="42">VLOOKUP(M33,Tarifa1,1)</f>
        <v>7641.91</v>
      </c>
      <c r="O33" s="154">
        <f t="shared" ref="O33" si="43">M33-N33</f>
        <v>1166.5900000000001</v>
      </c>
      <c r="P33" s="155">
        <f t="shared" ref="P33" si="44">VLOOKUP(M33,Tarifa1,3)</f>
        <v>0.21360000000000001</v>
      </c>
      <c r="Q33" s="154">
        <f t="shared" ref="Q33" si="45">O33*P33</f>
        <v>249.18362400000004</v>
      </c>
      <c r="R33" s="156">
        <f t="shared" ref="R33" si="46">VLOOKUP(M33,Tarifa1,2)</f>
        <v>809.25</v>
      </c>
      <c r="S33" s="154">
        <f t="shared" ref="S33" si="47">Q33+R33</f>
        <v>1058.433624</v>
      </c>
      <c r="T33" s="154">
        <f t="shared" ref="T33" si="48">VLOOKUP(M33,Credito1,2)</f>
        <v>0</v>
      </c>
      <c r="U33" s="154">
        <f t="shared" ref="U33" si="49">ROUND(S33-T33,2)</f>
        <v>1058.43</v>
      </c>
      <c r="V33" s="153">
        <f t="shared" ref="V33" si="50">-IF(U33&gt;0,0,U33)</f>
        <v>0</v>
      </c>
      <c r="W33" s="153">
        <f t="shared" ref="W33" si="51">IF(I33/15&lt;=SMG,0,IF(U33&lt;0,0,U33))</f>
        <v>1058.43</v>
      </c>
      <c r="X33" s="153">
        <f t="shared" ref="X33:X39" si="52">SUM(W33:W33)</f>
        <v>1058.43</v>
      </c>
      <c r="Y33" s="153">
        <f>K33+V33-X33</f>
        <v>7750.07</v>
      </c>
      <c r="Z33" s="108"/>
      <c r="AA33" s="190"/>
      <c r="AF33" s="94"/>
    </row>
    <row r="34" spans="1:32" s="91" customFormat="1" ht="134.25" customHeight="1" x14ac:dyDescent="0.35">
      <c r="A34" s="107"/>
      <c r="B34" s="146" t="s">
        <v>243</v>
      </c>
      <c r="C34" s="146" t="s">
        <v>110</v>
      </c>
      <c r="D34" s="208" t="s">
        <v>244</v>
      </c>
      <c r="E34" s="214">
        <v>44728</v>
      </c>
      <c r="F34" s="148" t="s">
        <v>154</v>
      </c>
      <c r="G34" s="149"/>
      <c r="H34" s="150"/>
      <c r="I34" s="151">
        <v>8808.5</v>
      </c>
      <c r="J34" s="152">
        <v>0</v>
      </c>
      <c r="K34" s="153">
        <f>SUM(I34:J34)</f>
        <v>8808.5</v>
      </c>
      <c r="L34" s="154">
        <f t="shared" ref="L34:L38" si="53">IF(I34/15&lt;=SMG,0,J34/2)</f>
        <v>0</v>
      </c>
      <c r="M34" s="154">
        <f t="shared" ref="M34:M37" si="54">I34+L34</f>
        <v>8808.5</v>
      </c>
      <c r="N34" s="154">
        <f t="shared" ref="N34:N37" si="55">VLOOKUP(M34,Tarifa1,1)</f>
        <v>7641.91</v>
      </c>
      <c r="O34" s="154">
        <f t="shared" ref="O34:O37" si="56">M34-N34</f>
        <v>1166.5900000000001</v>
      </c>
      <c r="P34" s="155">
        <f t="shared" ref="P34:P37" si="57">VLOOKUP(M34,Tarifa1,3)</f>
        <v>0.21360000000000001</v>
      </c>
      <c r="Q34" s="154">
        <f t="shared" ref="Q34:Q37" si="58">O34*P34</f>
        <v>249.18362400000004</v>
      </c>
      <c r="R34" s="156">
        <f t="shared" ref="R34:R37" si="59">VLOOKUP(M34,Tarifa1,2)</f>
        <v>809.25</v>
      </c>
      <c r="S34" s="154">
        <f t="shared" ref="S34:S37" si="60">Q34+R34</f>
        <v>1058.433624</v>
      </c>
      <c r="T34" s="154">
        <f t="shared" ref="T34:T37" si="61">VLOOKUP(M34,Credito1,2)</f>
        <v>0</v>
      </c>
      <c r="U34" s="154">
        <f t="shared" ref="U34:U37" si="62">ROUND(S34-T34,2)</f>
        <v>1058.43</v>
      </c>
      <c r="V34" s="153">
        <f t="shared" ref="V34:V37" si="63">-IF(U34&gt;0,0,U34)</f>
        <v>0</v>
      </c>
      <c r="W34" s="153">
        <f t="shared" ref="W34:W37" si="64">IF(I34/15&lt;=SMG,0,IF(U34&lt;0,0,U34))</f>
        <v>1058.43</v>
      </c>
      <c r="X34" s="153">
        <f t="shared" si="52"/>
        <v>1058.43</v>
      </c>
      <c r="Y34" s="153">
        <f>K34+V34-X34</f>
        <v>7750.07</v>
      </c>
      <c r="Z34" s="108"/>
      <c r="AF34" s="94"/>
    </row>
    <row r="35" spans="1:32" s="91" customFormat="1" ht="134.25" customHeight="1" x14ac:dyDescent="0.35">
      <c r="A35" s="107"/>
      <c r="B35" s="146" t="s">
        <v>281</v>
      </c>
      <c r="C35" s="146" t="s">
        <v>110</v>
      </c>
      <c r="D35" s="210" t="s">
        <v>284</v>
      </c>
      <c r="E35" s="215">
        <v>45033</v>
      </c>
      <c r="F35" s="148" t="s">
        <v>154</v>
      </c>
      <c r="G35" s="149"/>
      <c r="H35" s="150"/>
      <c r="I35" s="151">
        <v>7048</v>
      </c>
      <c r="J35" s="152">
        <v>0</v>
      </c>
      <c r="K35" s="153">
        <f>SUM(I35:J35)</f>
        <v>7048</v>
      </c>
      <c r="L35" s="154">
        <f t="shared" ref="L35" si="65">IF(I35/15&lt;=SMG,0,J35/2)</f>
        <v>0</v>
      </c>
      <c r="M35" s="154">
        <f t="shared" ref="M35" si="66">I35+L35</f>
        <v>7048</v>
      </c>
      <c r="N35" s="154">
        <f t="shared" ref="N35" si="67">VLOOKUP(M35,Tarifa1,1)</f>
        <v>6382.81</v>
      </c>
      <c r="O35" s="154">
        <f t="shared" ref="O35" si="68">M35-N35</f>
        <v>665.1899999999996</v>
      </c>
      <c r="P35" s="155">
        <f t="shared" ref="P35" si="69">VLOOKUP(M35,Tarifa1,3)</f>
        <v>0.1792</v>
      </c>
      <c r="Q35" s="154">
        <f t="shared" ref="Q35" si="70">O35*P35</f>
        <v>119.20204799999993</v>
      </c>
      <c r="R35" s="156">
        <f t="shared" ref="R35" si="71">VLOOKUP(M35,Tarifa1,2)</f>
        <v>583.65</v>
      </c>
      <c r="S35" s="154">
        <f t="shared" ref="S35" si="72">Q35+R35</f>
        <v>702.85204799999997</v>
      </c>
      <c r="T35" s="154">
        <f t="shared" ref="T35" si="73">VLOOKUP(M35,Credito1,2)</f>
        <v>0</v>
      </c>
      <c r="U35" s="154">
        <f t="shared" ref="U35" si="74">ROUND(S35-T35,2)</f>
        <v>702.85</v>
      </c>
      <c r="V35" s="153">
        <f t="shared" ref="V35" si="75">-IF(U35&gt;0,0,U35)</f>
        <v>0</v>
      </c>
      <c r="W35" s="153">
        <f t="shared" ref="W35" si="76">IF(I35/15&lt;=SMG,0,IF(U35&lt;0,0,U35))</f>
        <v>702.85</v>
      </c>
      <c r="X35" s="153">
        <f t="shared" si="52"/>
        <v>702.85</v>
      </c>
      <c r="Y35" s="153">
        <f>K35+V35-X35</f>
        <v>6345.15</v>
      </c>
      <c r="Z35" s="108"/>
      <c r="AF35" s="94"/>
    </row>
    <row r="36" spans="1:32" s="91" customFormat="1" ht="134.25" customHeight="1" x14ac:dyDescent="0.3">
      <c r="A36" s="107"/>
      <c r="B36" s="146" t="s">
        <v>329</v>
      </c>
      <c r="C36" s="146" t="s">
        <v>110</v>
      </c>
      <c r="D36" s="148" t="s">
        <v>330</v>
      </c>
      <c r="E36" s="270">
        <v>43967</v>
      </c>
      <c r="F36" s="148" t="s">
        <v>154</v>
      </c>
      <c r="G36" s="150"/>
      <c r="H36" s="151">
        <v>6843</v>
      </c>
      <c r="I36" s="151">
        <v>7048</v>
      </c>
      <c r="J36" s="152">
        <v>0</v>
      </c>
      <c r="K36" s="153">
        <f>SUM(I36:J36)</f>
        <v>7048</v>
      </c>
      <c r="L36" s="154">
        <f t="shared" ref="L36" si="77">IF(I36/15&lt;=SMG,0,J36/2)</f>
        <v>0</v>
      </c>
      <c r="M36" s="154">
        <f t="shared" ref="M36" si="78">I36+L36</f>
        <v>7048</v>
      </c>
      <c r="N36" s="154">
        <f t="shared" ref="N36" si="79">VLOOKUP(M36,Tarifa1,1)</f>
        <v>6382.81</v>
      </c>
      <c r="O36" s="154">
        <f t="shared" ref="O36" si="80">M36-N36</f>
        <v>665.1899999999996</v>
      </c>
      <c r="P36" s="155">
        <f t="shared" ref="P36" si="81">VLOOKUP(M36,Tarifa1,3)</f>
        <v>0.1792</v>
      </c>
      <c r="Q36" s="154">
        <f t="shared" ref="Q36" si="82">O36*P36</f>
        <v>119.20204799999993</v>
      </c>
      <c r="R36" s="156">
        <f t="shared" ref="R36" si="83">VLOOKUP(M36,Tarifa1,2)</f>
        <v>583.65</v>
      </c>
      <c r="S36" s="154">
        <f t="shared" ref="S36" si="84">Q36+R36</f>
        <v>702.85204799999997</v>
      </c>
      <c r="T36" s="154">
        <f t="shared" ref="T36" si="85">VLOOKUP(M36,Credito1,2)</f>
        <v>0</v>
      </c>
      <c r="U36" s="154">
        <f t="shared" ref="U36" si="86">ROUND(S36-T36,2)</f>
        <v>702.85</v>
      </c>
      <c r="V36" s="153">
        <f t="shared" ref="V36" si="87">-IF(U36&gt;0,0,U36)</f>
        <v>0</v>
      </c>
      <c r="W36" s="153">
        <f t="shared" ref="W36" si="88">IF(I36/15&lt;=SMG,0,IF(U36&lt;0,0,U36))</f>
        <v>702.85</v>
      </c>
      <c r="X36" s="153">
        <f t="shared" si="52"/>
        <v>702.85</v>
      </c>
      <c r="Y36" s="153">
        <f>K36+V36-X36</f>
        <v>6345.15</v>
      </c>
      <c r="Z36" s="108"/>
      <c r="AF36" s="94"/>
    </row>
    <row r="37" spans="1:32" s="91" customFormat="1" ht="134.25" customHeight="1" x14ac:dyDescent="0.35">
      <c r="A37" s="107"/>
      <c r="B37" s="146" t="s">
        <v>247</v>
      </c>
      <c r="C37" s="146" t="s">
        <v>110</v>
      </c>
      <c r="D37" s="208" t="s">
        <v>245</v>
      </c>
      <c r="E37" s="215">
        <v>44728</v>
      </c>
      <c r="F37" s="148" t="s">
        <v>246</v>
      </c>
      <c r="G37" s="149"/>
      <c r="H37" s="150"/>
      <c r="I37" s="151">
        <v>6440.5</v>
      </c>
      <c r="J37" s="152">
        <v>0</v>
      </c>
      <c r="K37" s="151">
        <f>I37</f>
        <v>6440.5</v>
      </c>
      <c r="L37" s="154">
        <f t="shared" si="53"/>
        <v>0</v>
      </c>
      <c r="M37" s="154">
        <f t="shared" si="54"/>
        <v>6440.5</v>
      </c>
      <c r="N37" s="154">
        <f t="shared" si="55"/>
        <v>6382.81</v>
      </c>
      <c r="O37" s="154">
        <f t="shared" si="56"/>
        <v>57.6899999999996</v>
      </c>
      <c r="P37" s="155">
        <f t="shared" si="57"/>
        <v>0.1792</v>
      </c>
      <c r="Q37" s="154">
        <f t="shared" si="58"/>
        <v>10.338047999999928</v>
      </c>
      <c r="R37" s="156">
        <f t="shared" si="59"/>
        <v>583.65</v>
      </c>
      <c r="S37" s="154">
        <f t="shared" si="60"/>
        <v>593.98804799999994</v>
      </c>
      <c r="T37" s="154">
        <f t="shared" si="61"/>
        <v>0</v>
      </c>
      <c r="U37" s="154">
        <f t="shared" si="62"/>
        <v>593.99</v>
      </c>
      <c r="V37" s="153">
        <f t="shared" si="63"/>
        <v>0</v>
      </c>
      <c r="W37" s="153">
        <f t="shared" si="64"/>
        <v>593.99</v>
      </c>
      <c r="X37" s="153">
        <f t="shared" si="52"/>
        <v>593.99</v>
      </c>
      <c r="Y37" s="153">
        <f>K37+V37-X37+J37</f>
        <v>5846.51</v>
      </c>
      <c r="Z37" s="108"/>
      <c r="AF37" s="94"/>
    </row>
    <row r="38" spans="1:32" s="91" customFormat="1" ht="134.25" customHeight="1" x14ac:dyDescent="0.35">
      <c r="A38" s="107"/>
      <c r="B38" s="146" t="s">
        <v>165</v>
      </c>
      <c r="C38" s="146" t="s">
        <v>110</v>
      </c>
      <c r="D38" s="208" t="s">
        <v>155</v>
      </c>
      <c r="E38" s="214">
        <v>43512</v>
      </c>
      <c r="F38" s="148" t="s">
        <v>241</v>
      </c>
      <c r="G38" s="149">
        <v>15</v>
      </c>
      <c r="H38" s="150">
        <f t="shared" ref="H38" si="89">I38/G38</f>
        <v>319.5</v>
      </c>
      <c r="I38" s="151">
        <v>4792.5</v>
      </c>
      <c r="J38" s="152">
        <v>0</v>
      </c>
      <c r="K38" s="153">
        <f t="shared" ref="K38" si="90">SUM(I38:J38)</f>
        <v>4792.5</v>
      </c>
      <c r="L38" s="154">
        <f t="shared" si="53"/>
        <v>0</v>
      </c>
      <c r="M38" s="154">
        <f t="shared" ref="M38:M39" si="91">I38+L38</f>
        <v>4792.5</v>
      </c>
      <c r="N38" s="154">
        <f t="shared" ref="N38" si="92">VLOOKUP(M38,Tarifa1,1)</f>
        <v>3124.36</v>
      </c>
      <c r="O38" s="154">
        <f t="shared" ref="O38:O39" si="93">M38-N38</f>
        <v>1668.1399999999999</v>
      </c>
      <c r="P38" s="155">
        <f t="shared" ref="P38" si="94">VLOOKUP(M38,Tarifa1,3)</f>
        <v>0.10879999999999999</v>
      </c>
      <c r="Q38" s="154">
        <f t="shared" ref="Q38:Q39" si="95">O38*P38</f>
        <v>181.49363199999996</v>
      </c>
      <c r="R38" s="156">
        <f t="shared" ref="R38" si="96">VLOOKUP(M38,Tarifa1,2)</f>
        <v>183.45</v>
      </c>
      <c r="S38" s="154">
        <f t="shared" ref="S38:S39" si="97">Q38+R38</f>
        <v>364.94363199999998</v>
      </c>
      <c r="T38" s="154">
        <f t="shared" ref="T38" si="98">VLOOKUP(M38,Credito1,2)</f>
        <v>0</v>
      </c>
      <c r="U38" s="154">
        <f t="shared" ref="U38:U39" si="99">ROUND(S38-T38,2)</f>
        <v>364.94</v>
      </c>
      <c r="V38" s="153">
        <f t="shared" ref="V38:V39" si="100">-IF(U38&gt;0,0,U38)</f>
        <v>0</v>
      </c>
      <c r="W38" s="153">
        <f t="shared" ref="W38" si="101">IF(I38/15&lt;=SMG,0,IF(U38&lt;0,0,U38))</f>
        <v>364.94</v>
      </c>
      <c r="X38" s="153">
        <f t="shared" si="52"/>
        <v>364.94</v>
      </c>
      <c r="Y38" s="153">
        <f>K38+V38-X38</f>
        <v>4427.5600000000004</v>
      </c>
      <c r="Z38" s="108"/>
      <c r="AF38" s="94"/>
    </row>
    <row r="39" spans="1:32" s="91" customFormat="1" ht="134.25" customHeight="1" x14ac:dyDescent="0.35">
      <c r="A39" s="107"/>
      <c r="B39" s="146" t="s">
        <v>321</v>
      </c>
      <c r="C39" s="146" t="s">
        <v>110</v>
      </c>
      <c r="D39" s="208" t="s">
        <v>320</v>
      </c>
      <c r="E39" s="214">
        <v>45188</v>
      </c>
      <c r="F39" s="148" t="s">
        <v>319</v>
      </c>
      <c r="G39" s="149"/>
      <c r="H39" s="150"/>
      <c r="I39" s="151">
        <v>4601</v>
      </c>
      <c r="J39" s="152">
        <v>0</v>
      </c>
      <c r="K39" s="153">
        <f>SUM(I39:J39)</f>
        <v>4601</v>
      </c>
      <c r="L39" s="154">
        <f>IF(I39/15&lt;=SMG,0,J39/2)</f>
        <v>0</v>
      </c>
      <c r="M39" s="154">
        <f t="shared" si="91"/>
        <v>4601</v>
      </c>
      <c r="N39" s="154">
        <f t="shared" ref="N39" si="102">VLOOKUP(M39,Tarifa1,1)</f>
        <v>3124.36</v>
      </c>
      <c r="O39" s="154">
        <f t="shared" si="93"/>
        <v>1476.6399999999999</v>
      </c>
      <c r="P39" s="155">
        <f t="shared" ref="P39" si="103">VLOOKUP(M39,Tarifa1,3)</f>
        <v>0.10879999999999999</v>
      </c>
      <c r="Q39" s="154">
        <f t="shared" si="95"/>
        <v>160.65843199999998</v>
      </c>
      <c r="R39" s="156">
        <f t="shared" ref="R39" si="104">VLOOKUP(M39,Tarifa1,2)</f>
        <v>183.45</v>
      </c>
      <c r="S39" s="154">
        <f t="shared" si="97"/>
        <v>344.10843199999999</v>
      </c>
      <c r="T39" s="154">
        <f t="shared" ref="T39" si="105">VLOOKUP(M39,Credito1,2)</f>
        <v>0</v>
      </c>
      <c r="U39" s="154">
        <f t="shared" si="99"/>
        <v>344.11</v>
      </c>
      <c r="V39" s="153">
        <f t="shared" si="100"/>
        <v>0</v>
      </c>
      <c r="W39" s="153">
        <f t="shared" ref="W39" si="106">IF(I39/15&lt;=SMG,0,IF(U39&lt;0,0,U39))</f>
        <v>344.11</v>
      </c>
      <c r="X39" s="153">
        <f t="shared" si="52"/>
        <v>344.11</v>
      </c>
      <c r="Y39" s="153">
        <f>K39+V39-X39</f>
        <v>4256.8900000000003</v>
      </c>
      <c r="Z39" s="108"/>
      <c r="AF39" s="94"/>
    </row>
    <row r="40" spans="1:32" s="51" customFormat="1" ht="39" customHeight="1" thickBot="1" x14ac:dyDescent="0.35">
      <c r="A40" s="280" t="s">
        <v>44</v>
      </c>
      <c r="B40" s="281"/>
      <c r="C40" s="281"/>
      <c r="D40" s="281"/>
      <c r="E40" s="281"/>
      <c r="F40" s="281"/>
      <c r="G40" s="281"/>
      <c r="H40" s="282"/>
      <c r="I40" s="158">
        <f t="shared" ref="I40:Y40" si="107">SUM(I9:I39)</f>
        <v>106544.5</v>
      </c>
      <c r="J40" s="158">
        <f t="shared" si="107"/>
        <v>0</v>
      </c>
      <c r="K40" s="158">
        <f t="shared" si="107"/>
        <v>106544.5</v>
      </c>
      <c r="L40" s="159">
        <f t="shared" si="107"/>
        <v>0</v>
      </c>
      <c r="M40" s="159">
        <f t="shared" si="107"/>
        <v>106544.5</v>
      </c>
      <c r="N40" s="159">
        <f t="shared" si="107"/>
        <v>87138.590000000011</v>
      </c>
      <c r="O40" s="159">
        <f t="shared" si="107"/>
        <v>19405.909999999993</v>
      </c>
      <c r="P40" s="159">
        <f t="shared" si="107"/>
        <v>2.504</v>
      </c>
      <c r="Q40" s="159">
        <f t="shared" si="107"/>
        <v>3618.7004800000013</v>
      </c>
      <c r="R40" s="159">
        <f t="shared" si="107"/>
        <v>8324.0999999999985</v>
      </c>
      <c r="S40" s="159">
        <f t="shared" si="107"/>
        <v>11942.800480000002</v>
      </c>
      <c r="T40" s="159">
        <f t="shared" si="107"/>
        <v>0</v>
      </c>
      <c r="U40" s="159">
        <f t="shared" si="107"/>
        <v>11942.79</v>
      </c>
      <c r="V40" s="158">
        <f t="shared" si="107"/>
        <v>0</v>
      </c>
      <c r="W40" s="158">
        <f t="shared" si="107"/>
        <v>11942.79</v>
      </c>
      <c r="X40" s="158">
        <f t="shared" si="107"/>
        <v>11942.79</v>
      </c>
      <c r="Y40" s="158">
        <f t="shared" si="107"/>
        <v>94601.709999999992</v>
      </c>
      <c r="Z40" s="109"/>
    </row>
    <row r="41" spans="1:32" s="51" customFormat="1" ht="39" customHeight="1" thickTop="1" x14ac:dyDescent="0.25">
      <c r="A41" s="103"/>
      <c r="B41" s="103"/>
      <c r="C41" s="103"/>
      <c r="D41" s="103"/>
      <c r="E41" s="103"/>
      <c r="F41" s="103"/>
      <c r="G41" s="103"/>
      <c r="H41" s="103"/>
      <c r="I41" s="104"/>
      <c r="J41" s="104"/>
      <c r="K41" s="104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4"/>
      <c r="W41" s="104"/>
      <c r="X41" s="104"/>
      <c r="Y41" s="104"/>
    </row>
    <row r="42" spans="1:32" s="51" customFormat="1" ht="11.4" x14ac:dyDescent="0.2"/>
  </sheetData>
  <mergeCells count="11">
    <mergeCell ref="A40:H40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8:E39 D36:D39 D33:E35 D15:E28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opLeftCell="B33" zoomScale="69" zoomScaleNormal="69" workbookViewId="0">
      <selection activeCell="B40" sqref="A40:XFD50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.109375" customWidth="1"/>
    <col min="25" max="25" width="13" customWidth="1"/>
    <col min="26" max="26" width="13.5546875" customWidth="1"/>
    <col min="27" max="27" width="47.33203125" customWidth="1"/>
  </cols>
  <sheetData>
    <row r="1" spans="1:27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27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</row>
    <row r="3" spans="1:27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7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5" t="s">
        <v>1</v>
      </c>
      <c r="J5" s="306"/>
      <c r="K5" s="307"/>
      <c r="L5" s="49" t="s">
        <v>25</v>
      </c>
      <c r="M5" s="50"/>
      <c r="N5" s="308" t="s">
        <v>8</v>
      </c>
      <c r="O5" s="309"/>
      <c r="P5" s="309"/>
      <c r="Q5" s="309"/>
      <c r="R5" s="309"/>
      <c r="S5" s="310"/>
      <c r="T5" s="49" t="s">
        <v>29</v>
      </c>
      <c r="U5" s="49" t="s">
        <v>9</v>
      </c>
      <c r="V5" s="48" t="s">
        <v>52</v>
      </c>
      <c r="W5" s="311" t="s">
        <v>2</v>
      </c>
      <c r="X5" s="313"/>
      <c r="Y5" s="312"/>
      <c r="Z5" s="48" t="s">
        <v>0</v>
      </c>
      <c r="AA5" s="47"/>
    </row>
    <row r="6" spans="1:27" s="51" customFormat="1" ht="24" x14ac:dyDescent="0.25">
      <c r="A6" s="52" t="s">
        <v>104</v>
      </c>
      <c r="B6" s="46" t="s">
        <v>99</v>
      </c>
      <c r="C6" s="46" t="s">
        <v>118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58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3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263</v>
      </c>
      <c r="X6" s="48" t="s">
        <v>56</v>
      </c>
      <c r="Y6" s="48" t="s">
        <v>6</v>
      </c>
      <c r="Z6" s="52" t="s">
        <v>3</v>
      </c>
      <c r="AA6" s="52" t="s">
        <v>57</v>
      </c>
    </row>
    <row r="7" spans="1:27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59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4" t="s">
        <v>14</v>
      </c>
      <c r="S7" s="49" t="s">
        <v>38</v>
      </c>
      <c r="T7" s="54" t="s">
        <v>18</v>
      </c>
      <c r="U7" s="55" t="s">
        <v>119</v>
      </c>
      <c r="V7" s="52" t="s">
        <v>51</v>
      </c>
      <c r="W7" s="52"/>
      <c r="X7" s="52"/>
      <c r="Y7" s="52" t="s">
        <v>43</v>
      </c>
      <c r="Z7" s="52" t="s">
        <v>4</v>
      </c>
      <c r="AA7" s="56"/>
    </row>
    <row r="8" spans="1:27" s="4" customFormat="1" ht="39.75" customHeight="1" x14ac:dyDescent="0.3">
      <c r="A8" s="95"/>
      <c r="B8" s="114"/>
      <c r="C8" s="114"/>
      <c r="D8" s="114" t="s">
        <v>69</v>
      </c>
      <c r="E8" s="133" t="s">
        <v>276</v>
      </c>
      <c r="F8" s="114" t="s">
        <v>61</v>
      </c>
      <c r="G8" s="114"/>
      <c r="H8" s="114"/>
      <c r="I8" s="115">
        <f>SUM(I9:I20)</f>
        <v>53807</v>
      </c>
      <c r="J8" s="115">
        <f>SUM(J9:J20)</f>
        <v>0</v>
      </c>
      <c r="K8" s="115">
        <f>SUM(K9:K20)</f>
        <v>53807</v>
      </c>
      <c r="L8" s="114"/>
      <c r="M8" s="114"/>
      <c r="N8" s="114"/>
      <c r="O8" s="114"/>
      <c r="P8" s="114"/>
      <c r="Q8" s="114"/>
      <c r="R8" s="116"/>
      <c r="S8" s="114"/>
      <c r="T8" s="114"/>
      <c r="U8" s="114"/>
      <c r="V8" s="115">
        <f>SUM(V9:V20)</f>
        <v>0</v>
      </c>
      <c r="W8" s="115">
        <f>SUM(W9:W20)</f>
        <v>3481.7700000000004</v>
      </c>
      <c r="X8" s="115">
        <f>SUM(X9:X20)</f>
        <v>0</v>
      </c>
      <c r="Y8" s="115">
        <f>SUM(Y9:Y20)</f>
        <v>3481.7700000000004</v>
      </c>
      <c r="Z8" s="115">
        <f>SUM(Z9:Z20)</f>
        <v>50325.23</v>
      </c>
      <c r="AA8" s="96"/>
    </row>
    <row r="9" spans="1:27" s="4" customFormat="1" ht="77.25" customHeight="1" x14ac:dyDescent="0.35">
      <c r="A9" s="43"/>
      <c r="B9" s="146" t="s">
        <v>166</v>
      </c>
      <c r="C9" s="146" t="s">
        <v>110</v>
      </c>
      <c r="D9" s="210" t="s">
        <v>161</v>
      </c>
      <c r="E9" s="215">
        <v>43512</v>
      </c>
      <c r="F9" s="148" t="s">
        <v>160</v>
      </c>
      <c r="G9" s="149">
        <v>15</v>
      </c>
      <c r="H9" s="150">
        <f>I9/G9</f>
        <v>300.60000000000002</v>
      </c>
      <c r="I9" s="151">
        <v>4509</v>
      </c>
      <c r="J9" s="152">
        <v>0</v>
      </c>
      <c r="K9" s="153">
        <f>SUM(I9:J9)</f>
        <v>4509</v>
      </c>
      <c r="L9" s="154">
        <f>IF(I9/15&lt;=SMG,0,J9/2)</f>
        <v>0</v>
      </c>
      <c r="M9" s="154">
        <f t="shared" ref="M9:M10" si="0">I9+L9</f>
        <v>4509</v>
      </c>
      <c r="N9" s="154">
        <f>VLOOKUP(M9,Tarifa1,1)</f>
        <v>3124.36</v>
      </c>
      <c r="O9" s="154">
        <f t="shared" ref="O9:O10" si="1">M9-N9</f>
        <v>1384.6399999999999</v>
      </c>
      <c r="P9" s="155">
        <f>VLOOKUP(M9,Tarifa1,3)</f>
        <v>0.10879999999999999</v>
      </c>
      <c r="Q9" s="154">
        <f t="shared" ref="Q9:Q10" si="2">O9*P9</f>
        <v>150.64883199999997</v>
      </c>
      <c r="R9" s="156">
        <f>VLOOKUP(M9,Tarifa1,2)</f>
        <v>183.45</v>
      </c>
      <c r="S9" s="154">
        <f t="shared" ref="S9:S10" si="3">Q9+R9</f>
        <v>334.09883199999996</v>
      </c>
      <c r="T9" s="154">
        <f>VLOOKUP(M9,Credito1,2)</f>
        <v>0</v>
      </c>
      <c r="U9" s="154">
        <f t="shared" ref="U9:U10" si="4">ROUND(S9-T9,2)</f>
        <v>334.1</v>
      </c>
      <c r="V9" s="153">
        <f t="shared" ref="V9:V10" si="5">-IF(U9&gt;0,0,U9)</f>
        <v>0</v>
      </c>
      <c r="W9" s="153">
        <f>IF(I9/15&lt;=SMG,0,IF(U9&lt;0,0,U9))</f>
        <v>334.1</v>
      </c>
      <c r="X9" s="157">
        <v>0</v>
      </c>
      <c r="Y9" s="153">
        <f>SUM(W9:X9)</f>
        <v>334.1</v>
      </c>
      <c r="Z9" s="153">
        <f>K9+V9-Y9</f>
        <v>4174.8999999999996</v>
      </c>
      <c r="AA9" s="87"/>
    </row>
    <row r="10" spans="1:27" s="4" customFormat="1" ht="77.25" customHeight="1" x14ac:dyDescent="0.35">
      <c r="A10" s="43"/>
      <c r="B10" s="146" t="s">
        <v>101</v>
      </c>
      <c r="C10" s="146" t="s">
        <v>110</v>
      </c>
      <c r="D10" s="210" t="s">
        <v>70</v>
      </c>
      <c r="E10" s="215">
        <v>39448</v>
      </c>
      <c r="F10" s="148" t="s">
        <v>71</v>
      </c>
      <c r="G10" s="149">
        <v>15</v>
      </c>
      <c r="H10" s="150">
        <f>I10/G10</f>
        <v>300.60000000000002</v>
      </c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si="0"/>
        <v>4509</v>
      </c>
      <c r="N10" s="154">
        <f>VLOOKUP(M10,Tarifa1,1)</f>
        <v>3124.36</v>
      </c>
      <c r="O10" s="154">
        <f t="shared" si="1"/>
        <v>1384.6399999999999</v>
      </c>
      <c r="P10" s="155">
        <f>VLOOKUP(M10,Tarifa1,3)</f>
        <v>0.10879999999999999</v>
      </c>
      <c r="Q10" s="154">
        <f t="shared" si="2"/>
        <v>150.64883199999997</v>
      </c>
      <c r="R10" s="156">
        <f>VLOOKUP(M10,Tarifa1,2)</f>
        <v>183.45</v>
      </c>
      <c r="S10" s="154">
        <f t="shared" si="3"/>
        <v>334.09883199999996</v>
      </c>
      <c r="T10" s="154">
        <f>VLOOKUP(M10,Credito1,2)</f>
        <v>0</v>
      </c>
      <c r="U10" s="154">
        <f t="shared" si="4"/>
        <v>334.1</v>
      </c>
      <c r="V10" s="153">
        <f t="shared" si="5"/>
        <v>0</v>
      </c>
      <c r="W10" s="153">
        <f>IF(I10/15&lt;=SMG,0,IF(U10&lt;0,0,U10))</f>
        <v>334.1</v>
      </c>
      <c r="X10" s="157">
        <v>0</v>
      </c>
      <c r="Y10" s="153">
        <f>SUM(W10:X10)</f>
        <v>334.1</v>
      </c>
      <c r="Z10" s="153">
        <f>K10+V10-Y10</f>
        <v>4174.8999999999996</v>
      </c>
      <c r="AA10" s="87"/>
    </row>
    <row r="11" spans="1:27" s="4" customFormat="1" ht="77.25" customHeight="1" x14ac:dyDescent="0.35">
      <c r="A11" s="43"/>
      <c r="B11" s="146" t="s">
        <v>249</v>
      </c>
      <c r="C11" s="146" t="s">
        <v>110</v>
      </c>
      <c r="D11" s="210" t="s">
        <v>252</v>
      </c>
      <c r="E11" s="221">
        <v>44743</v>
      </c>
      <c r="F11" s="148" t="s">
        <v>160</v>
      </c>
      <c r="G11" s="149">
        <v>15</v>
      </c>
      <c r="H11" s="150"/>
      <c r="I11" s="151">
        <v>4624.5</v>
      </c>
      <c r="J11" s="152">
        <v>0</v>
      </c>
      <c r="K11" s="153">
        <f>SUM(I11:J11)</f>
        <v>4624.5</v>
      </c>
      <c r="L11" s="154">
        <f>IF(I11/15&lt;=SMG,0,J11/2)</f>
        <v>0</v>
      </c>
      <c r="M11" s="154">
        <f t="shared" ref="M11:M20" si="6">I11+L11</f>
        <v>4624.5</v>
      </c>
      <c r="N11" s="154">
        <f>VLOOKUP(M11,Tarifa1,1)</f>
        <v>3124.36</v>
      </c>
      <c r="O11" s="154">
        <f t="shared" ref="O11:O20" si="7">M11-N11</f>
        <v>1500.1399999999999</v>
      </c>
      <c r="P11" s="155">
        <f>VLOOKUP(M11,Tarifa1,3)</f>
        <v>0.10879999999999999</v>
      </c>
      <c r="Q11" s="154">
        <f t="shared" ref="Q11:Q20" si="8">O11*P11</f>
        <v>163.21523199999999</v>
      </c>
      <c r="R11" s="156">
        <f>VLOOKUP(M11,Tarifa1,2)</f>
        <v>183.45</v>
      </c>
      <c r="S11" s="154">
        <f t="shared" ref="S11:S20" si="9">Q11+R11</f>
        <v>346.66523199999995</v>
      </c>
      <c r="T11" s="154">
        <f>VLOOKUP(M11,Credito1,2)</f>
        <v>0</v>
      </c>
      <c r="U11" s="154">
        <f t="shared" ref="U11:U20" si="10">ROUND(S11-T11,2)</f>
        <v>346.67</v>
      </c>
      <c r="V11" s="153">
        <f t="shared" ref="V11:V20" si="11">-IF(U11&gt;0,0,U11)</f>
        <v>0</v>
      </c>
      <c r="W11" s="153">
        <f>IF(I11/15&lt;=SMG,0,IF(U11&lt;0,0,U11))</f>
        <v>346.67</v>
      </c>
      <c r="X11" s="157">
        <v>0</v>
      </c>
      <c r="Y11" s="153">
        <f>SUM(W11:X11)</f>
        <v>346.67</v>
      </c>
      <c r="Z11" s="153">
        <f>K11+V11-Y11</f>
        <v>4277.83</v>
      </c>
      <c r="AA11" s="87"/>
    </row>
    <row r="12" spans="1:27" s="4" customFormat="1" ht="77.25" customHeight="1" x14ac:dyDescent="0.35">
      <c r="A12" s="43"/>
      <c r="B12" s="146" t="s">
        <v>126</v>
      </c>
      <c r="C12" s="146" t="s">
        <v>110</v>
      </c>
      <c r="D12" s="212" t="s">
        <v>125</v>
      </c>
      <c r="E12" s="219">
        <v>42948</v>
      </c>
      <c r="F12" s="148" t="s">
        <v>285</v>
      </c>
      <c r="G12" s="149">
        <v>15</v>
      </c>
      <c r="H12" s="150">
        <f>I12/G12</f>
        <v>357.8</v>
      </c>
      <c r="I12" s="151">
        <v>5367</v>
      </c>
      <c r="J12" s="152">
        <v>0</v>
      </c>
      <c r="K12" s="153">
        <f t="shared" ref="K12" si="12">SUM(I12:J12)</f>
        <v>5367</v>
      </c>
      <c r="L12" s="154">
        <f t="shared" ref="L12" si="13">IF(I12/15&lt;=SMG,0,J12/2)</f>
        <v>0</v>
      </c>
      <c r="M12" s="154">
        <f t="shared" si="6"/>
        <v>5367</v>
      </c>
      <c r="N12" s="154">
        <f t="shared" ref="N12" si="14">VLOOKUP(M12,Tarifa1,1)</f>
        <v>3124.36</v>
      </c>
      <c r="O12" s="154">
        <f t="shared" si="7"/>
        <v>2242.64</v>
      </c>
      <c r="P12" s="155">
        <f t="shared" ref="P12" si="15">VLOOKUP(M12,Tarifa1,3)</f>
        <v>0.10879999999999999</v>
      </c>
      <c r="Q12" s="154">
        <f t="shared" si="8"/>
        <v>243.99923199999998</v>
      </c>
      <c r="R12" s="156">
        <f t="shared" ref="R12" si="16">VLOOKUP(M12,Tarifa1,2)</f>
        <v>183.45</v>
      </c>
      <c r="S12" s="154">
        <f t="shared" si="9"/>
        <v>427.44923199999994</v>
      </c>
      <c r="T12" s="154">
        <f t="shared" ref="T12" si="17">VLOOKUP(M12,Credito1,2)</f>
        <v>0</v>
      </c>
      <c r="U12" s="154">
        <f t="shared" si="10"/>
        <v>427.45</v>
      </c>
      <c r="V12" s="153">
        <f t="shared" si="11"/>
        <v>0</v>
      </c>
      <c r="W12" s="153">
        <f t="shared" ref="W12" si="18">IF(I12/15&lt;=SMG,0,IF(U12&lt;0,0,U12))</f>
        <v>427.45</v>
      </c>
      <c r="X12" s="157">
        <v>0</v>
      </c>
      <c r="Y12" s="153">
        <f t="shared" ref="Y12" si="19">SUM(W12:X12)</f>
        <v>427.45</v>
      </c>
      <c r="Z12" s="153">
        <f t="shared" ref="Z12" si="20">K12+V12-Y12</f>
        <v>4939.55</v>
      </c>
      <c r="AA12" s="87"/>
    </row>
    <row r="13" spans="1:27" s="4" customFormat="1" ht="77.25" customHeight="1" x14ac:dyDescent="0.35">
      <c r="A13" s="43"/>
      <c r="B13" s="146" t="s">
        <v>295</v>
      </c>
      <c r="C13" s="146" t="s">
        <v>110</v>
      </c>
      <c r="D13" s="212" t="s">
        <v>296</v>
      </c>
      <c r="E13" s="219">
        <v>45078</v>
      </c>
      <c r="F13" s="148" t="s">
        <v>100</v>
      </c>
      <c r="G13" s="149"/>
      <c r="H13" s="150"/>
      <c r="I13" s="151">
        <v>4153.5</v>
      </c>
      <c r="J13" s="152">
        <v>0</v>
      </c>
      <c r="K13" s="153">
        <f t="shared" ref="K13" si="21">SUM(I13:J13)</f>
        <v>4153.5</v>
      </c>
      <c r="L13" s="154">
        <f t="shared" ref="L13" si="22">IF(I13/15&lt;=SMG,0,J13/2)</f>
        <v>0</v>
      </c>
      <c r="M13" s="154">
        <f t="shared" ref="M13:M14" si="23">I13+L13</f>
        <v>4153.5</v>
      </c>
      <c r="N13" s="154">
        <f t="shared" ref="N13" si="24">VLOOKUP(M13,Tarifa1,1)</f>
        <v>3124.36</v>
      </c>
      <c r="O13" s="154">
        <f t="shared" ref="O13:O14" si="25">M13-N13</f>
        <v>1029.1399999999999</v>
      </c>
      <c r="P13" s="155">
        <f t="shared" ref="P13" si="26">VLOOKUP(M13,Tarifa1,3)</f>
        <v>0.10879999999999999</v>
      </c>
      <c r="Q13" s="154">
        <f t="shared" ref="Q13:Q14" si="27">O13*P13</f>
        <v>111.97043199999997</v>
      </c>
      <c r="R13" s="156">
        <f t="shared" ref="R13" si="28">VLOOKUP(M13,Tarifa1,2)</f>
        <v>183.45</v>
      </c>
      <c r="S13" s="154">
        <f t="shared" ref="S13:S14" si="29">Q13+R13</f>
        <v>295.42043199999995</v>
      </c>
      <c r="T13" s="154">
        <f t="shared" ref="T13" si="30">VLOOKUP(M13,Credito1,2)</f>
        <v>0</v>
      </c>
      <c r="U13" s="154">
        <f t="shared" ref="U13:U14" si="31">ROUND(S13-T13,2)</f>
        <v>295.42</v>
      </c>
      <c r="V13" s="153">
        <f t="shared" ref="V13:V14" si="32">-IF(U13&gt;0,0,U13)</f>
        <v>0</v>
      </c>
      <c r="W13" s="153">
        <f t="shared" ref="W13" si="33">IF(I13/15&lt;=SMG,0,IF(U13&lt;0,0,U13))</f>
        <v>295.42</v>
      </c>
      <c r="X13" s="157">
        <v>0</v>
      </c>
      <c r="Y13" s="153">
        <f t="shared" ref="Y13" si="34">SUM(W13:X13)</f>
        <v>295.42</v>
      </c>
      <c r="Z13" s="153">
        <f t="shared" ref="Z13" si="35">K13+V13-Y13</f>
        <v>3858.08</v>
      </c>
      <c r="AA13" s="87"/>
    </row>
    <row r="14" spans="1:27" s="4" customFormat="1" ht="77.25" customHeight="1" x14ac:dyDescent="0.35">
      <c r="A14" s="43"/>
      <c r="B14" s="146" t="s">
        <v>175</v>
      </c>
      <c r="C14" s="146" t="s">
        <v>110</v>
      </c>
      <c r="D14" s="212" t="s">
        <v>176</v>
      </c>
      <c r="E14" s="219">
        <v>43709</v>
      </c>
      <c r="F14" s="148" t="s">
        <v>227</v>
      </c>
      <c r="G14" s="149">
        <v>15</v>
      </c>
      <c r="H14" s="150"/>
      <c r="I14" s="151">
        <v>4005.5</v>
      </c>
      <c r="J14" s="152">
        <v>0</v>
      </c>
      <c r="K14" s="153">
        <f>SUM(I14:J14)</f>
        <v>4005.5</v>
      </c>
      <c r="L14" s="154">
        <f>IF(I14/15&lt;=SMG,0,J14/2)</f>
        <v>0</v>
      </c>
      <c r="M14" s="154">
        <f t="shared" si="23"/>
        <v>4005.5</v>
      </c>
      <c r="N14" s="154">
        <f>VLOOKUP(M14,Tarifa1,1)</f>
        <v>3124.36</v>
      </c>
      <c r="O14" s="154">
        <f t="shared" si="25"/>
        <v>881.13999999999987</v>
      </c>
      <c r="P14" s="155">
        <f>VLOOKUP(M14,Tarifa1,3)</f>
        <v>0.10879999999999999</v>
      </c>
      <c r="Q14" s="154">
        <f t="shared" si="27"/>
        <v>95.868031999999985</v>
      </c>
      <c r="R14" s="156">
        <f>VLOOKUP(M14,Tarifa1,2)</f>
        <v>183.45</v>
      </c>
      <c r="S14" s="154">
        <f t="shared" si="29"/>
        <v>279.31803199999996</v>
      </c>
      <c r="T14" s="154">
        <f>VLOOKUP(M14,Credito1,2)</f>
        <v>0</v>
      </c>
      <c r="U14" s="154">
        <f t="shared" si="31"/>
        <v>279.32</v>
      </c>
      <c r="V14" s="153">
        <f t="shared" si="32"/>
        <v>0</v>
      </c>
      <c r="W14" s="153">
        <f>IF(I14/15&lt;=SMG,0,IF(U14&lt;0,0,U14))</f>
        <v>279.32</v>
      </c>
      <c r="X14" s="157">
        <v>0</v>
      </c>
      <c r="Y14" s="153">
        <f>SUM(W14:X14)</f>
        <v>279.32</v>
      </c>
      <c r="Z14" s="153">
        <f>K14+V14-Y14</f>
        <v>3726.18</v>
      </c>
      <c r="AA14" s="87"/>
    </row>
    <row r="15" spans="1:27" s="4" customFormat="1" ht="77.25" customHeight="1" x14ac:dyDescent="0.35">
      <c r="A15" s="43"/>
      <c r="B15" s="146" t="s">
        <v>305</v>
      </c>
      <c r="C15" s="146" t="s">
        <v>110</v>
      </c>
      <c r="D15" s="212" t="s">
        <v>304</v>
      </c>
      <c r="E15" s="219">
        <v>45123</v>
      </c>
      <c r="F15" s="148" t="s">
        <v>303</v>
      </c>
      <c r="G15" s="149">
        <v>15</v>
      </c>
      <c r="H15" s="150"/>
      <c r="I15" s="151">
        <v>4442.5</v>
      </c>
      <c r="J15" s="152">
        <v>0</v>
      </c>
      <c r="K15" s="153">
        <f>SUM(I15:J15)</f>
        <v>4442.5</v>
      </c>
      <c r="L15" s="154">
        <f t="shared" ref="L15" si="36">IF(I15/15&lt;=SMG,0,J15/2)</f>
        <v>0</v>
      </c>
      <c r="M15" s="154">
        <f t="shared" si="6"/>
        <v>4442.5</v>
      </c>
      <c r="N15" s="154">
        <f t="shared" ref="N15:N20" si="37">VLOOKUP(M15,Tarifa1,1)</f>
        <v>3124.36</v>
      </c>
      <c r="O15" s="154">
        <f t="shared" si="7"/>
        <v>1318.1399999999999</v>
      </c>
      <c r="P15" s="155">
        <f t="shared" ref="P15:P20" si="38">VLOOKUP(M15,Tarifa1,3)</f>
        <v>0.10879999999999999</v>
      </c>
      <c r="Q15" s="154">
        <f t="shared" si="8"/>
        <v>143.41363199999998</v>
      </c>
      <c r="R15" s="156">
        <f t="shared" ref="R15:R20" si="39">VLOOKUP(M15,Tarifa1,2)</f>
        <v>183.45</v>
      </c>
      <c r="S15" s="154">
        <f t="shared" si="9"/>
        <v>326.86363199999994</v>
      </c>
      <c r="T15" s="154">
        <f t="shared" ref="T15:T20" si="40">VLOOKUP(M15,Credito1,2)</f>
        <v>0</v>
      </c>
      <c r="U15" s="154">
        <f t="shared" si="10"/>
        <v>326.86</v>
      </c>
      <c r="V15" s="153">
        <f t="shared" si="11"/>
        <v>0</v>
      </c>
      <c r="W15" s="153">
        <f t="shared" ref="W15:W20" si="41">IF(I15/15&lt;=SMG,0,IF(U15&lt;0,0,U15))</f>
        <v>326.86</v>
      </c>
      <c r="X15" s="157">
        <v>0</v>
      </c>
      <c r="Y15" s="153">
        <f>SUM(W15:X15)</f>
        <v>326.86</v>
      </c>
      <c r="Z15" s="153">
        <f>K15+V15-Y15</f>
        <v>4115.6400000000003</v>
      </c>
      <c r="AA15" s="87"/>
    </row>
    <row r="16" spans="1:27" s="4" customFormat="1" ht="77.25" customHeight="1" x14ac:dyDescent="0.35">
      <c r="A16" s="43"/>
      <c r="B16" s="146" t="s">
        <v>266</v>
      </c>
      <c r="C16" s="146" t="s">
        <v>110</v>
      </c>
      <c r="D16" s="212" t="s">
        <v>267</v>
      </c>
      <c r="E16" s="219">
        <v>44973</v>
      </c>
      <c r="F16" s="148" t="s">
        <v>268</v>
      </c>
      <c r="G16" s="149"/>
      <c r="H16" s="150"/>
      <c r="I16" s="151">
        <v>3505</v>
      </c>
      <c r="J16" s="152">
        <v>0</v>
      </c>
      <c r="K16" s="153">
        <f t="shared" ref="K16" si="42">SUM(I16:J16)</f>
        <v>3505</v>
      </c>
      <c r="L16" s="154">
        <f t="shared" ref="L16" si="43">IF(I16/15&lt;=SMG,0,J16/2)</f>
        <v>0</v>
      </c>
      <c r="M16" s="154">
        <f t="shared" ref="M16:M17" si="44">I16+L16</f>
        <v>3505</v>
      </c>
      <c r="N16" s="154">
        <f t="shared" ref="N16:N17" si="45">VLOOKUP(M16,Tarifa1,1)</f>
        <v>3124.36</v>
      </c>
      <c r="O16" s="154">
        <f t="shared" ref="O16:O17" si="46">M16-N16</f>
        <v>380.63999999999987</v>
      </c>
      <c r="P16" s="155">
        <f t="shared" ref="P16:P17" si="47">VLOOKUP(M16,Tarifa1,3)</f>
        <v>0.10879999999999999</v>
      </c>
      <c r="Q16" s="154">
        <f t="shared" ref="Q16:Q17" si="48">O16*P16</f>
        <v>41.413631999999986</v>
      </c>
      <c r="R16" s="156">
        <f t="shared" ref="R16:R17" si="49">VLOOKUP(M16,Tarifa1,2)</f>
        <v>183.45</v>
      </c>
      <c r="S16" s="154">
        <f t="shared" ref="S16:S17" si="50">Q16+R16</f>
        <v>224.86363199999997</v>
      </c>
      <c r="T16" s="154">
        <f t="shared" ref="T16:T17" si="51">VLOOKUP(M16,Credito1,2)</f>
        <v>125.1</v>
      </c>
      <c r="U16" s="154">
        <f t="shared" ref="U16:U17" si="52">ROUND(S16-T16,2)</f>
        <v>99.76</v>
      </c>
      <c r="V16" s="153">
        <f t="shared" ref="V16:V17" si="53">-IF(U16&gt;0,0,U16)</f>
        <v>0</v>
      </c>
      <c r="W16" s="153">
        <f t="shared" ref="W16:W17" si="54">IF(I16/15&lt;=SMG,0,IF(U16&lt;0,0,U16))</f>
        <v>0</v>
      </c>
      <c r="X16" s="157">
        <v>0</v>
      </c>
      <c r="Y16" s="153">
        <f t="shared" ref="Y16" si="55">SUM(W16:X16)</f>
        <v>0</v>
      </c>
      <c r="Z16" s="153">
        <f t="shared" ref="Z16" si="56">K16+V16-Y16</f>
        <v>3505</v>
      </c>
      <c r="AA16" s="87"/>
    </row>
    <row r="17" spans="1:33" s="4" customFormat="1" ht="77.25" customHeight="1" x14ac:dyDescent="0.35">
      <c r="A17" s="43"/>
      <c r="B17" s="146" t="s">
        <v>292</v>
      </c>
      <c r="C17" s="146" t="s">
        <v>110</v>
      </c>
      <c r="D17" s="212" t="s">
        <v>293</v>
      </c>
      <c r="E17" s="219">
        <v>45078</v>
      </c>
      <c r="F17" s="148" t="s">
        <v>294</v>
      </c>
      <c r="G17" s="149"/>
      <c r="H17" s="150"/>
      <c r="I17" s="151">
        <v>3317.5</v>
      </c>
      <c r="J17" s="152">
        <v>0</v>
      </c>
      <c r="K17" s="153">
        <f>SUM(I17:J17)</f>
        <v>3317.5</v>
      </c>
      <c r="L17" s="154">
        <f>IF(I17/15&lt;=SMG,0,J17/2)</f>
        <v>0</v>
      </c>
      <c r="M17" s="154">
        <f t="shared" si="44"/>
        <v>3317.5</v>
      </c>
      <c r="N17" s="154">
        <f t="shared" si="45"/>
        <v>3124.36</v>
      </c>
      <c r="O17" s="154">
        <f t="shared" si="46"/>
        <v>193.13999999999987</v>
      </c>
      <c r="P17" s="155">
        <f t="shared" si="47"/>
        <v>0.10879999999999999</v>
      </c>
      <c r="Q17" s="154">
        <f t="shared" si="48"/>
        <v>21.013631999999983</v>
      </c>
      <c r="R17" s="156">
        <f t="shared" si="49"/>
        <v>183.45</v>
      </c>
      <c r="S17" s="154">
        <f t="shared" si="50"/>
        <v>204.46363199999996</v>
      </c>
      <c r="T17" s="154">
        <f t="shared" si="51"/>
        <v>125.1</v>
      </c>
      <c r="U17" s="154">
        <f t="shared" si="52"/>
        <v>79.36</v>
      </c>
      <c r="V17" s="153">
        <f t="shared" si="53"/>
        <v>0</v>
      </c>
      <c r="W17" s="153">
        <f t="shared" si="54"/>
        <v>0</v>
      </c>
      <c r="X17" s="157">
        <v>0</v>
      </c>
      <c r="Y17" s="153">
        <f>SUM(W17:X17)</f>
        <v>0</v>
      </c>
      <c r="Z17" s="153">
        <f>K17+V17-Y17</f>
        <v>3317.5</v>
      </c>
      <c r="AA17" s="87"/>
    </row>
    <row r="18" spans="1:33" s="4" customFormat="1" ht="77.25" customHeight="1" x14ac:dyDescent="0.35">
      <c r="A18" s="43"/>
      <c r="B18" s="145" t="s">
        <v>199</v>
      </c>
      <c r="C18" s="146" t="s">
        <v>110</v>
      </c>
      <c r="D18" s="210" t="s">
        <v>216</v>
      </c>
      <c r="E18" s="215">
        <v>44470</v>
      </c>
      <c r="F18" s="147" t="s">
        <v>72</v>
      </c>
      <c r="G18" s="149">
        <v>15</v>
      </c>
      <c r="H18" s="150">
        <f>I18/G18</f>
        <v>512.5333333333333</v>
      </c>
      <c r="I18" s="151">
        <v>7688</v>
      </c>
      <c r="J18" s="152">
        <v>0</v>
      </c>
      <c r="K18" s="153">
        <f t="shared" ref="K18" si="57">SUM(I18:J18)</f>
        <v>7688</v>
      </c>
      <c r="L18" s="154">
        <f t="shared" ref="L18" si="58">IF(I18/15&lt;=SMG,0,J18/2)</f>
        <v>0</v>
      </c>
      <c r="M18" s="154">
        <f t="shared" si="6"/>
        <v>7688</v>
      </c>
      <c r="N18" s="154">
        <f t="shared" si="37"/>
        <v>7641.91</v>
      </c>
      <c r="O18" s="154">
        <f t="shared" si="7"/>
        <v>46.090000000000146</v>
      </c>
      <c r="P18" s="155">
        <f t="shared" si="38"/>
        <v>0.21360000000000001</v>
      </c>
      <c r="Q18" s="154">
        <f t="shared" si="8"/>
        <v>9.8448240000000311</v>
      </c>
      <c r="R18" s="156">
        <f t="shared" si="39"/>
        <v>809.25</v>
      </c>
      <c r="S18" s="154">
        <f t="shared" si="9"/>
        <v>819.09482400000002</v>
      </c>
      <c r="T18" s="154">
        <f t="shared" si="40"/>
        <v>0</v>
      </c>
      <c r="U18" s="154">
        <f t="shared" si="10"/>
        <v>819.09</v>
      </c>
      <c r="V18" s="153">
        <f t="shared" si="11"/>
        <v>0</v>
      </c>
      <c r="W18" s="153">
        <f t="shared" si="41"/>
        <v>819.09</v>
      </c>
      <c r="X18" s="157">
        <v>0</v>
      </c>
      <c r="Y18" s="153">
        <f t="shared" ref="Y18" si="59">SUM(W18:X18)</f>
        <v>819.09</v>
      </c>
      <c r="Z18" s="153">
        <f t="shared" ref="Z18" si="60">K18+V18-Y18</f>
        <v>6868.91</v>
      </c>
      <c r="AA18" s="87"/>
    </row>
    <row r="19" spans="1:33" s="4" customFormat="1" ht="77.25" customHeight="1" x14ac:dyDescent="0.35">
      <c r="A19" s="43"/>
      <c r="B19" s="145" t="s">
        <v>310</v>
      </c>
      <c r="C19" s="146" t="s">
        <v>110</v>
      </c>
      <c r="D19" s="210" t="s">
        <v>311</v>
      </c>
      <c r="E19" s="215">
        <v>45173</v>
      </c>
      <c r="F19" s="148" t="s">
        <v>159</v>
      </c>
      <c r="G19" s="149">
        <v>15</v>
      </c>
      <c r="H19" s="150"/>
      <c r="I19" s="151">
        <v>4368</v>
      </c>
      <c r="J19" s="152">
        <v>0</v>
      </c>
      <c r="K19" s="153">
        <f>SUM(I19:J19)</f>
        <v>4368</v>
      </c>
      <c r="L19" s="154">
        <f>IF(I19/15&lt;=SMG,0,J19/2)</f>
        <v>0</v>
      </c>
      <c r="M19" s="154">
        <f t="shared" si="6"/>
        <v>4368</v>
      </c>
      <c r="N19" s="154">
        <f t="shared" ref="N19" si="61">VLOOKUP(M19,Tarifa1,1)</f>
        <v>3124.36</v>
      </c>
      <c r="O19" s="154">
        <f t="shared" si="7"/>
        <v>1243.6399999999999</v>
      </c>
      <c r="P19" s="155">
        <f t="shared" ref="P19" si="62">VLOOKUP(M19,Tarifa1,3)</f>
        <v>0.10879999999999999</v>
      </c>
      <c r="Q19" s="154">
        <f t="shared" si="8"/>
        <v>135.30803199999997</v>
      </c>
      <c r="R19" s="156">
        <f t="shared" ref="R19" si="63">VLOOKUP(M19,Tarifa1,2)</f>
        <v>183.45</v>
      </c>
      <c r="S19" s="154">
        <f t="shared" si="9"/>
        <v>318.75803199999996</v>
      </c>
      <c r="T19" s="154">
        <f t="shared" ref="T19" si="64">VLOOKUP(M19,Credito1,2)</f>
        <v>0</v>
      </c>
      <c r="U19" s="154">
        <f t="shared" si="10"/>
        <v>318.76</v>
      </c>
      <c r="V19" s="153">
        <f t="shared" si="11"/>
        <v>0</v>
      </c>
      <c r="W19" s="153">
        <f t="shared" ref="W19" si="65">IF(I19/15&lt;=SMG,0,IF(U19&lt;0,0,U19))</f>
        <v>318.76</v>
      </c>
      <c r="X19" s="157">
        <v>0</v>
      </c>
      <c r="Y19" s="153">
        <f>SUM(W19:X19)</f>
        <v>318.76</v>
      </c>
      <c r="Z19" s="153">
        <f>K19+V19-Y19</f>
        <v>4049.24</v>
      </c>
      <c r="AA19" s="87"/>
    </row>
    <row r="20" spans="1:33" s="4" customFormat="1" ht="77.25" customHeight="1" x14ac:dyDescent="0.35">
      <c r="A20" s="110"/>
      <c r="B20" s="145" t="s">
        <v>179</v>
      </c>
      <c r="C20" s="146" t="s">
        <v>110</v>
      </c>
      <c r="D20" s="210" t="s">
        <v>81</v>
      </c>
      <c r="E20" s="215">
        <v>41410</v>
      </c>
      <c r="F20" s="148" t="s">
        <v>171</v>
      </c>
      <c r="G20" s="149">
        <v>15</v>
      </c>
      <c r="H20" s="150">
        <f>I20/G20</f>
        <v>221.16666666666666</v>
      </c>
      <c r="I20" s="151">
        <v>3317.5</v>
      </c>
      <c r="J20" s="152">
        <v>0</v>
      </c>
      <c r="K20" s="153">
        <f>SUM(I20:J20)</f>
        <v>3317.5</v>
      </c>
      <c r="L20" s="154">
        <f>IF(I20/15&lt;=SMG,0,J20/2)</f>
        <v>0</v>
      </c>
      <c r="M20" s="154">
        <f t="shared" si="6"/>
        <v>3317.5</v>
      </c>
      <c r="N20" s="154">
        <f t="shared" si="37"/>
        <v>3124.36</v>
      </c>
      <c r="O20" s="154">
        <f t="shared" si="7"/>
        <v>193.13999999999987</v>
      </c>
      <c r="P20" s="155">
        <f t="shared" si="38"/>
        <v>0.10879999999999999</v>
      </c>
      <c r="Q20" s="154">
        <f t="shared" si="8"/>
        <v>21.013631999999983</v>
      </c>
      <c r="R20" s="156">
        <f t="shared" si="39"/>
        <v>183.45</v>
      </c>
      <c r="S20" s="154">
        <f t="shared" si="9"/>
        <v>204.46363199999996</v>
      </c>
      <c r="T20" s="154">
        <f t="shared" si="40"/>
        <v>125.1</v>
      </c>
      <c r="U20" s="154">
        <f t="shared" si="10"/>
        <v>79.36</v>
      </c>
      <c r="V20" s="153">
        <f t="shared" si="11"/>
        <v>0</v>
      </c>
      <c r="W20" s="153">
        <f t="shared" si="41"/>
        <v>0</v>
      </c>
      <c r="X20" s="157">
        <v>0</v>
      </c>
      <c r="Y20" s="153">
        <f>SUM(W20:X20)</f>
        <v>0</v>
      </c>
      <c r="Z20" s="153">
        <f>K20+V20-Y20</f>
        <v>3317.5</v>
      </c>
      <c r="AA20" s="87"/>
      <c r="AB20" s="85"/>
    </row>
    <row r="21" spans="1:33" s="4" customFormat="1" ht="52.5" customHeight="1" x14ac:dyDescent="0.3">
      <c r="A21" s="110"/>
      <c r="B21" s="134"/>
      <c r="C21" s="110"/>
      <c r="D21" s="141"/>
      <c r="E21" s="141"/>
      <c r="F21" s="141"/>
      <c r="G21" s="135"/>
      <c r="H21" s="136"/>
      <c r="I21" s="137"/>
      <c r="J21" s="138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B21" s="85"/>
    </row>
    <row r="22" spans="1:33" s="4" customFormat="1" ht="27.75" customHeight="1" x14ac:dyDescent="0.3">
      <c r="A22" s="110"/>
      <c r="B22" s="134"/>
      <c r="C22" s="110"/>
      <c r="D22" s="141"/>
      <c r="E22" s="141"/>
      <c r="F22" s="141"/>
      <c r="G22" s="135"/>
      <c r="H22" s="136"/>
      <c r="I22" s="137"/>
      <c r="J22" s="138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B22" s="85"/>
    </row>
    <row r="23" spans="1:33" s="4" customFormat="1" ht="24" customHeight="1" x14ac:dyDescent="0.3">
      <c r="A23" s="110"/>
      <c r="B23" s="293" t="s">
        <v>78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</row>
    <row r="24" spans="1:33" s="4" customFormat="1" ht="24" customHeight="1" x14ac:dyDescent="0.3">
      <c r="A24" s="110"/>
      <c r="B24" s="293" t="s">
        <v>64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</row>
    <row r="25" spans="1:33" s="4" customFormat="1" ht="25.5" customHeight="1" x14ac:dyDescent="0.3">
      <c r="A25" s="110"/>
      <c r="B25" s="284" t="s">
        <v>342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</row>
    <row r="26" spans="1:33" s="4" customFormat="1" ht="25.5" customHeight="1" x14ac:dyDescent="0.3">
      <c r="A26" s="11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</row>
    <row r="27" spans="1:33" s="4" customFormat="1" ht="57.75" customHeight="1" x14ac:dyDescent="0.3">
      <c r="A27" s="110"/>
      <c r="B27" s="113" t="s">
        <v>99</v>
      </c>
      <c r="C27" s="113" t="s">
        <v>118</v>
      </c>
      <c r="D27" s="114" t="s">
        <v>69</v>
      </c>
      <c r="E27" s="133" t="s">
        <v>276</v>
      </c>
      <c r="F27" s="114" t="s">
        <v>61</v>
      </c>
      <c r="G27" s="114"/>
      <c r="H27" s="114"/>
      <c r="I27" s="115">
        <f>SUM(I28:I29)</f>
        <v>7455</v>
      </c>
      <c r="J27" s="115">
        <f>SUM(J28:J29)</f>
        <v>0</v>
      </c>
      <c r="K27" s="115">
        <f>SUM(K28:K29)</f>
        <v>7455</v>
      </c>
      <c r="L27" s="114"/>
      <c r="M27" s="114"/>
      <c r="N27" s="114"/>
      <c r="O27" s="114"/>
      <c r="P27" s="114"/>
      <c r="Q27" s="114"/>
      <c r="R27" s="116"/>
      <c r="S27" s="114"/>
      <c r="T27" s="114"/>
      <c r="U27" s="114"/>
      <c r="V27" s="115">
        <f>SUM(V28:V29)</f>
        <v>0</v>
      </c>
      <c r="W27" s="115">
        <f>SUM(W28:W29)</f>
        <v>0</v>
      </c>
      <c r="X27" s="115">
        <f>SUM(X28:X29)</f>
        <v>0</v>
      </c>
      <c r="Y27" s="115">
        <f>SUM(Y28:Y29)</f>
        <v>0</v>
      </c>
      <c r="Z27" s="115">
        <f>SUM(Z28:Z29)</f>
        <v>7455</v>
      </c>
      <c r="AA27" s="96"/>
      <c r="AB27" s="190"/>
    </row>
    <row r="28" spans="1:33" s="4" customFormat="1" ht="99.75" customHeight="1" x14ac:dyDescent="0.35">
      <c r="A28" s="110"/>
      <c r="B28" s="145" t="s">
        <v>200</v>
      </c>
      <c r="C28" s="146" t="s">
        <v>110</v>
      </c>
      <c r="D28" s="210" t="s">
        <v>212</v>
      </c>
      <c r="E28" s="215">
        <v>44470</v>
      </c>
      <c r="F28" s="148" t="s">
        <v>134</v>
      </c>
      <c r="G28" s="149">
        <v>15</v>
      </c>
      <c r="H28" s="150"/>
      <c r="I28" s="151">
        <v>3727.5</v>
      </c>
      <c r="J28" s="152">
        <v>0</v>
      </c>
      <c r="K28" s="153">
        <f t="shared" ref="K28" si="66">SUM(I28:J28)</f>
        <v>3727.5</v>
      </c>
      <c r="L28" s="154">
        <f t="shared" ref="L28" si="67">IF(I28/15&lt;=SMG,0,J28/2)</f>
        <v>0</v>
      </c>
      <c r="M28" s="154">
        <f t="shared" ref="M28:M29" si="68">I28+L28</f>
        <v>3727.5</v>
      </c>
      <c r="N28" s="154">
        <f t="shared" ref="N28:N29" si="69">VLOOKUP(M28,Tarifa1,1)</f>
        <v>3124.36</v>
      </c>
      <c r="O28" s="154">
        <f t="shared" ref="O28:O29" si="70">M28-N28</f>
        <v>603.13999999999987</v>
      </c>
      <c r="P28" s="155">
        <f t="shared" ref="P28:P29" si="71">VLOOKUP(M28,Tarifa1,3)</f>
        <v>0.10879999999999999</v>
      </c>
      <c r="Q28" s="154">
        <f t="shared" ref="Q28:Q29" si="72">O28*P28</f>
        <v>65.621631999999977</v>
      </c>
      <c r="R28" s="156">
        <f t="shared" ref="R28:R29" si="73">VLOOKUP(M28,Tarifa1,2)</f>
        <v>183.45</v>
      </c>
      <c r="S28" s="154">
        <f t="shared" ref="S28:S29" si="74">Q28+R28</f>
        <v>249.07163199999997</v>
      </c>
      <c r="T28" s="154">
        <f t="shared" ref="T28:T29" si="75">VLOOKUP(M28,Credito1,2)</f>
        <v>0</v>
      </c>
      <c r="U28" s="154">
        <f t="shared" ref="U28:U29" si="76">ROUND(S28-T28,2)</f>
        <v>249.07</v>
      </c>
      <c r="V28" s="153">
        <f t="shared" ref="V28:V29" si="77">-IF(U28&gt;0,0,U28)</f>
        <v>0</v>
      </c>
      <c r="W28" s="153">
        <f t="shared" ref="W28:W29" si="78">IF(I28/15&lt;=SMG,0,IF(U28&lt;0,0,U28))</f>
        <v>0</v>
      </c>
      <c r="X28" s="157">
        <v>0</v>
      </c>
      <c r="Y28" s="153">
        <f t="shared" ref="Y28" si="79">SUM(W28:X28)</f>
        <v>0</v>
      </c>
      <c r="Z28" s="153">
        <f t="shared" ref="Z28" si="80">K28+V28-Y28</f>
        <v>3727.5</v>
      </c>
      <c r="AA28" s="87"/>
      <c r="AB28" s="85"/>
    </row>
    <row r="29" spans="1:33" s="4" customFormat="1" ht="99.75" customHeight="1" x14ac:dyDescent="0.35">
      <c r="A29" s="110"/>
      <c r="B29" s="145" t="s">
        <v>229</v>
      </c>
      <c r="C29" s="146" t="s">
        <v>110</v>
      </c>
      <c r="D29" s="210" t="s">
        <v>214</v>
      </c>
      <c r="E29" s="215">
        <v>44473</v>
      </c>
      <c r="F29" s="148" t="s">
        <v>134</v>
      </c>
      <c r="G29" s="149">
        <v>15</v>
      </c>
      <c r="H29" s="150"/>
      <c r="I29" s="151">
        <v>3727.5</v>
      </c>
      <c r="J29" s="152">
        <v>0</v>
      </c>
      <c r="K29" s="153">
        <f>SUM(I29:J29)</f>
        <v>3727.5</v>
      </c>
      <c r="L29" s="154">
        <f>IF(I29/15&lt;=SMG,0,J29/2)</f>
        <v>0</v>
      </c>
      <c r="M29" s="154">
        <f t="shared" si="68"/>
        <v>3727.5</v>
      </c>
      <c r="N29" s="154">
        <f t="shared" si="69"/>
        <v>3124.36</v>
      </c>
      <c r="O29" s="154">
        <f t="shared" si="70"/>
        <v>603.13999999999987</v>
      </c>
      <c r="P29" s="155">
        <f t="shared" si="71"/>
        <v>0.10879999999999999</v>
      </c>
      <c r="Q29" s="154">
        <f t="shared" si="72"/>
        <v>65.621631999999977</v>
      </c>
      <c r="R29" s="156">
        <f t="shared" si="73"/>
        <v>183.45</v>
      </c>
      <c r="S29" s="154">
        <f t="shared" si="74"/>
        <v>249.07163199999997</v>
      </c>
      <c r="T29" s="154">
        <f t="shared" si="75"/>
        <v>0</v>
      </c>
      <c r="U29" s="154">
        <f t="shared" si="76"/>
        <v>249.07</v>
      </c>
      <c r="V29" s="153">
        <f t="shared" si="77"/>
        <v>0</v>
      </c>
      <c r="W29" s="153">
        <f t="shared" si="78"/>
        <v>0</v>
      </c>
      <c r="X29" s="157">
        <v>0</v>
      </c>
      <c r="Y29" s="153">
        <f>SUM(W29:X29)</f>
        <v>0</v>
      </c>
      <c r="Z29" s="153">
        <f>K29+V29-Y29</f>
        <v>3727.5</v>
      </c>
      <c r="AA29" s="87"/>
      <c r="AB29" s="85"/>
    </row>
    <row r="30" spans="1:33" s="4" customFormat="1" ht="57.75" customHeight="1" x14ac:dyDescent="0.3">
      <c r="A30" s="106"/>
      <c r="B30" s="113" t="s">
        <v>99</v>
      </c>
      <c r="C30" s="113" t="s">
        <v>118</v>
      </c>
      <c r="D30" s="114" t="s">
        <v>117</v>
      </c>
      <c r="E30" s="133" t="s">
        <v>276</v>
      </c>
      <c r="F30" s="114" t="s">
        <v>61</v>
      </c>
      <c r="G30" s="114"/>
      <c r="H30" s="114"/>
      <c r="I30" s="115">
        <f>SUM(I31:I33)</f>
        <v>16375.5</v>
      </c>
      <c r="J30" s="115">
        <f>SUM(J31:J33)</f>
        <v>0</v>
      </c>
      <c r="K30" s="115">
        <f>SUM(K31:K33)</f>
        <v>16375.5</v>
      </c>
      <c r="L30" s="114"/>
      <c r="M30" s="114"/>
      <c r="N30" s="114"/>
      <c r="O30" s="114"/>
      <c r="P30" s="114"/>
      <c r="Q30" s="114"/>
      <c r="R30" s="116"/>
      <c r="S30" s="114"/>
      <c r="T30" s="114"/>
      <c r="U30" s="114"/>
      <c r="V30" s="115">
        <f>SUM(V31:V33)</f>
        <v>0</v>
      </c>
      <c r="W30" s="115">
        <f>SUM(W31:W33)</f>
        <v>1361.1</v>
      </c>
      <c r="X30" s="115">
        <f>SUM(X31:X33)</f>
        <v>0</v>
      </c>
      <c r="Y30" s="115">
        <f>SUM(Y31:Y33)</f>
        <v>1361.1</v>
      </c>
      <c r="Z30" s="115">
        <f>SUM(Z31:Z33)</f>
        <v>15014.400000000001</v>
      </c>
      <c r="AA30" s="96"/>
    </row>
    <row r="31" spans="1:33" s="4" customFormat="1" ht="99.75" customHeight="1" x14ac:dyDescent="0.35">
      <c r="A31" s="107" t="s">
        <v>84</v>
      </c>
      <c r="B31" s="145" t="s">
        <v>148</v>
      </c>
      <c r="C31" s="146" t="s">
        <v>110</v>
      </c>
      <c r="D31" s="210" t="s">
        <v>136</v>
      </c>
      <c r="E31" s="215">
        <v>43374</v>
      </c>
      <c r="F31" s="148" t="s">
        <v>135</v>
      </c>
      <c r="G31" s="149">
        <v>15</v>
      </c>
      <c r="H31" s="150">
        <f>I31/G31</f>
        <v>397.76666666666665</v>
      </c>
      <c r="I31" s="151">
        <v>5966.5</v>
      </c>
      <c r="J31" s="152">
        <v>0</v>
      </c>
      <c r="K31" s="151">
        <f>I31</f>
        <v>5966.5</v>
      </c>
      <c r="L31" s="154">
        <f t="shared" ref="L31" si="81">IF(I31/15&lt;=SMG,0,J31/2)</f>
        <v>0</v>
      </c>
      <c r="M31" s="154">
        <f t="shared" ref="M31" si="82">I31+L31</f>
        <v>5966.5</v>
      </c>
      <c r="N31" s="154">
        <f t="shared" ref="N31" si="83">VLOOKUP(M31,Tarifa1,1)</f>
        <v>5490.76</v>
      </c>
      <c r="O31" s="154">
        <f t="shared" ref="O31" si="84">M31-N31</f>
        <v>475.73999999999978</v>
      </c>
      <c r="P31" s="155">
        <f t="shared" ref="P31" si="85">VLOOKUP(M31,Tarifa1,3)</f>
        <v>0.16</v>
      </c>
      <c r="Q31" s="154">
        <f t="shared" ref="Q31" si="86">O31*P31</f>
        <v>76.118399999999966</v>
      </c>
      <c r="R31" s="156">
        <f t="shared" ref="R31" si="87">VLOOKUP(M31,Tarifa1,2)</f>
        <v>441</v>
      </c>
      <c r="S31" s="154">
        <f t="shared" ref="S31" si="88">Q31+R31</f>
        <v>517.11839999999995</v>
      </c>
      <c r="T31" s="154">
        <f t="shared" ref="T31" si="89">VLOOKUP(M31,Credito1,2)</f>
        <v>0</v>
      </c>
      <c r="U31" s="154">
        <f t="shared" ref="U31" si="90">ROUND(S31-T31,2)</f>
        <v>517.12</v>
      </c>
      <c r="V31" s="153">
        <f t="shared" ref="V31" si="91">-IF(U31&gt;0,0,U31)</f>
        <v>0</v>
      </c>
      <c r="W31" s="153">
        <f t="shared" ref="W31" si="92">IF(I31/15&lt;=SMG,0,IF(U31&lt;0,0,U31))</f>
        <v>517.12</v>
      </c>
      <c r="X31" s="157">
        <v>0</v>
      </c>
      <c r="Y31" s="153">
        <f>SUM(W31:X31)</f>
        <v>517.12</v>
      </c>
      <c r="Z31" s="153">
        <f>K31+V31-Y31+J31</f>
        <v>5449.38</v>
      </c>
      <c r="AA31" s="87"/>
      <c r="AG31" s="92"/>
    </row>
    <row r="32" spans="1:33" s="4" customFormat="1" ht="99.75" customHeight="1" x14ac:dyDescent="0.35">
      <c r="A32" s="107"/>
      <c r="B32" s="145" t="s">
        <v>167</v>
      </c>
      <c r="C32" s="146" t="s">
        <v>110</v>
      </c>
      <c r="D32" s="210" t="s">
        <v>157</v>
      </c>
      <c r="E32" s="215">
        <v>43512</v>
      </c>
      <c r="F32" s="148" t="s">
        <v>158</v>
      </c>
      <c r="G32" s="149">
        <v>15</v>
      </c>
      <c r="H32" s="150"/>
      <c r="I32" s="151">
        <v>5966.5</v>
      </c>
      <c r="J32" s="152">
        <v>0</v>
      </c>
      <c r="K32" s="151">
        <f>I32</f>
        <v>5966.5</v>
      </c>
      <c r="L32" s="154">
        <f t="shared" ref="L32:L33" si="93">IF(I32/15&lt;=SMG,0,J32/2)</f>
        <v>0</v>
      </c>
      <c r="M32" s="154">
        <f t="shared" ref="M32:M33" si="94">I32+L32</f>
        <v>5966.5</v>
      </c>
      <c r="N32" s="154">
        <f t="shared" ref="N32:N33" si="95">VLOOKUP(M32,Tarifa1,1)</f>
        <v>5490.76</v>
      </c>
      <c r="O32" s="154">
        <f t="shared" ref="O32:O33" si="96">M32-N32</f>
        <v>475.73999999999978</v>
      </c>
      <c r="P32" s="155">
        <f t="shared" ref="P32:P33" si="97">VLOOKUP(M32,Tarifa1,3)</f>
        <v>0.16</v>
      </c>
      <c r="Q32" s="154">
        <f t="shared" ref="Q32:Q33" si="98">O32*P32</f>
        <v>76.118399999999966</v>
      </c>
      <c r="R32" s="156">
        <f t="shared" ref="R32:R33" si="99">VLOOKUP(M32,Tarifa1,2)</f>
        <v>441</v>
      </c>
      <c r="S32" s="154">
        <f t="shared" ref="S32:S33" si="100">Q32+R32</f>
        <v>517.11839999999995</v>
      </c>
      <c r="T32" s="154">
        <f t="shared" ref="T32:T33" si="101">VLOOKUP(M32,Credito1,2)</f>
        <v>0</v>
      </c>
      <c r="U32" s="154">
        <f t="shared" ref="U32:U33" si="102">ROUND(S32-T32,2)</f>
        <v>517.12</v>
      </c>
      <c r="V32" s="153">
        <f t="shared" ref="V32:V33" si="103">-IF(U32&gt;0,0,U32)</f>
        <v>0</v>
      </c>
      <c r="W32" s="153">
        <f t="shared" ref="W32:W33" si="104">IF(I32/15&lt;=SMG,0,IF(U32&lt;0,0,U32))</f>
        <v>517.12</v>
      </c>
      <c r="X32" s="157">
        <v>0</v>
      </c>
      <c r="Y32" s="153">
        <f>SUM(W32:X32)</f>
        <v>517.12</v>
      </c>
      <c r="Z32" s="153">
        <f>K32+V32-Y32+J32</f>
        <v>5449.38</v>
      </c>
      <c r="AA32" s="87"/>
      <c r="AG32" s="92"/>
    </row>
    <row r="33" spans="1:33" s="4" customFormat="1" ht="99.75" customHeight="1" x14ac:dyDescent="0.35">
      <c r="A33" s="107"/>
      <c r="B33" s="145" t="s">
        <v>286</v>
      </c>
      <c r="C33" s="146" t="s">
        <v>110</v>
      </c>
      <c r="D33" s="210" t="s">
        <v>287</v>
      </c>
      <c r="E33" s="215">
        <v>45078</v>
      </c>
      <c r="F33" s="148" t="s">
        <v>158</v>
      </c>
      <c r="G33" s="149">
        <v>15</v>
      </c>
      <c r="H33" s="150"/>
      <c r="I33" s="151">
        <v>4442.5</v>
      </c>
      <c r="J33" s="152">
        <v>0</v>
      </c>
      <c r="K33" s="153">
        <f>SUM(I33:J33)</f>
        <v>4442.5</v>
      </c>
      <c r="L33" s="154">
        <f t="shared" si="93"/>
        <v>0</v>
      </c>
      <c r="M33" s="154">
        <f t="shared" si="94"/>
        <v>4442.5</v>
      </c>
      <c r="N33" s="154">
        <f t="shared" si="95"/>
        <v>3124.36</v>
      </c>
      <c r="O33" s="154">
        <f t="shared" si="96"/>
        <v>1318.1399999999999</v>
      </c>
      <c r="P33" s="155">
        <f t="shared" si="97"/>
        <v>0.10879999999999999</v>
      </c>
      <c r="Q33" s="154">
        <f t="shared" si="98"/>
        <v>143.41363199999998</v>
      </c>
      <c r="R33" s="156">
        <f t="shared" si="99"/>
        <v>183.45</v>
      </c>
      <c r="S33" s="154">
        <f t="shared" si="100"/>
        <v>326.86363199999994</v>
      </c>
      <c r="T33" s="154">
        <f t="shared" si="101"/>
        <v>0</v>
      </c>
      <c r="U33" s="154">
        <f t="shared" si="102"/>
        <v>326.86</v>
      </c>
      <c r="V33" s="153">
        <f t="shared" si="103"/>
        <v>0</v>
      </c>
      <c r="W33" s="153">
        <f t="shared" si="104"/>
        <v>326.86</v>
      </c>
      <c r="X33" s="157">
        <v>0</v>
      </c>
      <c r="Y33" s="153">
        <f>SUM(W33:X33)</f>
        <v>326.86</v>
      </c>
      <c r="Z33" s="153">
        <f>K33+V33-Y33</f>
        <v>4115.6400000000003</v>
      </c>
      <c r="AA33" s="87"/>
      <c r="AG33" s="92"/>
    </row>
    <row r="34" spans="1:33" s="4" customFormat="1" ht="27.75" customHeight="1" x14ac:dyDescent="0.3">
      <c r="A34" s="169"/>
      <c r="B34" s="169"/>
      <c r="C34" s="169"/>
      <c r="D34" s="169"/>
      <c r="E34" s="169"/>
      <c r="F34" s="169"/>
      <c r="G34" s="169"/>
      <c r="H34" s="169"/>
      <c r="I34" s="175"/>
      <c r="J34" s="175"/>
      <c r="K34" s="175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</row>
    <row r="35" spans="1:33" s="4" customFormat="1" ht="75" customHeight="1" thickBot="1" x14ac:dyDescent="0.35">
      <c r="A35" s="280" t="s">
        <v>44</v>
      </c>
      <c r="B35" s="281"/>
      <c r="C35" s="281"/>
      <c r="D35" s="281"/>
      <c r="E35" s="281"/>
      <c r="F35" s="281"/>
      <c r="G35" s="281"/>
      <c r="H35" s="282"/>
      <c r="I35" s="158">
        <f>I8+I30+I27</f>
        <v>77637.5</v>
      </c>
      <c r="J35" s="158">
        <f>J8+J30+J27</f>
        <v>0</v>
      </c>
      <c r="K35" s="158">
        <f>K8+K30+K27</f>
        <v>77637.5</v>
      </c>
      <c r="L35" s="159">
        <f t="shared" ref="L35:U35" si="105">SUM(L9:L34)</f>
        <v>0</v>
      </c>
      <c r="M35" s="159">
        <f t="shared" si="105"/>
        <v>77637.5</v>
      </c>
      <c r="N35" s="159">
        <f t="shared" si="105"/>
        <v>62364.470000000008</v>
      </c>
      <c r="O35" s="159">
        <f t="shared" si="105"/>
        <v>15273.029999999993</v>
      </c>
      <c r="P35" s="159">
        <f t="shared" si="105"/>
        <v>2.0568</v>
      </c>
      <c r="Q35" s="159">
        <f t="shared" si="105"/>
        <v>1715.2516719999996</v>
      </c>
      <c r="R35" s="159">
        <f t="shared" si="105"/>
        <v>4259.5499999999993</v>
      </c>
      <c r="S35" s="159">
        <f t="shared" si="105"/>
        <v>5974.8016719999996</v>
      </c>
      <c r="T35" s="159">
        <f t="shared" si="105"/>
        <v>375.29999999999995</v>
      </c>
      <c r="U35" s="159">
        <f t="shared" si="105"/>
        <v>5599.49</v>
      </c>
      <c r="V35" s="158">
        <f>V8+V30+V27</f>
        <v>0</v>
      </c>
      <c r="W35" s="158">
        <f>W8+W30+W27</f>
        <v>4842.8700000000008</v>
      </c>
      <c r="X35" s="158">
        <f>X8+X30+X27</f>
        <v>0</v>
      </c>
      <c r="Y35" s="158">
        <f>Y8+Y30+Y27</f>
        <v>4842.8700000000008</v>
      </c>
      <c r="Z35" s="158">
        <f>Z8+Z30+Z27</f>
        <v>72794.63</v>
      </c>
    </row>
    <row r="36" spans="1:33" s="4" customFormat="1" ht="18" customHeight="1" thickTop="1" x14ac:dyDescent="0.3">
      <c r="A36" s="142"/>
      <c r="B36" s="142"/>
      <c r="C36" s="142"/>
      <c r="D36" s="142"/>
      <c r="E36" s="142"/>
      <c r="F36" s="142"/>
      <c r="G36" s="142"/>
      <c r="H36" s="142"/>
      <c r="I36" s="143"/>
      <c r="J36" s="143"/>
      <c r="K36" s="143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3"/>
      <c r="W36" s="143"/>
      <c r="X36" s="143"/>
      <c r="Y36" s="143"/>
      <c r="Z36" s="143"/>
    </row>
    <row r="37" spans="1:33" s="4" customFormat="1" ht="18" customHeight="1" x14ac:dyDescent="0.3">
      <c r="A37" s="142"/>
      <c r="B37" s="142"/>
      <c r="C37" s="142"/>
      <c r="D37" s="142"/>
      <c r="E37" s="142"/>
      <c r="F37" s="142"/>
      <c r="G37" s="142"/>
      <c r="H37" s="142"/>
      <c r="I37" s="143"/>
      <c r="J37" s="143"/>
      <c r="K37" s="143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3"/>
      <c r="W37" s="143"/>
      <c r="X37" s="143"/>
      <c r="Y37" s="143"/>
      <c r="Z37" s="143"/>
    </row>
    <row r="38" spans="1:33" s="4" customFormat="1" ht="18" customHeight="1" x14ac:dyDescent="0.3">
      <c r="A38" s="142"/>
      <c r="B38" s="142"/>
      <c r="C38" s="142"/>
      <c r="D38" s="142"/>
      <c r="E38" s="142"/>
      <c r="F38" s="142"/>
      <c r="G38" s="142"/>
      <c r="H38" s="142"/>
      <c r="I38" s="143"/>
      <c r="J38" s="143"/>
      <c r="K38" s="143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3"/>
      <c r="W38" s="143"/>
      <c r="X38" s="143"/>
      <c r="Y38" s="143"/>
      <c r="Z38" s="143"/>
    </row>
    <row r="39" spans="1:33" s="4" customFormat="1" ht="18" customHeight="1" x14ac:dyDescent="0.3">
      <c r="A39" s="142"/>
      <c r="B39" s="142"/>
      <c r="C39" s="142"/>
      <c r="D39" s="142"/>
      <c r="E39" s="142"/>
      <c r="F39" s="142"/>
      <c r="G39" s="142"/>
      <c r="H39" s="142"/>
      <c r="I39" s="143"/>
      <c r="J39" s="143"/>
      <c r="K39" s="143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3"/>
      <c r="W39" s="143"/>
      <c r="X39" s="143"/>
      <c r="Y39" s="143"/>
      <c r="Z39" s="143"/>
    </row>
  </sheetData>
  <mergeCells count="10">
    <mergeCell ref="A35:H35"/>
    <mergeCell ref="A1:AA1"/>
    <mergeCell ref="A2:AA2"/>
    <mergeCell ref="A3:AA3"/>
    <mergeCell ref="I5:K5"/>
    <mergeCell ref="N5:S5"/>
    <mergeCell ref="W5:Y5"/>
    <mergeCell ref="B23:AB23"/>
    <mergeCell ref="B24:AB24"/>
    <mergeCell ref="B25:AB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B35" zoomScale="55" zoomScaleNormal="55" workbookViewId="0">
      <selection activeCell="B43" sqref="A43:XFD50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6.88671875" customWidth="1"/>
    <col min="25" max="25" width="18.44140625" customWidth="1"/>
    <col min="26" max="26" width="17.44140625" customWidth="1"/>
    <col min="27" max="27" width="65.33203125" customWidth="1"/>
    <col min="28" max="28" width="1.33203125" customWidth="1"/>
  </cols>
  <sheetData>
    <row r="1" spans="1:33" ht="19.8" x14ac:dyDescent="0.3">
      <c r="A1" s="283" t="s">
        <v>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</row>
    <row r="2" spans="1:33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</row>
    <row r="3" spans="1:33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33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33" s="51" customFormat="1" ht="21" customHeight="1" x14ac:dyDescent="0.3">
      <c r="A5" s="47"/>
      <c r="B5" s="47"/>
      <c r="C5" s="316" t="s">
        <v>118</v>
      </c>
      <c r="D5" s="47"/>
      <c r="E5" s="47"/>
      <c r="F5" s="47"/>
      <c r="G5" s="48" t="s">
        <v>22</v>
      </c>
      <c r="H5" s="48" t="s">
        <v>5</v>
      </c>
      <c r="I5" s="285" t="s">
        <v>1</v>
      </c>
      <c r="J5" s="286"/>
      <c r="K5" s="287"/>
      <c r="L5" s="119" t="s">
        <v>25</v>
      </c>
      <c r="M5" s="120"/>
      <c r="N5" s="288" t="s">
        <v>8</v>
      </c>
      <c r="O5" s="289"/>
      <c r="P5" s="289"/>
      <c r="Q5" s="289"/>
      <c r="R5" s="289"/>
      <c r="S5" s="290"/>
      <c r="T5" s="119" t="s">
        <v>29</v>
      </c>
      <c r="U5" s="119" t="s">
        <v>9</v>
      </c>
      <c r="V5" s="118" t="s">
        <v>52</v>
      </c>
      <c r="W5" s="291" t="s">
        <v>2</v>
      </c>
      <c r="X5" s="315"/>
      <c r="Y5" s="292"/>
      <c r="Z5" s="118" t="s">
        <v>0</v>
      </c>
      <c r="AA5" s="47"/>
    </row>
    <row r="6" spans="1:33" s="51" customFormat="1" ht="31.2" x14ac:dyDescent="0.3">
      <c r="A6" s="52" t="s">
        <v>20</v>
      </c>
      <c r="B6" s="121" t="s">
        <v>99</v>
      </c>
      <c r="C6" s="317"/>
      <c r="D6" s="122" t="s">
        <v>21</v>
      </c>
      <c r="E6" s="52"/>
      <c r="F6" s="52"/>
      <c r="G6" s="53" t="s">
        <v>23</v>
      </c>
      <c r="H6" s="52" t="s">
        <v>24</v>
      </c>
      <c r="I6" s="118" t="s">
        <v>5</v>
      </c>
      <c r="J6" s="118" t="s">
        <v>58</v>
      </c>
      <c r="K6" s="118" t="s">
        <v>27</v>
      </c>
      <c r="L6" s="123" t="s">
        <v>26</v>
      </c>
      <c r="M6" s="120" t="s">
        <v>31</v>
      </c>
      <c r="N6" s="120" t="s">
        <v>11</v>
      </c>
      <c r="O6" s="120" t="s">
        <v>33</v>
      </c>
      <c r="P6" s="120" t="s">
        <v>35</v>
      </c>
      <c r="Q6" s="120" t="s">
        <v>36</v>
      </c>
      <c r="R6" s="116" t="s">
        <v>13</v>
      </c>
      <c r="S6" s="120" t="s">
        <v>9</v>
      </c>
      <c r="T6" s="123" t="s">
        <v>39</v>
      </c>
      <c r="U6" s="123" t="s">
        <v>40</v>
      </c>
      <c r="V6" s="122" t="s">
        <v>30</v>
      </c>
      <c r="W6" s="118" t="s">
        <v>263</v>
      </c>
      <c r="X6" s="118" t="s">
        <v>56</v>
      </c>
      <c r="Y6" s="118" t="s">
        <v>6</v>
      </c>
      <c r="Z6" s="122" t="s">
        <v>3</v>
      </c>
      <c r="AA6" s="122" t="s">
        <v>57</v>
      </c>
    </row>
    <row r="7" spans="1:33" s="51" customFormat="1" ht="15.6" x14ac:dyDescent="0.3">
      <c r="A7" s="52"/>
      <c r="B7" s="52"/>
      <c r="C7" s="318"/>
      <c r="D7" s="52"/>
      <c r="E7" s="52"/>
      <c r="F7" s="52"/>
      <c r="G7" s="52"/>
      <c r="H7" s="52"/>
      <c r="I7" s="122" t="s">
        <v>46</v>
      </c>
      <c r="J7" s="122" t="s">
        <v>59</v>
      </c>
      <c r="K7" s="122" t="s">
        <v>28</v>
      </c>
      <c r="L7" s="123" t="s">
        <v>42</v>
      </c>
      <c r="M7" s="119" t="s">
        <v>32</v>
      </c>
      <c r="N7" s="119" t="s">
        <v>12</v>
      </c>
      <c r="O7" s="119" t="s">
        <v>34</v>
      </c>
      <c r="P7" s="119" t="s">
        <v>34</v>
      </c>
      <c r="Q7" s="119" t="s">
        <v>37</v>
      </c>
      <c r="R7" s="249" t="s">
        <v>14</v>
      </c>
      <c r="S7" s="119" t="s">
        <v>38</v>
      </c>
      <c r="T7" s="123" t="s">
        <v>18</v>
      </c>
      <c r="U7" s="127" t="s">
        <v>195</v>
      </c>
      <c r="V7" s="122" t="s">
        <v>51</v>
      </c>
      <c r="W7" s="122"/>
      <c r="X7" s="122"/>
      <c r="Y7" s="122" t="s">
        <v>43</v>
      </c>
      <c r="Z7" s="122" t="s">
        <v>4</v>
      </c>
      <c r="AA7" s="56"/>
    </row>
    <row r="8" spans="1:33" s="51" customFormat="1" ht="84.9" customHeight="1" x14ac:dyDescent="0.3">
      <c r="A8" s="37"/>
      <c r="B8" s="189" t="s">
        <v>99</v>
      </c>
      <c r="C8" s="189" t="s">
        <v>118</v>
      </c>
      <c r="D8" s="189" t="s">
        <v>139</v>
      </c>
      <c r="E8" s="189" t="s">
        <v>276</v>
      </c>
      <c r="F8" s="241" t="s">
        <v>61</v>
      </c>
      <c r="G8" s="241"/>
      <c r="H8" s="241"/>
      <c r="I8" s="242">
        <f>SUM(I9:I10)</f>
        <v>12182</v>
      </c>
      <c r="J8" s="242">
        <f t="shared" ref="J8:Z8" si="0">SUM(J9:J10)</f>
        <v>0</v>
      </c>
      <c r="K8" s="242">
        <f t="shared" si="0"/>
        <v>12182</v>
      </c>
      <c r="L8" s="242">
        <f t="shared" si="0"/>
        <v>0</v>
      </c>
      <c r="M8" s="242">
        <f t="shared" si="0"/>
        <v>12182</v>
      </c>
      <c r="N8" s="242">
        <f t="shared" si="0"/>
        <v>9507.17</v>
      </c>
      <c r="O8" s="242">
        <f t="shared" si="0"/>
        <v>2674.8299999999995</v>
      </c>
      <c r="P8" s="242">
        <f t="shared" si="0"/>
        <v>0.28799999999999998</v>
      </c>
      <c r="Q8" s="242">
        <f t="shared" si="0"/>
        <v>350.20607999999993</v>
      </c>
      <c r="R8" s="242">
        <f t="shared" si="0"/>
        <v>767.09999999999991</v>
      </c>
      <c r="S8" s="242">
        <f t="shared" si="0"/>
        <v>1117.3060799999998</v>
      </c>
      <c r="T8" s="242">
        <f t="shared" si="0"/>
        <v>0</v>
      </c>
      <c r="U8" s="242">
        <f t="shared" si="0"/>
        <v>1117.3</v>
      </c>
      <c r="V8" s="242">
        <f t="shared" si="0"/>
        <v>0</v>
      </c>
      <c r="W8" s="242">
        <f t="shared" si="0"/>
        <v>1117.3</v>
      </c>
      <c r="X8" s="242">
        <f t="shared" si="0"/>
        <v>0</v>
      </c>
      <c r="Y8" s="242">
        <f t="shared" si="0"/>
        <v>1117.3</v>
      </c>
      <c r="Z8" s="242">
        <f t="shared" si="0"/>
        <v>11064.7</v>
      </c>
      <c r="AA8" s="97"/>
    </row>
    <row r="9" spans="1:33" s="51" customFormat="1" ht="150" customHeight="1" x14ac:dyDescent="0.35">
      <c r="A9" s="37"/>
      <c r="B9" s="176">
        <v>275</v>
      </c>
      <c r="C9" s="177" t="s">
        <v>110</v>
      </c>
      <c r="D9" s="256" t="s">
        <v>226</v>
      </c>
      <c r="E9" s="220">
        <v>44476</v>
      </c>
      <c r="F9" s="178" t="s">
        <v>327</v>
      </c>
      <c r="G9" s="163">
        <v>15</v>
      </c>
      <c r="H9" s="163"/>
      <c r="I9" s="151">
        <v>7223.5</v>
      </c>
      <c r="J9" s="152">
        <v>0</v>
      </c>
      <c r="K9" s="153">
        <f>SUM(I9:J9)</f>
        <v>7223.5</v>
      </c>
      <c r="L9" s="154">
        <f>IF(I9/15&lt;=SMG,0,J9/2)</f>
        <v>0</v>
      </c>
      <c r="M9" s="154">
        <f>I9+L9</f>
        <v>7223.5</v>
      </c>
      <c r="N9" s="154">
        <f>VLOOKUP(M9,Tarifa1,1)</f>
        <v>6382.81</v>
      </c>
      <c r="O9" s="154">
        <f>M9-N9</f>
        <v>840.6899999999996</v>
      </c>
      <c r="P9" s="155">
        <f>VLOOKUP(M9,Tarifa1,3)</f>
        <v>0.1792</v>
      </c>
      <c r="Q9" s="154">
        <f>O9*P9</f>
        <v>150.65164799999994</v>
      </c>
      <c r="R9" s="156">
        <f>VLOOKUP(M9,Tarifa1,2)</f>
        <v>583.65</v>
      </c>
      <c r="S9" s="154">
        <f>Q9+R9</f>
        <v>734.30164799999989</v>
      </c>
      <c r="T9" s="154">
        <f>VLOOKUP(M9,Credito1,2)</f>
        <v>0</v>
      </c>
      <c r="U9" s="154">
        <f>ROUND(S9-T9,2)</f>
        <v>734.3</v>
      </c>
      <c r="V9" s="153">
        <f>-IF(U9&gt;0,0,U9)</f>
        <v>0</v>
      </c>
      <c r="W9" s="153">
        <f>IF(I9/15&lt;=SMG,0,IF(U9&lt;0,0,U9))</f>
        <v>734.3</v>
      </c>
      <c r="X9" s="157">
        <v>0</v>
      </c>
      <c r="Y9" s="153">
        <f>SUM(W9:X9)</f>
        <v>734.3</v>
      </c>
      <c r="Z9" s="153">
        <f>K9+V9-Y9</f>
        <v>6489.2</v>
      </c>
      <c r="AA9" s="140"/>
    </row>
    <row r="10" spans="1:33" s="51" customFormat="1" ht="150" customHeight="1" x14ac:dyDescent="0.3">
      <c r="A10" s="37"/>
      <c r="B10" s="145" t="s">
        <v>146</v>
      </c>
      <c r="C10" s="146" t="s">
        <v>110</v>
      </c>
      <c r="D10" s="257" t="s">
        <v>132</v>
      </c>
      <c r="E10" s="215">
        <v>43374</v>
      </c>
      <c r="F10" s="148" t="s">
        <v>250</v>
      </c>
      <c r="G10" s="149">
        <v>15</v>
      </c>
      <c r="H10" s="150">
        <v>341.11</v>
      </c>
      <c r="I10" s="151">
        <v>4958.5</v>
      </c>
      <c r="J10" s="152">
        <v>0</v>
      </c>
      <c r="K10" s="153">
        <f>SUM(I10:J10)</f>
        <v>4958.5</v>
      </c>
      <c r="L10" s="154">
        <f>IF(I10/15&lt;=SMG,0,J10/2)</f>
        <v>0</v>
      </c>
      <c r="M10" s="154">
        <f>I10+L10</f>
        <v>4958.5</v>
      </c>
      <c r="N10" s="154">
        <f>VLOOKUP(M10,Tarifa1,1)</f>
        <v>3124.36</v>
      </c>
      <c r="O10" s="154">
        <f>M10-N10</f>
        <v>1834.1399999999999</v>
      </c>
      <c r="P10" s="155">
        <f>VLOOKUP(M10,Tarifa1,3)</f>
        <v>0.10879999999999999</v>
      </c>
      <c r="Q10" s="154">
        <f>O10*P10</f>
        <v>199.55443199999996</v>
      </c>
      <c r="R10" s="156">
        <f>VLOOKUP(M10,Tarifa1,2)</f>
        <v>183.45</v>
      </c>
      <c r="S10" s="154">
        <f>Q10+R10</f>
        <v>383.00443199999995</v>
      </c>
      <c r="T10" s="154">
        <f>VLOOKUP(M10,Credito1,2)</f>
        <v>0</v>
      </c>
      <c r="U10" s="154">
        <f>ROUND(S10-T10,2)</f>
        <v>383</v>
      </c>
      <c r="V10" s="153">
        <f>-IF(U10&gt;0,0,U10)</f>
        <v>0</v>
      </c>
      <c r="W10" s="153">
        <f>IF(I10/15&lt;=SMG,0,IF(U10&lt;0,0,U10))</f>
        <v>383</v>
      </c>
      <c r="X10" s="157">
        <v>0</v>
      </c>
      <c r="Y10" s="153">
        <f>SUM(W10:X10)</f>
        <v>383</v>
      </c>
      <c r="Z10" s="153">
        <f>K10+V10-Y10</f>
        <v>4575.5</v>
      </c>
      <c r="AA10" s="140"/>
    </row>
    <row r="11" spans="1:33" s="51" customFormat="1" ht="84.75" customHeight="1" x14ac:dyDescent="0.3">
      <c r="A11" s="45"/>
      <c r="B11" s="189" t="s">
        <v>99</v>
      </c>
      <c r="C11" s="189" t="s">
        <v>118</v>
      </c>
      <c r="D11" s="241" t="s">
        <v>121</v>
      </c>
      <c r="E11" s="189" t="s">
        <v>276</v>
      </c>
      <c r="F11" s="241" t="s">
        <v>61</v>
      </c>
      <c r="G11" s="241"/>
      <c r="H11" s="241"/>
      <c r="I11" s="242">
        <f>SUM(I12:I13)</f>
        <v>10447</v>
      </c>
      <c r="J11" s="242">
        <f>SUM(J12:J13)</f>
        <v>0</v>
      </c>
      <c r="K11" s="242">
        <f>SUM(K12:K13)</f>
        <v>10447</v>
      </c>
      <c r="L11" s="241"/>
      <c r="M11" s="241"/>
      <c r="N11" s="241"/>
      <c r="O11" s="241"/>
      <c r="P11" s="241"/>
      <c r="Q11" s="241"/>
      <c r="R11" s="244"/>
      <c r="S11" s="241"/>
      <c r="T11" s="241"/>
      <c r="U11" s="241"/>
      <c r="V11" s="242">
        <f>SUM(V12:V13)</f>
        <v>0</v>
      </c>
      <c r="W11" s="242">
        <f>SUM(W12:W13)</f>
        <v>702.85</v>
      </c>
      <c r="X11" s="242">
        <f>SUM(X12:X13)</f>
        <v>1000</v>
      </c>
      <c r="Y11" s="242">
        <f>SUM(Y12:Y13)</f>
        <v>1702.85</v>
      </c>
      <c r="Z11" s="242">
        <f>SUM(Z12:Z13)</f>
        <v>8744.15</v>
      </c>
      <c r="AA11" s="97"/>
      <c r="AG11" s="59"/>
    </row>
    <row r="12" spans="1:33" s="51" customFormat="1" ht="149.25" customHeight="1" x14ac:dyDescent="0.3">
      <c r="A12" s="45" t="s">
        <v>87</v>
      </c>
      <c r="B12" s="146" t="s">
        <v>109</v>
      </c>
      <c r="C12" s="146" t="s">
        <v>110</v>
      </c>
      <c r="D12" s="257" t="s">
        <v>92</v>
      </c>
      <c r="E12" s="218">
        <v>42278</v>
      </c>
      <c r="F12" s="148" t="s">
        <v>93</v>
      </c>
      <c r="G12" s="149">
        <v>15</v>
      </c>
      <c r="H12" s="150">
        <f t="shared" ref="H12:H34" si="1">I12/G12</f>
        <v>469.86666666666667</v>
      </c>
      <c r="I12" s="151">
        <v>7048</v>
      </c>
      <c r="J12" s="152">
        <v>0</v>
      </c>
      <c r="K12" s="153">
        <f>SUM(I12:J12)</f>
        <v>7048</v>
      </c>
      <c r="L12" s="154">
        <f>IF(I12/15&lt;=SMG,0,J12/2)</f>
        <v>0</v>
      </c>
      <c r="M12" s="154">
        <f>I12+L12</f>
        <v>7048</v>
      </c>
      <c r="N12" s="154">
        <f>VLOOKUP(M12,Tarifa1,1)</f>
        <v>6382.81</v>
      </c>
      <c r="O12" s="154">
        <f>M12-N12</f>
        <v>665.1899999999996</v>
      </c>
      <c r="P12" s="155">
        <f>VLOOKUP(M12,Tarifa1,3)</f>
        <v>0.1792</v>
      </c>
      <c r="Q12" s="154">
        <f>O12*P12</f>
        <v>119.20204799999993</v>
      </c>
      <c r="R12" s="156">
        <f>VLOOKUP(M12,Tarifa1,2)</f>
        <v>583.65</v>
      </c>
      <c r="S12" s="154">
        <f>Q12+R12</f>
        <v>702.85204799999997</v>
      </c>
      <c r="T12" s="154">
        <f>VLOOKUP(M12,Credito1,2)</f>
        <v>0</v>
      </c>
      <c r="U12" s="154">
        <f>ROUND(S12-T12,2)</f>
        <v>702.85</v>
      </c>
      <c r="V12" s="153">
        <f>-IF(U12&gt;0,0,U12)</f>
        <v>0</v>
      </c>
      <c r="W12" s="153">
        <f>IF(I12/15&lt;=SMG,0,IF(U12&lt;0,0,U12))</f>
        <v>702.85</v>
      </c>
      <c r="X12" s="157">
        <v>1000</v>
      </c>
      <c r="Y12" s="153">
        <f>SUM(W12:X12)</f>
        <v>1702.85</v>
      </c>
      <c r="Z12" s="153">
        <f>K12+V12-Y12</f>
        <v>5345.15</v>
      </c>
      <c r="AA12" s="90"/>
      <c r="AG12" s="64"/>
    </row>
    <row r="13" spans="1:33" s="51" customFormat="1" ht="149.25" customHeight="1" x14ac:dyDescent="0.3">
      <c r="A13" s="45"/>
      <c r="B13" s="145" t="s">
        <v>336</v>
      </c>
      <c r="C13" s="145" t="s">
        <v>110</v>
      </c>
      <c r="D13" s="257" t="s">
        <v>334</v>
      </c>
      <c r="E13" s="218">
        <v>45292</v>
      </c>
      <c r="F13" s="148" t="s">
        <v>335</v>
      </c>
      <c r="G13" s="149"/>
      <c r="H13" s="150"/>
      <c r="I13" s="151">
        <v>3399</v>
      </c>
      <c r="J13" s="152">
        <v>0</v>
      </c>
      <c r="K13" s="153">
        <f>SUM(I13:J13)</f>
        <v>3399</v>
      </c>
      <c r="L13" s="154">
        <f>IF(I13/15&lt;=SMG,0,J13/2)</f>
        <v>0</v>
      </c>
      <c r="M13" s="154">
        <f t="shared" ref="M13" si="2">I13+L13</f>
        <v>3399</v>
      </c>
      <c r="N13" s="154">
        <f t="shared" ref="N13" si="3">VLOOKUP(M13,Tarifa1,1)</f>
        <v>3124.36</v>
      </c>
      <c r="O13" s="154">
        <f t="shared" ref="O13" si="4">M13-N13</f>
        <v>274.63999999999987</v>
      </c>
      <c r="P13" s="155">
        <f t="shared" ref="P13" si="5">VLOOKUP(M13,Tarifa1,3)</f>
        <v>0.10879999999999999</v>
      </c>
      <c r="Q13" s="154">
        <f t="shared" ref="Q13" si="6">O13*P13</f>
        <v>29.880831999999984</v>
      </c>
      <c r="R13" s="156">
        <f t="shared" ref="R13" si="7">VLOOKUP(M13,Tarifa1,2)</f>
        <v>183.45</v>
      </c>
      <c r="S13" s="154">
        <f t="shared" ref="S13" si="8">Q13+R13</f>
        <v>213.33083199999999</v>
      </c>
      <c r="T13" s="154">
        <f t="shared" ref="T13" si="9">VLOOKUP(M13,Credito1,2)</f>
        <v>125.1</v>
      </c>
      <c r="U13" s="154">
        <f t="shared" ref="U13" si="10">ROUND(S13-T13,2)</f>
        <v>88.23</v>
      </c>
      <c r="V13" s="153">
        <f t="shared" ref="V13" si="11">-IF(U13&gt;0,0,U13)</f>
        <v>0</v>
      </c>
      <c r="W13" s="153">
        <f t="shared" ref="W13" si="12">IF(I13/15&lt;=SMG,0,IF(U13&lt;0,0,U13))</f>
        <v>0</v>
      </c>
      <c r="X13" s="157">
        <v>0</v>
      </c>
      <c r="Y13" s="153">
        <f>SUM(W13:X13)</f>
        <v>0</v>
      </c>
      <c r="Z13" s="153">
        <f>K13+V13-Y13</f>
        <v>3399</v>
      </c>
      <c r="AA13" s="90"/>
      <c r="AG13" s="64"/>
    </row>
    <row r="14" spans="1:33" s="51" customFormat="1" ht="51.75" customHeight="1" x14ac:dyDescent="0.3">
      <c r="A14" s="45"/>
      <c r="B14" s="189" t="s">
        <v>99</v>
      </c>
      <c r="C14" s="189" t="s">
        <v>118</v>
      </c>
      <c r="D14" s="189" t="s">
        <v>122</v>
      </c>
      <c r="E14" s="189" t="s">
        <v>276</v>
      </c>
      <c r="F14" s="241" t="s">
        <v>61</v>
      </c>
      <c r="G14" s="241"/>
      <c r="H14" s="241"/>
      <c r="I14" s="242">
        <f>SUM(I15:I17)</f>
        <v>17853</v>
      </c>
      <c r="J14" s="242">
        <f>SUM(J15:J17)</f>
        <v>0</v>
      </c>
      <c r="K14" s="242">
        <f>SUM(K15:K17)</f>
        <v>17853</v>
      </c>
      <c r="L14" s="241"/>
      <c r="M14" s="241"/>
      <c r="N14" s="241"/>
      <c r="O14" s="241"/>
      <c r="P14" s="241"/>
      <c r="Q14" s="241"/>
      <c r="R14" s="244"/>
      <c r="S14" s="241"/>
      <c r="T14" s="241"/>
      <c r="U14" s="241"/>
      <c r="V14" s="242">
        <f>SUM(V15:V17)</f>
        <v>0</v>
      </c>
      <c r="W14" s="242">
        <f>SUM(W15:W17)</f>
        <v>1614.72</v>
      </c>
      <c r="X14" s="242">
        <f>SUM(X15:X17)</f>
        <v>0</v>
      </c>
      <c r="Y14" s="242">
        <f>SUM(Y15:Y17)</f>
        <v>1614.72</v>
      </c>
      <c r="Z14" s="242">
        <f>SUM(Z15:Z17)</f>
        <v>16238.28</v>
      </c>
      <c r="AA14" s="97"/>
      <c r="AG14" s="64"/>
    </row>
    <row r="15" spans="1:33" s="51" customFormat="1" ht="149.25" customHeight="1" x14ac:dyDescent="0.35">
      <c r="A15" s="45" t="s">
        <v>88</v>
      </c>
      <c r="B15" s="179">
        <v>185</v>
      </c>
      <c r="C15" s="146" t="s">
        <v>110</v>
      </c>
      <c r="D15" s="258" t="s">
        <v>143</v>
      </c>
      <c r="E15" s="217">
        <v>43374</v>
      </c>
      <c r="F15" s="148" t="s">
        <v>94</v>
      </c>
      <c r="G15" s="149">
        <v>15</v>
      </c>
      <c r="H15" s="150">
        <f t="shared" si="1"/>
        <v>512.5333333333333</v>
      </c>
      <c r="I15" s="151">
        <v>7688</v>
      </c>
      <c r="J15" s="152">
        <v>0</v>
      </c>
      <c r="K15" s="153">
        <f t="shared" ref="K15" si="13">SUM(I15:J15)</f>
        <v>7688</v>
      </c>
      <c r="L15" s="154">
        <f>IF(I15/15&lt;=SMG,0,J15/2)</f>
        <v>0</v>
      </c>
      <c r="M15" s="154">
        <f>I15+L15</f>
        <v>7688</v>
      </c>
      <c r="N15" s="154">
        <f>VLOOKUP(M15,Tarifa1,1)</f>
        <v>7641.91</v>
      </c>
      <c r="O15" s="154">
        <f>M15-N15</f>
        <v>46.090000000000146</v>
      </c>
      <c r="P15" s="155">
        <f>VLOOKUP(M15,Tarifa1,3)</f>
        <v>0.21360000000000001</v>
      </c>
      <c r="Q15" s="154">
        <f>O15*P15</f>
        <v>9.8448240000000311</v>
      </c>
      <c r="R15" s="156">
        <f>VLOOKUP(M15,Tarifa1,2)</f>
        <v>809.25</v>
      </c>
      <c r="S15" s="154">
        <f>Q15+R15</f>
        <v>819.09482400000002</v>
      </c>
      <c r="T15" s="154">
        <f>VLOOKUP(M15,Credito1,2)</f>
        <v>0</v>
      </c>
      <c r="U15" s="154">
        <f>ROUND(S15-T15,2)</f>
        <v>819.09</v>
      </c>
      <c r="V15" s="153">
        <f>-IF(U15&gt;0,0,U15)</f>
        <v>0</v>
      </c>
      <c r="W15" s="153">
        <f>IF(I15/15&lt;=SMG,0,IF(U15&lt;0,0,U15))</f>
        <v>819.09</v>
      </c>
      <c r="X15" s="157">
        <v>0</v>
      </c>
      <c r="Y15" s="153">
        <f t="shared" ref="Y15" si="14">SUM(W15:X15)</f>
        <v>819.09</v>
      </c>
      <c r="Z15" s="153">
        <f t="shared" ref="Z15" si="15">K15+V15-Y15</f>
        <v>6868.91</v>
      </c>
      <c r="AA15" s="90"/>
      <c r="AG15" s="64"/>
    </row>
    <row r="16" spans="1:33" s="51" customFormat="1" ht="149.25" customHeight="1" x14ac:dyDescent="0.35">
      <c r="A16" s="45"/>
      <c r="B16" s="145" t="s">
        <v>265</v>
      </c>
      <c r="C16" s="146" t="s">
        <v>110</v>
      </c>
      <c r="D16" s="212" t="s">
        <v>264</v>
      </c>
      <c r="E16" s="219">
        <v>44958</v>
      </c>
      <c r="F16" s="148" t="s">
        <v>137</v>
      </c>
      <c r="G16" s="149">
        <v>15</v>
      </c>
      <c r="H16" s="150">
        <f>I16/G16</f>
        <v>369.36666666666667</v>
      </c>
      <c r="I16" s="151">
        <v>5540.5</v>
      </c>
      <c r="J16" s="152">
        <v>0</v>
      </c>
      <c r="K16" s="153">
        <f>SUM(I16:J16)</f>
        <v>5540.5</v>
      </c>
      <c r="L16" s="154">
        <f>IF(I16/15&lt;=SMG,0,J16/2)</f>
        <v>0</v>
      </c>
      <c r="M16" s="154">
        <f t="shared" ref="M16:M17" si="16">I16+L16</f>
        <v>5540.5</v>
      </c>
      <c r="N16" s="154">
        <f>VLOOKUP(M16,Tarifa1,1)</f>
        <v>5490.76</v>
      </c>
      <c r="O16" s="154">
        <f t="shared" ref="O16:O17" si="17">M16-N16</f>
        <v>49.739999999999782</v>
      </c>
      <c r="P16" s="155">
        <f>VLOOKUP(M16,Tarifa1,3)</f>
        <v>0.16</v>
      </c>
      <c r="Q16" s="154">
        <f t="shared" ref="Q16:Q17" si="18">O16*P16</f>
        <v>7.9583999999999655</v>
      </c>
      <c r="R16" s="156">
        <f>VLOOKUP(M16,Tarifa1,2)</f>
        <v>441</v>
      </c>
      <c r="S16" s="154">
        <f t="shared" ref="S16:S17" si="19">Q16+R16</f>
        <v>448.95839999999998</v>
      </c>
      <c r="T16" s="154">
        <f>VLOOKUP(M16,Credito1,2)</f>
        <v>0</v>
      </c>
      <c r="U16" s="154">
        <f t="shared" ref="U16:U17" si="20">ROUND(S16-T16,2)</f>
        <v>448.96</v>
      </c>
      <c r="V16" s="153">
        <f t="shared" ref="V16:V17" si="21">-IF(U16&gt;0,0,U16)</f>
        <v>0</v>
      </c>
      <c r="W16" s="153">
        <f>IF(I16/15&lt;=SMG,0,IF(U16&lt;0,0,U16))</f>
        <v>448.96</v>
      </c>
      <c r="X16" s="157">
        <v>0</v>
      </c>
      <c r="Y16" s="153">
        <f>SUM(W16:X16)</f>
        <v>448.96</v>
      </c>
      <c r="Z16" s="153">
        <f>K16+V16-Y16</f>
        <v>5091.54</v>
      </c>
      <c r="AA16" s="90"/>
      <c r="AG16" s="64"/>
    </row>
    <row r="17" spans="1:33" s="51" customFormat="1" ht="149.25" customHeight="1" x14ac:dyDescent="0.35">
      <c r="A17" s="45"/>
      <c r="B17" s="145" t="s">
        <v>174</v>
      </c>
      <c r="C17" s="146" t="s">
        <v>110</v>
      </c>
      <c r="D17" s="259" t="s">
        <v>172</v>
      </c>
      <c r="E17" s="219">
        <v>43617</v>
      </c>
      <c r="F17" s="148" t="s">
        <v>173</v>
      </c>
      <c r="G17" s="149">
        <v>15</v>
      </c>
      <c r="H17" s="150"/>
      <c r="I17" s="151">
        <v>4624.5</v>
      </c>
      <c r="J17" s="152">
        <v>0</v>
      </c>
      <c r="K17" s="153">
        <f>SUM(I17:J17)</f>
        <v>4624.5</v>
      </c>
      <c r="L17" s="154">
        <f>IF(I17/15&lt;=SMG,0,J17/2)</f>
        <v>0</v>
      </c>
      <c r="M17" s="154">
        <f t="shared" si="16"/>
        <v>4624.5</v>
      </c>
      <c r="N17" s="154">
        <f>VLOOKUP(M17,Tarifa1,1)</f>
        <v>3124.36</v>
      </c>
      <c r="O17" s="154">
        <f t="shared" si="17"/>
        <v>1500.1399999999999</v>
      </c>
      <c r="P17" s="155">
        <f>VLOOKUP(M17,Tarifa1,3)</f>
        <v>0.10879999999999999</v>
      </c>
      <c r="Q17" s="154">
        <f t="shared" si="18"/>
        <v>163.21523199999999</v>
      </c>
      <c r="R17" s="156">
        <f>VLOOKUP(M17,Tarifa1,2)</f>
        <v>183.45</v>
      </c>
      <c r="S17" s="154">
        <f t="shared" si="19"/>
        <v>346.66523199999995</v>
      </c>
      <c r="T17" s="154">
        <f>VLOOKUP(M17,Credito1,2)</f>
        <v>0</v>
      </c>
      <c r="U17" s="154">
        <f t="shared" si="20"/>
        <v>346.67</v>
      </c>
      <c r="V17" s="153">
        <f t="shared" si="21"/>
        <v>0</v>
      </c>
      <c r="W17" s="153">
        <f>IF(I17/15&lt;=SMG,0,IF(U17&lt;0,0,U17))</f>
        <v>346.67</v>
      </c>
      <c r="X17" s="157">
        <v>0</v>
      </c>
      <c r="Y17" s="153">
        <f>SUM(W17:X17)</f>
        <v>346.67</v>
      </c>
      <c r="Z17" s="153">
        <f>K17+V17-Y17</f>
        <v>4277.83</v>
      </c>
      <c r="AA17" s="90"/>
      <c r="AG17" s="64"/>
    </row>
    <row r="18" spans="1:33" s="51" customFormat="1" ht="24" customHeight="1" x14ac:dyDescent="0.3">
      <c r="A18" s="45"/>
      <c r="B18" s="201"/>
      <c r="C18" s="186"/>
      <c r="D18" s="202"/>
      <c r="E18" s="202"/>
      <c r="F18" s="193"/>
      <c r="G18" s="194"/>
      <c r="H18" s="195"/>
      <c r="I18" s="196"/>
      <c r="J18" s="197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9"/>
      <c r="Y18" s="198"/>
      <c r="Z18" s="198"/>
      <c r="AA18" s="91"/>
      <c r="AG18" s="64"/>
    </row>
    <row r="19" spans="1:33" s="51" customFormat="1" ht="24" customHeight="1" x14ac:dyDescent="0.3">
      <c r="A19" s="45"/>
      <c r="B19" s="201"/>
      <c r="C19" s="186"/>
      <c r="D19" s="202"/>
      <c r="E19" s="202"/>
      <c r="F19" s="193"/>
      <c r="G19" s="194"/>
      <c r="H19" s="195"/>
      <c r="I19" s="196"/>
      <c r="J19" s="197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/>
      <c r="Y19" s="198"/>
      <c r="Z19" s="198"/>
      <c r="AA19" s="91"/>
      <c r="AG19" s="64"/>
    </row>
    <row r="20" spans="1:33" s="51" customFormat="1" ht="24" customHeight="1" x14ac:dyDescent="0.3">
      <c r="A20" s="45"/>
      <c r="B20" s="201"/>
      <c r="C20" s="186"/>
      <c r="D20" s="202"/>
      <c r="E20" s="202"/>
      <c r="F20" s="193"/>
      <c r="G20" s="194"/>
      <c r="H20" s="195"/>
      <c r="I20" s="196"/>
      <c r="J20" s="197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9"/>
      <c r="Y20" s="198"/>
      <c r="Z20" s="198"/>
      <c r="AA20" s="91"/>
      <c r="AG20" s="64"/>
    </row>
    <row r="21" spans="1:33" s="51" customFormat="1" ht="24" customHeight="1" x14ac:dyDescent="0.3">
      <c r="A21" s="45"/>
      <c r="B21" s="201"/>
      <c r="C21" s="186"/>
      <c r="D21" s="202"/>
      <c r="E21" s="202"/>
      <c r="F21" s="193"/>
      <c r="G21" s="194"/>
      <c r="H21" s="195"/>
      <c r="I21" s="196"/>
      <c r="J21" s="197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9"/>
      <c r="Y21" s="198"/>
      <c r="Z21" s="198"/>
      <c r="AA21" s="91"/>
      <c r="AG21" s="64"/>
    </row>
    <row r="22" spans="1:33" s="51" customFormat="1" ht="26.25" customHeight="1" x14ac:dyDescent="0.3">
      <c r="A22" s="45"/>
      <c r="B22" s="283" t="s">
        <v>78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G22" s="64"/>
    </row>
    <row r="23" spans="1:33" s="51" customFormat="1" ht="21.75" customHeight="1" x14ac:dyDescent="0.3">
      <c r="A23" s="45"/>
      <c r="B23" s="283" t="s">
        <v>64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G23" s="64"/>
    </row>
    <row r="24" spans="1:33" s="51" customFormat="1" ht="25.5" customHeight="1" x14ac:dyDescent="0.3">
      <c r="A24" s="45"/>
      <c r="B24" s="284" t="s">
        <v>342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G24" s="64"/>
    </row>
    <row r="25" spans="1:33" s="51" customFormat="1" ht="13.5" customHeight="1" x14ac:dyDescent="0.3">
      <c r="A25" s="20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G25" s="64"/>
    </row>
    <row r="26" spans="1:33" s="51" customFormat="1" ht="57.75" customHeight="1" x14ac:dyDescent="0.3">
      <c r="A26" s="200"/>
      <c r="B26" s="189" t="s">
        <v>99</v>
      </c>
      <c r="C26" s="189" t="s">
        <v>118</v>
      </c>
      <c r="D26" s="241" t="s">
        <v>260</v>
      </c>
      <c r="E26" s="189" t="s">
        <v>276</v>
      </c>
      <c r="F26" s="241" t="s">
        <v>61</v>
      </c>
      <c r="G26" s="241"/>
      <c r="H26" s="241"/>
      <c r="I26" s="242">
        <f>SUM(I27:I28)</f>
        <v>10778</v>
      </c>
      <c r="J26" s="242">
        <f>SUM(J27:J28)</f>
        <v>0</v>
      </c>
      <c r="K26" s="242">
        <f>SUM(K27:K28)</f>
        <v>10778</v>
      </c>
      <c r="L26" s="242">
        <f t="shared" ref="L26:U26" si="22">SUM(L27)</f>
        <v>0</v>
      </c>
      <c r="M26" s="242">
        <f t="shared" si="22"/>
        <v>7688</v>
      </c>
      <c r="N26" s="242">
        <f t="shared" si="22"/>
        <v>7641.91</v>
      </c>
      <c r="O26" s="242">
        <f t="shared" si="22"/>
        <v>46.090000000000146</v>
      </c>
      <c r="P26" s="242">
        <f t="shared" si="22"/>
        <v>0.21360000000000001</v>
      </c>
      <c r="Q26" s="242">
        <f t="shared" si="22"/>
        <v>9.8448240000000311</v>
      </c>
      <c r="R26" s="242">
        <f t="shared" si="22"/>
        <v>809.25</v>
      </c>
      <c r="S26" s="242">
        <f t="shared" si="22"/>
        <v>819.09482400000002</v>
      </c>
      <c r="T26" s="242">
        <f t="shared" si="22"/>
        <v>0</v>
      </c>
      <c r="U26" s="242">
        <f t="shared" si="22"/>
        <v>819.09</v>
      </c>
      <c r="V26" s="242">
        <f>SUM(V27:V28)</f>
        <v>0</v>
      </c>
      <c r="W26" s="242">
        <f>SUM(W27:W28)</f>
        <v>819.09</v>
      </c>
      <c r="X26" s="242">
        <f>SUM(X27:X28)</f>
        <v>0</v>
      </c>
      <c r="Y26" s="242">
        <f>SUM(Y27:Y28)</f>
        <v>819.09</v>
      </c>
      <c r="Z26" s="242">
        <f>SUM(Z27:Z28)</f>
        <v>9958.91</v>
      </c>
      <c r="AA26" s="97"/>
      <c r="AB26" s="190"/>
      <c r="AG26" s="64"/>
    </row>
    <row r="27" spans="1:33" s="51" customFormat="1" ht="134.25" customHeight="1" x14ac:dyDescent="0.35">
      <c r="A27" s="200"/>
      <c r="B27" s="145" t="s">
        <v>257</v>
      </c>
      <c r="C27" s="146" t="s">
        <v>110</v>
      </c>
      <c r="D27" s="212" t="s">
        <v>258</v>
      </c>
      <c r="E27" s="219">
        <v>44805</v>
      </c>
      <c r="F27" s="148" t="s">
        <v>259</v>
      </c>
      <c r="G27" s="149"/>
      <c r="H27" s="150"/>
      <c r="I27" s="151">
        <v>7688</v>
      </c>
      <c r="J27" s="152">
        <v>0</v>
      </c>
      <c r="K27" s="153">
        <f t="shared" ref="K27" si="23">SUM(I27:J27)</f>
        <v>7688</v>
      </c>
      <c r="L27" s="154">
        <f t="shared" ref="L27" si="24">IF(I27/15&lt;=SMG,0,J27/2)</f>
        <v>0</v>
      </c>
      <c r="M27" s="154">
        <f t="shared" ref="M27:M28" si="25">I27+L27</f>
        <v>7688</v>
      </c>
      <c r="N27" s="154">
        <f t="shared" ref="N27:N28" si="26">VLOOKUP(M27,Tarifa1,1)</f>
        <v>7641.91</v>
      </c>
      <c r="O27" s="154">
        <f t="shared" ref="O27:O28" si="27">M27-N27</f>
        <v>46.090000000000146</v>
      </c>
      <c r="P27" s="155">
        <f t="shared" ref="P27:P28" si="28">VLOOKUP(M27,Tarifa1,3)</f>
        <v>0.21360000000000001</v>
      </c>
      <c r="Q27" s="154">
        <f t="shared" ref="Q27:Q28" si="29">O27*P27</f>
        <v>9.8448240000000311</v>
      </c>
      <c r="R27" s="156">
        <f t="shared" ref="R27:R28" si="30">VLOOKUP(M27,Tarifa1,2)</f>
        <v>809.25</v>
      </c>
      <c r="S27" s="154">
        <f t="shared" ref="S27:S28" si="31">Q27+R27</f>
        <v>819.09482400000002</v>
      </c>
      <c r="T27" s="154">
        <f t="shared" ref="T27:T28" si="32">VLOOKUP(M27,Credito1,2)</f>
        <v>0</v>
      </c>
      <c r="U27" s="154">
        <f t="shared" ref="U27:U28" si="33">ROUND(S27-T27,2)</f>
        <v>819.09</v>
      </c>
      <c r="V27" s="153">
        <f t="shared" ref="V27:V28" si="34">-IF(U27&gt;0,0,U27)</f>
        <v>0</v>
      </c>
      <c r="W27" s="153">
        <f t="shared" ref="W27:W28" si="35">IF(I27/15&lt;=SMG,0,IF(U27&lt;0,0,U27))</f>
        <v>819.09</v>
      </c>
      <c r="X27" s="157">
        <v>0</v>
      </c>
      <c r="Y27" s="153">
        <f t="shared" ref="Y27" si="36">SUM(W27:X27)</f>
        <v>819.09</v>
      </c>
      <c r="Z27" s="153">
        <f t="shared" ref="Z27" si="37">K27+V27-Y27</f>
        <v>6868.91</v>
      </c>
      <c r="AA27" s="90"/>
      <c r="AB27" s="190"/>
      <c r="AG27" s="64"/>
    </row>
    <row r="28" spans="1:33" s="51" customFormat="1" ht="134.25" customHeight="1" x14ac:dyDescent="0.35">
      <c r="A28" s="200"/>
      <c r="B28" s="145" t="s">
        <v>312</v>
      </c>
      <c r="C28" s="146" t="s">
        <v>110</v>
      </c>
      <c r="D28" s="210" t="s">
        <v>313</v>
      </c>
      <c r="E28" s="215">
        <v>45154</v>
      </c>
      <c r="F28" s="148" t="s">
        <v>314</v>
      </c>
      <c r="G28" s="149"/>
      <c r="H28" s="150"/>
      <c r="I28" s="151">
        <v>3090</v>
      </c>
      <c r="J28" s="152">
        <v>0</v>
      </c>
      <c r="K28" s="153">
        <f>SUM(I28:J28)</f>
        <v>3090</v>
      </c>
      <c r="L28" s="154">
        <f>IF(I28/15&lt;=SMG,0,J28/2)</f>
        <v>0</v>
      </c>
      <c r="M28" s="154">
        <f t="shared" si="25"/>
        <v>3090</v>
      </c>
      <c r="N28" s="154">
        <f t="shared" si="26"/>
        <v>368.11</v>
      </c>
      <c r="O28" s="154">
        <f t="shared" si="27"/>
        <v>2721.89</v>
      </c>
      <c r="P28" s="155">
        <f t="shared" si="28"/>
        <v>6.4000000000000001E-2</v>
      </c>
      <c r="Q28" s="154">
        <f t="shared" si="29"/>
        <v>174.20096000000001</v>
      </c>
      <c r="R28" s="156">
        <f t="shared" si="30"/>
        <v>7.05</v>
      </c>
      <c r="S28" s="154">
        <f t="shared" si="31"/>
        <v>181.25096000000002</v>
      </c>
      <c r="T28" s="154">
        <f t="shared" si="32"/>
        <v>125.1</v>
      </c>
      <c r="U28" s="154">
        <f t="shared" si="33"/>
        <v>56.15</v>
      </c>
      <c r="V28" s="153">
        <f t="shared" si="34"/>
        <v>0</v>
      </c>
      <c r="W28" s="153">
        <f t="shared" si="35"/>
        <v>0</v>
      </c>
      <c r="X28" s="157">
        <v>0</v>
      </c>
      <c r="Y28" s="153">
        <f>SUM(W28:X28)</f>
        <v>0</v>
      </c>
      <c r="Z28" s="153">
        <f>K28+V28-Y28</f>
        <v>3090</v>
      </c>
      <c r="AA28" s="90"/>
      <c r="AB28" s="190"/>
      <c r="AG28" s="64"/>
    </row>
    <row r="29" spans="1:33" s="51" customFormat="1" ht="60.75" customHeight="1" x14ac:dyDescent="0.3">
      <c r="A29" s="200"/>
      <c r="B29" s="189" t="s">
        <v>99</v>
      </c>
      <c r="C29" s="189" t="s">
        <v>118</v>
      </c>
      <c r="D29" s="241" t="s">
        <v>300</v>
      </c>
      <c r="E29" s="189" t="s">
        <v>276</v>
      </c>
      <c r="F29" s="241" t="s">
        <v>61</v>
      </c>
      <c r="G29" s="241"/>
      <c r="H29" s="241"/>
      <c r="I29" s="242">
        <f>I30+I31+I32</f>
        <v>19974.5</v>
      </c>
      <c r="J29" s="242">
        <f t="shared" ref="J29:Z29" si="38">J30+J31+J32</f>
        <v>0</v>
      </c>
      <c r="K29" s="242">
        <f t="shared" si="38"/>
        <v>19974.5</v>
      </c>
      <c r="L29" s="242">
        <f t="shared" si="38"/>
        <v>0</v>
      </c>
      <c r="M29" s="242">
        <f t="shared" si="38"/>
        <v>19974.5</v>
      </c>
      <c r="N29" s="242">
        <f t="shared" si="38"/>
        <v>17149.080000000002</v>
      </c>
      <c r="O29" s="242">
        <f t="shared" si="38"/>
        <v>2825.4199999999996</v>
      </c>
      <c r="P29" s="242">
        <f t="shared" si="38"/>
        <v>0.50160000000000005</v>
      </c>
      <c r="Q29" s="242">
        <f t="shared" si="38"/>
        <v>482.24650399999996</v>
      </c>
      <c r="R29" s="242">
        <f t="shared" si="38"/>
        <v>1576.3500000000001</v>
      </c>
      <c r="S29" s="242">
        <f t="shared" si="38"/>
        <v>2058.5965040000001</v>
      </c>
      <c r="T29" s="242">
        <f t="shared" si="38"/>
        <v>0</v>
      </c>
      <c r="U29" s="242">
        <f t="shared" si="38"/>
        <v>2058.6</v>
      </c>
      <c r="V29" s="242">
        <f t="shared" si="38"/>
        <v>0</v>
      </c>
      <c r="W29" s="242">
        <f t="shared" si="38"/>
        <v>2058.6</v>
      </c>
      <c r="X29" s="242">
        <f t="shared" si="38"/>
        <v>0</v>
      </c>
      <c r="Y29" s="242">
        <f t="shared" si="38"/>
        <v>2058.6</v>
      </c>
      <c r="Z29" s="242">
        <f t="shared" si="38"/>
        <v>17915.900000000001</v>
      </c>
      <c r="AA29" s="97"/>
      <c r="AB29" s="190"/>
      <c r="AG29" s="64"/>
    </row>
    <row r="30" spans="1:33" s="51" customFormat="1" ht="134.25" customHeight="1" x14ac:dyDescent="0.35">
      <c r="A30" s="200"/>
      <c r="B30" s="145" t="s">
        <v>315</v>
      </c>
      <c r="C30" s="146" t="s">
        <v>110</v>
      </c>
      <c r="D30" s="212" t="s">
        <v>316</v>
      </c>
      <c r="E30" s="219">
        <v>45170</v>
      </c>
      <c r="F30" s="269" t="s">
        <v>322</v>
      </c>
      <c r="G30" s="149"/>
      <c r="H30" s="150"/>
      <c r="I30" s="151">
        <v>7223.5</v>
      </c>
      <c r="J30" s="152">
        <v>0</v>
      </c>
      <c r="K30" s="153">
        <f>SUM(I30:J30)</f>
        <v>7223.5</v>
      </c>
      <c r="L30" s="154">
        <f>IF(I30/15&lt;=SMG,0,J30/2)</f>
        <v>0</v>
      </c>
      <c r="M30" s="154">
        <f>I30+L30</f>
        <v>7223.5</v>
      </c>
      <c r="N30" s="154">
        <f>VLOOKUP(M30,Tarifa1,1)</f>
        <v>6382.81</v>
      </c>
      <c r="O30" s="154">
        <f>M30-N30</f>
        <v>840.6899999999996</v>
      </c>
      <c r="P30" s="155">
        <f>VLOOKUP(M30,Tarifa1,3)</f>
        <v>0.1792</v>
      </c>
      <c r="Q30" s="154">
        <f>O30*P30</f>
        <v>150.65164799999994</v>
      </c>
      <c r="R30" s="156">
        <f>VLOOKUP(M30,Tarifa1,2)</f>
        <v>583.65</v>
      </c>
      <c r="S30" s="154">
        <f>Q30+R30</f>
        <v>734.30164799999989</v>
      </c>
      <c r="T30" s="154">
        <f>VLOOKUP(M30,Credito1,2)</f>
        <v>0</v>
      </c>
      <c r="U30" s="154">
        <f>ROUND(S30-T30,2)</f>
        <v>734.3</v>
      </c>
      <c r="V30" s="153">
        <f>-IF(U30&gt;0,0,U30)</f>
        <v>0</v>
      </c>
      <c r="W30" s="153">
        <f>IF(I30/15&lt;=SMG,0,IF(U30&lt;0,0,U30))</f>
        <v>734.3</v>
      </c>
      <c r="X30" s="157">
        <v>0</v>
      </c>
      <c r="Y30" s="153">
        <f>SUM(W30:X30)</f>
        <v>734.3</v>
      </c>
      <c r="Z30" s="153">
        <f>K30+V30-Y30</f>
        <v>6489.2</v>
      </c>
      <c r="AA30" s="90"/>
      <c r="AB30" s="190"/>
      <c r="AG30" s="64"/>
    </row>
    <row r="31" spans="1:33" s="51" customFormat="1" ht="134.25" customHeight="1" x14ac:dyDescent="0.35">
      <c r="A31" s="200"/>
      <c r="B31" s="145" t="s">
        <v>308</v>
      </c>
      <c r="C31" s="146" t="s">
        <v>110</v>
      </c>
      <c r="D31" s="212" t="s">
        <v>301</v>
      </c>
      <c r="E31" s="219">
        <v>45108</v>
      </c>
      <c r="F31" s="269" t="s">
        <v>302</v>
      </c>
      <c r="G31" s="149"/>
      <c r="H31" s="150"/>
      <c r="I31" s="151">
        <v>8745.5</v>
      </c>
      <c r="J31" s="152">
        <v>0</v>
      </c>
      <c r="K31" s="153">
        <f t="shared" ref="K31" si="39">SUM(I31:J31)</f>
        <v>8745.5</v>
      </c>
      <c r="L31" s="154">
        <f t="shared" ref="L31" si="40">IF(I31/15&lt;=SMG,0,J31/2)</f>
        <v>0</v>
      </c>
      <c r="M31" s="154">
        <f t="shared" ref="M31:M32" si="41">I31+L31</f>
        <v>8745.5</v>
      </c>
      <c r="N31" s="154">
        <f t="shared" ref="N31" si="42">VLOOKUP(M31,Tarifa1,1)</f>
        <v>7641.91</v>
      </c>
      <c r="O31" s="154">
        <f t="shared" ref="O31:O32" si="43">M31-N31</f>
        <v>1103.5900000000001</v>
      </c>
      <c r="P31" s="155">
        <f t="shared" ref="P31" si="44">VLOOKUP(M31,Tarifa1,3)</f>
        <v>0.21360000000000001</v>
      </c>
      <c r="Q31" s="154">
        <f t="shared" ref="Q31:Q32" si="45">O31*P31</f>
        <v>235.72682400000005</v>
      </c>
      <c r="R31" s="156">
        <f t="shared" ref="R31" si="46">VLOOKUP(M31,Tarifa1,2)</f>
        <v>809.25</v>
      </c>
      <c r="S31" s="154">
        <f t="shared" ref="S31:S32" si="47">Q31+R31</f>
        <v>1044.9768240000001</v>
      </c>
      <c r="T31" s="154">
        <f t="shared" ref="T31" si="48">VLOOKUP(M31,Credito1,2)</f>
        <v>0</v>
      </c>
      <c r="U31" s="154">
        <f t="shared" ref="U31:U32" si="49">ROUND(S31-T31,2)</f>
        <v>1044.98</v>
      </c>
      <c r="V31" s="153">
        <f t="shared" ref="V31:V32" si="50">-IF(U31&gt;0,0,U31)</f>
        <v>0</v>
      </c>
      <c r="W31" s="153">
        <f t="shared" ref="W31" si="51">IF(I31/15&lt;=SMG,0,IF(U31&lt;0,0,U31))</f>
        <v>1044.98</v>
      </c>
      <c r="X31" s="157">
        <v>0</v>
      </c>
      <c r="Y31" s="153">
        <f t="shared" ref="Y31" si="52">SUM(W31:X31)</f>
        <v>1044.98</v>
      </c>
      <c r="Z31" s="153">
        <f t="shared" ref="Z31" si="53">K31+V31-Y31</f>
        <v>7700.52</v>
      </c>
      <c r="AA31" s="90"/>
      <c r="AB31" s="190"/>
      <c r="AG31" s="64"/>
    </row>
    <row r="32" spans="1:33" s="51" customFormat="1" ht="134.25" customHeight="1" x14ac:dyDescent="0.35">
      <c r="A32" s="200"/>
      <c r="B32" s="145" t="s">
        <v>323</v>
      </c>
      <c r="C32" s="146" t="s">
        <v>110</v>
      </c>
      <c r="D32" s="212" t="s">
        <v>325</v>
      </c>
      <c r="E32" s="219">
        <v>45200</v>
      </c>
      <c r="F32" s="269" t="s">
        <v>326</v>
      </c>
      <c r="G32" s="149"/>
      <c r="H32" s="150"/>
      <c r="I32" s="151">
        <v>4005.5</v>
      </c>
      <c r="J32" s="152">
        <v>0</v>
      </c>
      <c r="K32" s="153">
        <f>SUM(I32:J32)</f>
        <v>4005.5</v>
      </c>
      <c r="L32" s="154">
        <f>IF(I32/15&lt;=SMG,0,J32/2)</f>
        <v>0</v>
      </c>
      <c r="M32" s="154">
        <f t="shared" si="41"/>
        <v>4005.5</v>
      </c>
      <c r="N32" s="154">
        <f>VLOOKUP(M32,Tarifa1,1)</f>
        <v>3124.36</v>
      </c>
      <c r="O32" s="154">
        <f t="shared" si="43"/>
        <v>881.13999999999987</v>
      </c>
      <c r="P32" s="155">
        <f>VLOOKUP(M32,Tarifa1,3)</f>
        <v>0.10879999999999999</v>
      </c>
      <c r="Q32" s="154">
        <f t="shared" si="45"/>
        <v>95.868031999999985</v>
      </c>
      <c r="R32" s="156">
        <f>VLOOKUP(M32,Tarifa1,2)</f>
        <v>183.45</v>
      </c>
      <c r="S32" s="154">
        <f t="shared" si="47"/>
        <v>279.31803199999996</v>
      </c>
      <c r="T32" s="154">
        <f>VLOOKUP(M32,Credito1,2)</f>
        <v>0</v>
      </c>
      <c r="U32" s="154">
        <f t="shared" si="49"/>
        <v>279.32</v>
      </c>
      <c r="V32" s="153">
        <f t="shared" si="50"/>
        <v>0</v>
      </c>
      <c r="W32" s="153">
        <f>IF(I32/15&lt;=SMG,0,IF(U32&lt;0,0,U32))</f>
        <v>279.32</v>
      </c>
      <c r="X32" s="157">
        <v>0</v>
      </c>
      <c r="Y32" s="153">
        <f>SUM(W32:X32)</f>
        <v>279.32</v>
      </c>
      <c r="Z32" s="153">
        <f>K32+V32-Y32</f>
        <v>3726.18</v>
      </c>
      <c r="AA32" s="90"/>
      <c r="AB32" s="190"/>
      <c r="AG32" s="64"/>
    </row>
    <row r="33" spans="1:33" s="109" customFormat="1" ht="71.25" customHeight="1" x14ac:dyDescent="0.3">
      <c r="A33" s="146"/>
      <c r="B33" s="189" t="s">
        <v>99</v>
      </c>
      <c r="C33" s="189" t="s">
        <v>118</v>
      </c>
      <c r="D33" s="189" t="s">
        <v>123</v>
      </c>
      <c r="E33" s="189" t="s">
        <v>276</v>
      </c>
      <c r="F33" s="241" t="s">
        <v>61</v>
      </c>
      <c r="G33" s="241"/>
      <c r="H33" s="241"/>
      <c r="I33" s="242">
        <f>SUM(I34)</f>
        <v>5598</v>
      </c>
      <c r="J33" s="242">
        <f>SUM(J34)</f>
        <v>0</v>
      </c>
      <c r="K33" s="242">
        <f>SUM(K34)</f>
        <v>5598</v>
      </c>
      <c r="L33" s="241"/>
      <c r="M33" s="241"/>
      <c r="N33" s="241"/>
      <c r="O33" s="241"/>
      <c r="P33" s="241"/>
      <c r="Q33" s="241"/>
      <c r="R33" s="244"/>
      <c r="S33" s="241"/>
      <c r="T33" s="241"/>
      <c r="U33" s="241"/>
      <c r="V33" s="242">
        <f>SUM(V34)</f>
        <v>0</v>
      </c>
      <c r="W33" s="242">
        <f>SUM(W34)</f>
        <v>458.16</v>
      </c>
      <c r="X33" s="242">
        <f>SUM(X34)</f>
        <v>0</v>
      </c>
      <c r="Y33" s="242">
        <f>SUM(Y34)</f>
        <v>458.16</v>
      </c>
      <c r="Z33" s="242">
        <f>SUM(Z34)</f>
        <v>5139.84</v>
      </c>
      <c r="AA33" s="245"/>
      <c r="AG33" s="246"/>
    </row>
    <row r="34" spans="1:33" s="109" customFormat="1" ht="134.25" customHeight="1" x14ac:dyDescent="0.35">
      <c r="A34" s="146" t="s">
        <v>89</v>
      </c>
      <c r="B34" s="145" t="s">
        <v>150</v>
      </c>
      <c r="C34" s="146" t="s">
        <v>110</v>
      </c>
      <c r="D34" s="210" t="s">
        <v>194</v>
      </c>
      <c r="E34" s="215">
        <v>43374</v>
      </c>
      <c r="F34" s="148" t="s">
        <v>98</v>
      </c>
      <c r="G34" s="149">
        <v>15</v>
      </c>
      <c r="H34" s="150">
        <f t="shared" si="1"/>
        <v>373.2</v>
      </c>
      <c r="I34" s="151">
        <v>5598</v>
      </c>
      <c r="J34" s="152">
        <v>0</v>
      </c>
      <c r="K34" s="153">
        <f>SUM(I34:J34)</f>
        <v>5598</v>
      </c>
      <c r="L34" s="154">
        <f>IF(I34/15&lt;=SMG,0,J34/2)</f>
        <v>0</v>
      </c>
      <c r="M34" s="154">
        <f t="shared" ref="M34" si="54">I34+L34</f>
        <v>5598</v>
      </c>
      <c r="N34" s="154">
        <f>VLOOKUP(M34,Tarifa1,1)</f>
        <v>5490.76</v>
      </c>
      <c r="O34" s="154">
        <f t="shared" ref="O34" si="55">M34-N34</f>
        <v>107.23999999999978</v>
      </c>
      <c r="P34" s="155">
        <f>VLOOKUP(M34,Tarifa1,3)</f>
        <v>0.16</v>
      </c>
      <c r="Q34" s="154">
        <f t="shared" ref="Q34" si="56">O34*P34</f>
        <v>17.158399999999965</v>
      </c>
      <c r="R34" s="156">
        <f>VLOOKUP(M34,Tarifa1,2)</f>
        <v>441</v>
      </c>
      <c r="S34" s="154">
        <f t="shared" ref="S34" si="57">Q34+R34</f>
        <v>458.15839999999997</v>
      </c>
      <c r="T34" s="154">
        <f>VLOOKUP(M34,Credito1,2)</f>
        <v>0</v>
      </c>
      <c r="U34" s="154">
        <f t="shared" ref="U34" si="58">ROUND(S34-T34,2)</f>
        <v>458.16</v>
      </c>
      <c r="V34" s="153">
        <f>-IF(U34&gt;0,0,U34)</f>
        <v>0</v>
      </c>
      <c r="W34" s="153">
        <f>IF(I34/15&lt;=SMG,0,IF(U34&lt;0,0,U34))</f>
        <v>458.16</v>
      </c>
      <c r="X34" s="157">
        <v>0</v>
      </c>
      <c r="Y34" s="153">
        <f>SUM(W34:X34)</f>
        <v>458.16</v>
      </c>
      <c r="Z34" s="153">
        <f>K34+V34-Y34</f>
        <v>5139.84</v>
      </c>
      <c r="AA34" s="108"/>
      <c r="AG34" s="246"/>
    </row>
    <row r="35" spans="1:33" s="109" customFormat="1" ht="57.75" customHeight="1" x14ac:dyDescent="0.3">
      <c r="A35" s="222"/>
      <c r="B35" s="189" t="s">
        <v>99</v>
      </c>
      <c r="C35" s="189" t="s">
        <v>118</v>
      </c>
      <c r="D35" s="241" t="s">
        <v>138</v>
      </c>
      <c r="E35" s="189" t="s">
        <v>276</v>
      </c>
      <c r="F35" s="241" t="s">
        <v>61</v>
      </c>
      <c r="G35" s="241"/>
      <c r="H35" s="241"/>
      <c r="I35" s="242">
        <f>SUM(I36)</f>
        <v>7223.5</v>
      </c>
      <c r="J35" s="242">
        <f>SUM(J36)</f>
        <v>0</v>
      </c>
      <c r="K35" s="242">
        <f>SUM(K36)</f>
        <v>7223.5</v>
      </c>
      <c r="L35" s="241"/>
      <c r="M35" s="241"/>
      <c r="N35" s="241"/>
      <c r="O35" s="241"/>
      <c r="P35" s="241"/>
      <c r="Q35" s="241"/>
      <c r="R35" s="244"/>
      <c r="S35" s="241"/>
      <c r="T35" s="241"/>
      <c r="U35" s="241"/>
      <c r="V35" s="242">
        <f>SUM(V36)</f>
        <v>0</v>
      </c>
      <c r="W35" s="242">
        <f>SUM(W36)</f>
        <v>734.3</v>
      </c>
      <c r="X35" s="242">
        <f>SUM(X36)</f>
        <v>0</v>
      </c>
      <c r="Y35" s="242">
        <f>SUM(Y36)</f>
        <v>734.3</v>
      </c>
      <c r="Z35" s="242">
        <f>SUM(Z36)</f>
        <v>6489.2</v>
      </c>
      <c r="AA35" s="245"/>
    </row>
    <row r="36" spans="1:33" s="109" customFormat="1" ht="133.5" customHeight="1" x14ac:dyDescent="0.35">
      <c r="A36" s="222"/>
      <c r="B36" s="145" t="s">
        <v>149</v>
      </c>
      <c r="C36" s="146" t="s">
        <v>110</v>
      </c>
      <c r="D36" s="210" t="s">
        <v>140</v>
      </c>
      <c r="E36" s="219">
        <v>43101</v>
      </c>
      <c r="F36" s="148" t="s">
        <v>141</v>
      </c>
      <c r="G36" s="149">
        <v>15</v>
      </c>
      <c r="H36" s="150">
        <f>I36/G36</f>
        <v>481.56666666666666</v>
      </c>
      <c r="I36" s="151">
        <v>7223.5</v>
      </c>
      <c r="J36" s="152">
        <v>0</v>
      </c>
      <c r="K36" s="153">
        <f>SUM(I36:J36)</f>
        <v>7223.5</v>
      </c>
      <c r="L36" s="154">
        <f>IF(I36/15&lt;=SMG,0,J36/2)</f>
        <v>0</v>
      </c>
      <c r="M36" s="154">
        <f t="shared" ref="M36" si="59">I36+L36</f>
        <v>7223.5</v>
      </c>
      <c r="N36" s="154">
        <f>VLOOKUP(M36,Tarifa1,1)</f>
        <v>6382.81</v>
      </c>
      <c r="O36" s="154">
        <f t="shared" ref="O36" si="60">M36-N36</f>
        <v>840.6899999999996</v>
      </c>
      <c r="P36" s="155">
        <f>VLOOKUP(M36,Tarifa1,3)</f>
        <v>0.1792</v>
      </c>
      <c r="Q36" s="154">
        <f t="shared" ref="Q36" si="61">O36*P36</f>
        <v>150.65164799999994</v>
      </c>
      <c r="R36" s="156">
        <f>VLOOKUP(M36,Tarifa1,2)</f>
        <v>583.65</v>
      </c>
      <c r="S36" s="154">
        <f t="shared" ref="S36" si="62">Q36+R36</f>
        <v>734.30164799999989</v>
      </c>
      <c r="T36" s="154">
        <f>VLOOKUP(M36,Credito1,2)</f>
        <v>0</v>
      </c>
      <c r="U36" s="154">
        <f t="shared" ref="U36" si="63">ROUND(S36-T36,2)</f>
        <v>734.3</v>
      </c>
      <c r="V36" s="153">
        <f t="shared" ref="V36" si="64">-IF(U36&gt;0,0,U36)</f>
        <v>0</v>
      </c>
      <c r="W36" s="153">
        <f>IF(I36/15&lt;=SMG,0,IF(U36&lt;0,0,U36))</f>
        <v>734.3</v>
      </c>
      <c r="X36" s="157">
        <v>0</v>
      </c>
      <c r="Y36" s="153">
        <f>SUM(W36:X36)</f>
        <v>734.3</v>
      </c>
      <c r="Z36" s="153">
        <f>K36+V36-Y36</f>
        <v>6489.2</v>
      </c>
      <c r="AA36" s="108"/>
    </row>
    <row r="37" spans="1:33" s="109" customFormat="1" ht="17.399999999999999" x14ac:dyDescent="0.3">
      <c r="A37" s="222"/>
      <c r="B37" s="222"/>
      <c r="C37" s="222"/>
      <c r="D37" s="222"/>
      <c r="E37" s="222"/>
      <c r="F37" s="222"/>
      <c r="G37" s="222"/>
      <c r="H37" s="222"/>
      <c r="I37" s="247"/>
      <c r="J37" s="247"/>
      <c r="K37" s="247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108"/>
    </row>
    <row r="38" spans="1:33" s="109" customFormat="1" ht="39" customHeight="1" x14ac:dyDescent="0.3">
      <c r="A38" s="314" t="s">
        <v>44</v>
      </c>
      <c r="B38" s="314"/>
      <c r="C38" s="314"/>
      <c r="D38" s="314"/>
      <c r="E38" s="314"/>
      <c r="F38" s="314"/>
      <c r="G38" s="314"/>
      <c r="H38" s="314"/>
      <c r="I38" s="180">
        <f>SUM(I8+I11+I14+I26+I33+I35+I29)</f>
        <v>84056</v>
      </c>
      <c r="J38" s="180">
        <f>SUM(J8+J11+J14+J26+J33+J35+J29)</f>
        <v>0</v>
      </c>
      <c r="K38" s="180">
        <f>SUM(K8+K11+K14+K26+K33+K35+K29)</f>
        <v>84056</v>
      </c>
      <c r="L38" s="181">
        <f t="shared" ref="L38:U38" si="65">SUM(L11:L37)</f>
        <v>0</v>
      </c>
      <c r="M38" s="181">
        <f t="shared" si="65"/>
        <v>99536.5</v>
      </c>
      <c r="N38" s="181">
        <f t="shared" si="65"/>
        <v>87587.86</v>
      </c>
      <c r="O38" s="181">
        <f t="shared" si="65"/>
        <v>11948.64</v>
      </c>
      <c r="P38" s="181">
        <f t="shared" si="65"/>
        <v>2.6040000000000001</v>
      </c>
      <c r="Q38" s="181">
        <f t="shared" si="65"/>
        <v>1656.2950000000001</v>
      </c>
      <c r="R38" s="181">
        <f t="shared" si="65"/>
        <v>8003.6999999999989</v>
      </c>
      <c r="S38" s="181">
        <f t="shared" si="65"/>
        <v>9659.9950000000008</v>
      </c>
      <c r="T38" s="181">
        <f t="shared" si="65"/>
        <v>250.2</v>
      </c>
      <c r="U38" s="181">
        <f t="shared" si="65"/>
        <v>9409.7899999999991</v>
      </c>
      <c r="V38" s="180">
        <f>SUM(V8+V11+V14+V26+V33+V35+V29)</f>
        <v>0</v>
      </c>
      <c r="W38" s="180">
        <f>SUM(W8+W11+W14+W26+W33+W35+W29)</f>
        <v>7505.02</v>
      </c>
      <c r="X38" s="180">
        <f>SUM(X8+X11+X14+X26+X33+X35+X29)</f>
        <v>1000</v>
      </c>
      <c r="Y38" s="180">
        <f>SUM(Y8+Y11+Y14+Y26+Y33+Y35+Y29)</f>
        <v>8505.02</v>
      </c>
      <c r="Z38" s="180">
        <f>SUM(Z8+Z11+Z14+Z26+Z33+Z35+Z29)</f>
        <v>75550.979999999981</v>
      </c>
      <c r="AA38" s="108"/>
    </row>
    <row r="39" spans="1:33" s="51" customFormat="1" ht="11.4" x14ac:dyDescent="0.2"/>
    <row r="40" spans="1:33" s="51" customFormat="1" ht="11.4" x14ac:dyDescent="0.2"/>
    <row r="41" spans="1:33" s="51" customFormat="1" ht="11.4" x14ac:dyDescent="0.2"/>
    <row r="42" spans="1:33" s="51" customFormat="1" ht="11.4" x14ac:dyDescent="0.2"/>
  </sheetData>
  <mergeCells count="11">
    <mergeCell ref="A38:H38"/>
    <mergeCell ref="A1:AA1"/>
    <mergeCell ref="A2:AA2"/>
    <mergeCell ref="A3:AA3"/>
    <mergeCell ref="I5:K5"/>
    <mergeCell ref="N5:S5"/>
    <mergeCell ref="W5:Y5"/>
    <mergeCell ref="C5:C7"/>
    <mergeCell ref="B22:AB22"/>
    <mergeCell ref="B23:AB23"/>
    <mergeCell ref="B24:AB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" zoomScale="57" zoomScaleNormal="57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4" t="s">
        <v>1</v>
      </c>
      <c r="J6" s="295"/>
      <c r="K6" s="296"/>
      <c r="L6" s="24" t="s">
        <v>25</v>
      </c>
      <c r="M6" s="25"/>
      <c r="N6" s="297" t="s">
        <v>8</v>
      </c>
      <c r="O6" s="298"/>
      <c r="P6" s="298"/>
      <c r="Q6" s="298"/>
      <c r="R6" s="298"/>
      <c r="S6" s="299"/>
      <c r="T6" s="24" t="s">
        <v>29</v>
      </c>
      <c r="U6" s="24" t="s">
        <v>9</v>
      </c>
      <c r="V6" s="23" t="s">
        <v>52</v>
      </c>
      <c r="W6" s="300" t="s">
        <v>2</v>
      </c>
      <c r="X6" s="301"/>
      <c r="Y6" s="23" t="s">
        <v>0</v>
      </c>
      <c r="Z6" s="34"/>
    </row>
    <row r="7" spans="1:26" ht="2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263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0"/>
      <c r="B9" s="130"/>
      <c r="C9" s="130"/>
      <c r="D9" s="129" t="s">
        <v>108</v>
      </c>
      <c r="E9" s="130" t="s">
        <v>276</v>
      </c>
      <c r="F9" s="130" t="s">
        <v>61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V9" s="130"/>
      <c r="W9" s="130"/>
      <c r="X9" s="130"/>
      <c r="Y9" s="130"/>
      <c r="Z9" s="99"/>
    </row>
    <row r="10" spans="1:26" s="4" customFormat="1" ht="131.25" customHeight="1" x14ac:dyDescent="0.35">
      <c r="A10" s="107" t="s">
        <v>83</v>
      </c>
      <c r="B10" s="146" t="s">
        <v>106</v>
      </c>
      <c r="C10" s="146" t="s">
        <v>110</v>
      </c>
      <c r="D10" s="210" t="s">
        <v>97</v>
      </c>
      <c r="E10" s="213">
        <v>42278</v>
      </c>
      <c r="F10" s="148" t="s">
        <v>196</v>
      </c>
      <c r="G10" s="149">
        <v>15</v>
      </c>
      <c r="H10" s="150">
        <f>I10/G10</f>
        <v>1176.7</v>
      </c>
      <c r="I10" s="151">
        <v>17650.5</v>
      </c>
      <c r="J10" s="152">
        <v>0</v>
      </c>
      <c r="K10" s="153">
        <f>SUM(I10:J10)</f>
        <v>17650.5</v>
      </c>
      <c r="L10" s="154">
        <f>IF(I10/15&lt;=SMG,0,J10/2)</f>
        <v>0</v>
      </c>
      <c r="M10" s="154">
        <f>I10+L10</f>
        <v>17650.5</v>
      </c>
      <c r="N10" s="154">
        <f>VLOOKUP(M10,Tarifa1,1)</f>
        <v>15412.81</v>
      </c>
      <c r="O10" s="154">
        <f>M10-N10</f>
        <v>2237.6900000000005</v>
      </c>
      <c r="P10" s="155">
        <f>VLOOKUP(M10,Tarifa1,3)</f>
        <v>0.23519999999999999</v>
      </c>
      <c r="Q10" s="154">
        <f>O10*P10</f>
        <v>526.30468800000006</v>
      </c>
      <c r="R10" s="156">
        <f>VLOOKUP(M10,Tarifa1,2)</f>
        <v>2469.15</v>
      </c>
      <c r="S10" s="154">
        <f>Q10+R10</f>
        <v>2995.4546880000003</v>
      </c>
      <c r="T10" s="154">
        <f>VLOOKUP(M10,Credito1,2)</f>
        <v>0</v>
      </c>
      <c r="U10" s="154">
        <f>ROUND(S10-T10,2)</f>
        <v>2995.45</v>
      </c>
      <c r="V10" s="153">
        <f>-IF(U10&gt;0,0,U10)</f>
        <v>0</v>
      </c>
      <c r="W10" s="153">
        <f>IF(I10/15&lt;=SMG,0,IF(U10&lt;0,0,U10))</f>
        <v>2995.45</v>
      </c>
      <c r="X10" s="153">
        <f>SUM(W10:W10)</f>
        <v>2995.45</v>
      </c>
      <c r="Y10" s="153">
        <f>K10+V10-X10</f>
        <v>14655.05</v>
      </c>
      <c r="Z10" s="87"/>
    </row>
    <row r="11" spans="1:26" s="4" customFormat="1" ht="131.25" customHeight="1" x14ac:dyDescent="0.35">
      <c r="A11" s="107" t="s">
        <v>85</v>
      </c>
      <c r="B11" s="146" t="s">
        <v>102</v>
      </c>
      <c r="C11" s="146" t="s">
        <v>110</v>
      </c>
      <c r="D11" s="210" t="s">
        <v>73</v>
      </c>
      <c r="E11" s="213">
        <v>39462</v>
      </c>
      <c r="F11" s="148" t="s">
        <v>197</v>
      </c>
      <c r="G11" s="149">
        <v>15</v>
      </c>
      <c r="H11" s="150">
        <f>I11/G11</f>
        <v>753.86666666666667</v>
      </c>
      <c r="I11" s="151">
        <v>11308</v>
      </c>
      <c r="J11" s="152">
        <v>0</v>
      </c>
      <c r="K11" s="153">
        <f>I11</f>
        <v>11308</v>
      </c>
      <c r="L11" s="154">
        <f>IF(I11/15&lt;=SMG,0,J11/2)</f>
        <v>0</v>
      </c>
      <c r="M11" s="154">
        <f t="shared" ref="M11:M12" si="0">I11+L11</f>
        <v>11308</v>
      </c>
      <c r="N11" s="154">
        <f>VLOOKUP(M11,Tarifa1,1)</f>
        <v>7641.91</v>
      </c>
      <c r="O11" s="154">
        <f t="shared" ref="O11:O12" si="1">M11-N11</f>
        <v>3666.09</v>
      </c>
      <c r="P11" s="155">
        <f>VLOOKUP(M11,Tarifa1,3)</f>
        <v>0.21360000000000001</v>
      </c>
      <c r="Q11" s="154">
        <f t="shared" ref="Q11:Q12" si="2">O11*P11</f>
        <v>783.0768240000001</v>
      </c>
      <c r="R11" s="156">
        <f>VLOOKUP(M11,Tarifa1,2)</f>
        <v>809.25</v>
      </c>
      <c r="S11" s="154">
        <f t="shared" ref="S11:S12" si="3">Q11+R11</f>
        <v>1592.3268240000002</v>
      </c>
      <c r="T11" s="154">
        <f>VLOOKUP(M11,Credito1,2)</f>
        <v>0</v>
      </c>
      <c r="U11" s="154">
        <f t="shared" ref="U11:U12" si="4">ROUND(S11-T11,2)</f>
        <v>1592.33</v>
      </c>
      <c r="V11" s="153">
        <f t="shared" ref="V11:V12" si="5">-IF(U11&gt;0,0,U11)</f>
        <v>0</v>
      </c>
      <c r="W11" s="153">
        <f>IF(I11/15&lt;=SMG,0,IF(U11&lt;0,0,U11))</f>
        <v>1592.33</v>
      </c>
      <c r="X11" s="153">
        <f>SUM(W11:W11)</f>
        <v>1592.33</v>
      </c>
      <c r="Y11" s="153">
        <f>K11+V11-X11</f>
        <v>9715.67</v>
      </c>
      <c r="Z11" s="87"/>
    </row>
    <row r="12" spans="1:26" s="4" customFormat="1" ht="131.25" customHeight="1" x14ac:dyDescent="0.35">
      <c r="A12" s="107" t="s">
        <v>86</v>
      </c>
      <c r="B12" s="146" t="s">
        <v>107</v>
      </c>
      <c r="C12" s="146" t="s">
        <v>110</v>
      </c>
      <c r="D12" s="210" t="s">
        <v>95</v>
      </c>
      <c r="E12" s="213">
        <v>42278</v>
      </c>
      <c r="F12" s="148" t="s">
        <v>197</v>
      </c>
      <c r="G12" s="149">
        <v>15</v>
      </c>
      <c r="H12" s="150">
        <f>I12/G12</f>
        <v>457.53333333333336</v>
      </c>
      <c r="I12" s="151">
        <v>6863</v>
      </c>
      <c r="J12" s="152">
        <v>0</v>
      </c>
      <c r="K12" s="153">
        <f>SUM(I12:J12)</f>
        <v>6863</v>
      </c>
      <c r="L12" s="154">
        <f>IF(I12/15&lt;=SMG,0,J12/2)</f>
        <v>0</v>
      </c>
      <c r="M12" s="154">
        <f t="shared" si="0"/>
        <v>6863</v>
      </c>
      <c r="N12" s="154">
        <f>VLOOKUP(M12,Tarifa1,1)</f>
        <v>6382.81</v>
      </c>
      <c r="O12" s="154">
        <f t="shared" si="1"/>
        <v>480.1899999999996</v>
      </c>
      <c r="P12" s="155">
        <f>VLOOKUP(M12,Tarifa1,3)</f>
        <v>0.1792</v>
      </c>
      <c r="Q12" s="154">
        <f t="shared" si="2"/>
        <v>86.050047999999933</v>
      </c>
      <c r="R12" s="156">
        <f>VLOOKUP(M12,Tarifa1,2)</f>
        <v>583.65</v>
      </c>
      <c r="S12" s="154">
        <f t="shared" si="3"/>
        <v>669.70004799999992</v>
      </c>
      <c r="T12" s="154">
        <f>VLOOKUP(M12,Credito1,2)</f>
        <v>0</v>
      </c>
      <c r="U12" s="154">
        <f t="shared" si="4"/>
        <v>669.7</v>
      </c>
      <c r="V12" s="153">
        <f t="shared" si="5"/>
        <v>0</v>
      </c>
      <c r="W12" s="153">
        <f>IF(I12/15&lt;=SMG,0,IF(U12&lt;0,0,U12))</f>
        <v>669.7</v>
      </c>
      <c r="X12" s="153">
        <f>SUM(W12:W12)</f>
        <v>669.7</v>
      </c>
      <c r="Y12" s="153">
        <f>K12+V12-X12</f>
        <v>6193.3</v>
      </c>
      <c r="Z12" s="87"/>
    </row>
    <row r="13" spans="1:26" s="4" customFormat="1" ht="36" customHeight="1" x14ac:dyDescent="0.3">
      <c r="A13" s="169"/>
      <c r="B13" s="169"/>
      <c r="C13" s="169"/>
      <c r="D13" s="169"/>
      <c r="E13" s="169"/>
      <c r="F13" s="169"/>
      <c r="G13" s="169"/>
      <c r="H13" s="169"/>
      <c r="I13" s="175"/>
      <c r="J13" s="175"/>
      <c r="K13" s="175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</row>
    <row r="14" spans="1:26" s="4" customFormat="1" ht="60" customHeight="1" thickBot="1" x14ac:dyDescent="0.35">
      <c r="A14" s="280" t="s">
        <v>44</v>
      </c>
      <c r="B14" s="281"/>
      <c r="C14" s="281"/>
      <c r="D14" s="281"/>
      <c r="E14" s="281"/>
      <c r="F14" s="281"/>
      <c r="G14" s="281"/>
      <c r="H14" s="282"/>
      <c r="I14" s="158">
        <f>SUM(I10:I13)</f>
        <v>35821.5</v>
      </c>
      <c r="J14" s="158">
        <f>SUM(J10:J13)</f>
        <v>0</v>
      </c>
      <c r="K14" s="158">
        <f>SUM(K10:K13)</f>
        <v>35821.5</v>
      </c>
      <c r="L14" s="159">
        <f t="shared" ref="L14:U14" si="6">SUM(L10:L13)</f>
        <v>0</v>
      </c>
      <c r="M14" s="159">
        <f t="shared" si="6"/>
        <v>35821.5</v>
      </c>
      <c r="N14" s="159">
        <f t="shared" si="6"/>
        <v>29437.530000000002</v>
      </c>
      <c r="O14" s="159">
        <f t="shared" si="6"/>
        <v>6383.97</v>
      </c>
      <c r="P14" s="159">
        <f t="shared" si="6"/>
        <v>0.628</v>
      </c>
      <c r="Q14" s="159">
        <f t="shared" si="6"/>
        <v>1395.43156</v>
      </c>
      <c r="R14" s="159">
        <f t="shared" si="6"/>
        <v>3862.05</v>
      </c>
      <c r="S14" s="159">
        <f t="shared" si="6"/>
        <v>5257.4815600000002</v>
      </c>
      <c r="T14" s="159">
        <f t="shared" si="6"/>
        <v>0</v>
      </c>
      <c r="U14" s="159">
        <f t="shared" si="6"/>
        <v>5257.48</v>
      </c>
      <c r="V14" s="158">
        <f>SUM(V10:V13)</f>
        <v>0</v>
      </c>
      <c r="W14" s="158">
        <f>SUM(W10:W13)</f>
        <v>5257.48</v>
      </c>
      <c r="X14" s="158">
        <f>SUM(X10:X13)</f>
        <v>5257.48</v>
      </c>
      <c r="Y14" s="158">
        <f>SUM(Y10:Y12)</f>
        <v>30564.02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" zoomScale="87" zoomScaleNormal="87" workbookViewId="0">
      <selection activeCell="W4" sqref="W1:W1048576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</row>
    <row r="3" spans="1:26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4" t="s">
        <v>1</v>
      </c>
      <c r="J6" s="296"/>
      <c r="K6" s="24" t="s">
        <v>25</v>
      </c>
      <c r="L6" s="25"/>
      <c r="M6" s="297" t="s">
        <v>8</v>
      </c>
      <c r="N6" s="298"/>
      <c r="O6" s="298"/>
      <c r="P6" s="298"/>
      <c r="Q6" s="298"/>
      <c r="R6" s="299"/>
      <c r="S6" s="24" t="s">
        <v>29</v>
      </c>
      <c r="T6" s="24" t="s">
        <v>9</v>
      </c>
      <c r="U6" s="23" t="s">
        <v>52</v>
      </c>
      <c r="V6" s="300" t="s">
        <v>2</v>
      </c>
      <c r="W6" s="301"/>
      <c r="X6" s="23" t="s">
        <v>0</v>
      </c>
      <c r="Y6" s="34"/>
    </row>
    <row r="7" spans="1:26" ht="33.75" customHeight="1" x14ac:dyDescent="0.25">
      <c r="A7" s="26" t="s">
        <v>20</v>
      </c>
      <c r="B7" s="44" t="s">
        <v>99</v>
      </c>
      <c r="C7" s="44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263</v>
      </c>
      <c r="W7" s="23" t="s">
        <v>6</v>
      </c>
      <c r="X7" s="26" t="s">
        <v>3</v>
      </c>
      <c r="Y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88" t="s">
        <v>60</v>
      </c>
      <c r="E9" s="38" t="s">
        <v>276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89"/>
    </row>
    <row r="10" spans="1:26" ht="93.75" customHeight="1" x14ac:dyDescent="0.35">
      <c r="A10" s="107" t="s">
        <v>83</v>
      </c>
      <c r="B10" s="145" t="s">
        <v>219</v>
      </c>
      <c r="C10" s="146" t="s">
        <v>110</v>
      </c>
      <c r="D10" s="210" t="s">
        <v>203</v>
      </c>
      <c r="E10" s="213">
        <v>44470</v>
      </c>
      <c r="F10" s="147" t="s">
        <v>75</v>
      </c>
      <c r="G10" s="149">
        <v>15</v>
      </c>
      <c r="H10" s="182">
        <f>I10/G10</f>
        <v>607.70000000000005</v>
      </c>
      <c r="I10" s="151">
        <v>9115.5</v>
      </c>
      <c r="J10" s="153">
        <f t="shared" ref="J10:J18" si="0">SUM(I10:I10)</f>
        <v>9115.5</v>
      </c>
      <c r="K10" s="154">
        <v>0</v>
      </c>
      <c r="L10" s="154">
        <f>J10+K10</f>
        <v>9115.5</v>
      </c>
      <c r="M10" s="154">
        <f t="shared" ref="M10:M18" si="1">VLOOKUP(L10,Tarifa1,1)</f>
        <v>7641.91</v>
      </c>
      <c r="N10" s="154">
        <f>L10-M10</f>
        <v>1473.5900000000001</v>
      </c>
      <c r="O10" s="155">
        <f t="shared" ref="O10" si="2">VLOOKUP(L10,Tarifa1,3)</f>
        <v>0.21360000000000001</v>
      </c>
      <c r="P10" s="154">
        <f>N10*O10</f>
        <v>314.75882400000006</v>
      </c>
      <c r="Q10" s="156">
        <f t="shared" ref="Q10:Q18" si="3">VLOOKUP(L10,Tarifa1,2)</f>
        <v>809.25</v>
      </c>
      <c r="R10" s="154">
        <f>P10+Q10</f>
        <v>1124.008824</v>
      </c>
      <c r="S10" s="154">
        <f t="shared" ref="S10" si="4">VLOOKUP(L10,Credito1,2)</f>
        <v>0</v>
      </c>
      <c r="T10" s="154">
        <f>ROUND(R10-S10,2)</f>
        <v>1124.01</v>
      </c>
      <c r="U10" s="153">
        <f t="shared" ref="U10:U18" si="5">-IF(T10&gt;0,0,T10)</f>
        <v>0</v>
      </c>
      <c r="V10" s="153">
        <f t="shared" ref="V10:V18" si="6">IF(I10/15&lt;=SMG,0,IF(T10&lt;0,0,T10))</f>
        <v>1124.01</v>
      </c>
      <c r="W10" s="153">
        <f t="shared" ref="W10:W18" si="7">SUM(V10:V10)</f>
        <v>1124.01</v>
      </c>
      <c r="X10" s="153">
        <f t="shared" ref="X10:X18" si="8">J10+U10-W10</f>
        <v>7991.49</v>
      </c>
      <c r="Y10" s="33"/>
    </row>
    <row r="11" spans="1:26" ht="93.75" customHeight="1" x14ac:dyDescent="0.35">
      <c r="A11" s="107" t="s">
        <v>84</v>
      </c>
      <c r="B11" s="145" t="s">
        <v>201</v>
      </c>
      <c r="C11" s="146" t="s">
        <v>110</v>
      </c>
      <c r="D11" s="210" t="s">
        <v>204</v>
      </c>
      <c r="E11" s="213">
        <v>44470</v>
      </c>
      <c r="F11" s="147" t="s">
        <v>75</v>
      </c>
      <c r="G11" s="149">
        <v>15</v>
      </c>
      <c r="H11" s="182">
        <f t="shared" ref="H11:H18" si="9">I11/G11</f>
        <v>607.70000000000005</v>
      </c>
      <c r="I11" s="151">
        <v>9115.5</v>
      </c>
      <c r="J11" s="153">
        <f t="shared" si="0"/>
        <v>9115.5</v>
      </c>
      <c r="K11" s="154">
        <v>0</v>
      </c>
      <c r="L11" s="154">
        <f t="shared" ref="L11:L18" si="10">J11+K11</f>
        <v>9115.5</v>
      </c>
      <c r="M11" s="154">
        <f t="shared" si="1"/>
        <v>7641.91</v>
      </c>
      <c r="N11" s="154">
        <f t="shared" ref="N11" si="11">L11-M11</f>
        <v>1473.5900000000001</v>
      </c>
      <c r="O11" s="155">
        <f t="shared" ref="O11" si="12">VLOOKUP(L11,Tarifa1,3)</f>
        <v>0.21360000000000001</v>
      </c>
      <c r="P11" s="154">
        <f t="shared" ref="P11" si="13">N11*O11</f>
        <v>314.75882400000006</v>
      </c>
      <c r="Q11" s="156">
        <f t="shared" si="3"/>
        <v>809.25</v>
      </c>
      <c r="R11" s="154">
        <f t="shared" ref="R11:R18" si="14">P11+Q11</f>
        <v>1124.008824</v>
      </c>
      <c r="S11" s="154">
        <f t="shared" ref="S11:S18" si="15">VLOOKUP(L11,Credito1,2)</f>
        <v>0</v>
      </c>
      <c r="T11" s="154">
        <f t="shared" ref="T11:T18" si="16">ROUND(R11-S11,2)</f>
        <v>1124.01</v>
      </c>
      <c r="U11" s="153">
        <f t="shared" si="5"/>
        <v>0</v>
      </c>
      <c r="V11" s="153">
        <f t="shared" si="6"/>
        <v>1124.01</v>
      </c>
      <c r="W11" s="153">
        <f t="shared" si="7"/>
        <v>1124.01</v>
      </c>
      <c r="X11" s="153">
        <f t="shared" si="8"/>
        <v>7991.49</v>
      </c>
      <c r="Y11" s="33"/>
    </row>
    <row r="12" spans="1:26" ht="93.75" customHeight="1" x14ac:dyDescent="0.35">
      <c r="A12" s="107" t="s">
        <v>85</v>
      </c>
      <c r="B12" s="145" t="s">
        <v>202</v>
      </c>
      <c r="C12" s="146" t="s">
        <v>110</v>
      </c>
      <c r="D12" s="210" t="s">
        <v>205</v>
      </c>
      <c r="E12" s="213">
        <v>44470</v>
      </c>
      <c r="F12" s="147" t="s">
        <v>75</v>
      </c>
      <c r="G12" s="149">
        <v>15</v>
      </c>
      <c r="H12" s="182">
        <f t="shared" si="9"/>
        <v>607.70000000000005</v>
      </c>
      <c r="I12" s="151">
        <v>9115.5</v>
      </c>
      <c r="J12" s="153">
        <f t="shared" si="0"/>
        <v>9115.5</v>
      </c>
      <c r="K12" s="154">
        <v>0</v>
      </c>
      <c r="L12" s="154">
        <f t="shared" si="10"/>
        <v>9115.5</v>
      </c>
      <c r="M12" s="154">
        <f t="shared" si="1"/>
        <v>7641.91</v>
      </c>
      <c r="N12" s="154">
        <f t="shared" ref="N12:N18" si="17">L12-M12</f>
        <v>1473.5900000000001</v>
      </c>
      <c r="O12" s="155">
        <f t="shared" ref="O12:O18" si="18">VLOOKUP(L12,Tarifa1,3)</f>
        <v>0.21360000000000001</v>
      </c>
      <c r="P12" s="154">
        <f t="shared" ref="P12:P18" si="19">N12*O12</f>
        <v>314.75882400000006</v>
      </c>
      <c r="Q12" s="156">
        <f t="shared" si="3"/>
        <v>809.25</v>
      </c>
      <c r="R12" s="154">
        <f t="shared" si="14"/>
        <v>1124.008824</v>
      </c>
      <c r="S12" s="154">
        <f t="shared" si="15"/>
        <v>0</v>
      </c>
      <c r="T12" s="154">
        <f t="shared" si="16"/>
        <v>1124.01</v>
      </c>
      <c r="U12" s="153">
        <f t="shared" si="5"/>
        <v>0</v>
      </c>
      <c r="V12" s="153">
        <f t="shared" si="6"/>
        <v>1124.01</v>
      </c>
      <c r="W12" s="153">
        <f t="shared" si="7"/>
        <v>1124.01</v>
      </c>
      <c r="X12" s="153">
        <f t="shared" si="8"/>
        <v>7991.49</v>
      </c>
      <c r="Y12" s="33"/>
    </row>
    <row r="13" spans="1:26" ht="93.75" customHeight="1" x14ac:dyDescent="0.35">
      <c r="A13" s="107" t="s">
        <v>86</v>
      </c>
      <c r="B13" s="145" t="s">
        <v>220</v>
      </c>
      <c r="C13" s="146" t="s">
        <v>110</v>
      </c>
      <c r="D13" s="211" t="s">
        <v>206</v>
      </c>
      <c r="E13" s="213">
        <v>44470</v>
      </c>
      <c r="F13" s="147" t="s">
        <v>75</v>
      </c>
      <c r="G13" s="149">
        <v>10</v>
      </c>
      <c r="H13" s="182">
        <f t="shared" si="9"/>
        <v>911.55</v>
      </c>
      <c r="I13" s="151">
        <v>9115.5</v>
      </c>
      <c r="J13" s="153">
        <f t="shared" ref="J13" si="20">SUM(I13:I13)</f>
        <v>9115.5</v>
      </c>
      <c r="K13" s="154">
        <v>0</v>
      </c>
      <c r="L13" s="154">
        <f t="shared" ref="L13" si="21">J13+K13</f>
        <v>9115.5</v>
      </c>
      <c r="M13" s="154">
        <f t="shared" si="1"/>
        <v>7641.91</v>
      </c>
      <c r="N13" s="154">
        <f t="shared" si="17"/>
        <v>1473.5900000000001</v>
      </c>
      <c r="O13" s="155">
        <f t="shared" si="18"/>
        <v>0.21360000000000001</v>
      </c>
      <c r="P13" s="154">
        <f t="shared" si="19"/>
        <v>314.75882400000006</v>
      </c>
      <c r="Q13" s="156">
        <f t="shared" si="3"/>
        <v>809.25</v>
      </c>
      <c r="R13" s="154">
        <f t="shared" ref="R13" si="22">P13+Q13</f>
        <v>1124.008824</v>
      </c>
      <c r="S13" s="154">
        <f t="shared" ref="S13" si="23">VLOOKUP(L13,Credito1,2)</f>
        <v>0</v>
      </c>
      <c r="T13" s="154">
        <f t="shared" ref="T13" si="24">ROUND(R13-S13,2)</f>
        <v>1124.01</v>
      </c>
      <c r="U13" s="153">
        <f t="shared" si="5"/>
        <v>0</v>
      </c>
      <c r="V13" s="153">
        <f t="shared" si="6"/>
        <v>1124.01</v>
      </c>
      <c r="W13" s="153">
        <f t="shared" si="7"/>
        <v>1124.01</v>
      </c>
      <c r="X13" s="153">
        <f t="shared" si="8"/>
        <v>7991.49</v>
      </c>
      <c r="Y13" s="33"/>
    </row>
    <row r="14" spans="1:26" ht="93.75" customHeight="1" x14ac:dyDescent="0.35">
      <c r="A14" s="107" t="s">
        <v>87</v>
      </c>
      <c r="B14" s="145" t="s">
        <v>221</v>
      </c>
      <c r="C14" s="146" t="s">
        <v>110</v>
      </c>
      <c r="D14" s="212" t="s">
        <v>207</v>
      </c>
      <c r="E14" s="213">
        <v>44470</v>
      </c>
      <c r="F14" s="161" t="s">
        <v>75</v>
      </c>
      <c r="G14" s="162">
        <v>15</v>
      </c>
      <c r="H14" s="183">
        <f t="shared" si="9"/>
        <v>607.70000000000005</v>
      </c>
      <c r="I14" s="151">
        <v>9115.5</v>
      </c>
      <c r="J14" s="153">
        <f t="shared" ref="J14" si="25">SUM(I14:I14)</f>
        <v>9115.5</v>
      </c>
      <c r="K14" s="154">
        <v>0</v>
      </c>
      <c r="L14" s="154">
        <f t="shared" si="10"/>
        <v>9115.5</v>
      </c>
      <c r="M14" s="154">
        <f t="shared" si="1"/>
        <v>7641.91</v>
      </c>
      <c r="N14" s="154">
        <f t="shared" si="17"/>
        <v>1473.5900000000001</v>
      </c>
      <c r="O14" s="155">
        <f t="shared" si="18"/>
        <v>0.21360000000000001</v>
      </c>
      <c r="P14" s="154">
        <f t="shared" si="19"/>
        <v>314.75882400000006</v>
      </c>
      <c r="Q14" s="156">
        <f t="shared" si="3"/>
        <v>809.25</v>
      </c>
      <c r="R14" s="154">
        <f t="shared" si="14"/>
        <v>1124.008824</v>
      </c>
      <c r="S14" s="154">
        <f t="shared" si="15"/>
        <v>0</v>
      </c>
      <c r="T14" s="154">
        <f t="shared" si="16"/>
        <v>1124.01</v>
      </c>
      <c r="U14" s="153">
        <f t="shared" ref="U14" si="26">-IF(T14&gt;0,0,T14)</f>
        <v>0</v>
      </c>
      <c r="V14" s="153">
        <f t="shared" si="6"/>
        <v>1124.01</v>
      </c>
      <c r="W14" s="153">
        <f t="shared" si="7"/>
        <v>1124.01</v>
      </c>
      <c r="X14" s="153">
        <f t="shared" si="8"/>
        <v>7991.49</v>
      </c>
      <c r="Y14" s="33"/>
    </row>
    <row r="15" spans="1:26" ht="93.75" customHeight="1" x14ac:dyDescent="0.35">
      <c r="A15" s="107" t="s">
        <v>88</v>
      </c>
      <c r="B15" s="145" t="s">
        <v>222</v>
      </c>
      <c r="C15" s="146" t="s">
        <v>110</v>
      </c>
      <c r="D15" s="210" t="s">
        <v>208</v>
      </c>
      <c r="E15" s="213">
        <v>44470</v>
      </c>
      <c r="F15" s="147" t="s">
        <v>75</v>
      </c>
      <c r="G15" s="149">
        <v>15</v>
      </c>
      <c r="H15" s="182">
        <f t="shared" si="9"/>
        <v>607.70000000000005</v>
      </c>
      <c r="I15" s="151">
        <v>9115.5</v>
      </c>
      <c r="J15" s="153">
        <f t="shared" si="0"/>
        <v>9115.5</v>
      </c>
      <c r="K15" s="154">
        <v>0</v>
      </c>
      <c r="L15" s="154">
        <f t="shared" si="10"/>
        <v>9115.5</v>
      </c>
      <c r="M15" s="154">
        <f t="shared" si="1"/>
        <v>7641.91</v>
      </c>
      <c r="N15" s="154">
        <f t="shared" si="17"/>
        <v>1473.5900000000001</v>
      </c>
      <c r="O15" s="155">
        <f t="shared" si="18"/>
        <v>0.21360000000000001</v>
      </c>
      <c r="P15" s="154">
        <f t="shared" si="19"/>
        <v>314.75882400000006</v>
      </c>
      <c r="Q15" s="156">
        <f t="shared" si="3"/>
        <v>809.25</v>
      </c>
      <c r="R15" s="154">
        <f t="shared" si="14"/>
        <v>1124.008824</v>
      </c>
      <c r="S15" s="154">
        <f t="shared" si="15"/>
        <v>0</v>
      </c>
      <c r="T15" s="154">
        <f t="shared" si="16"/>
        <v>1124.01</v>
      </c>
      <c r="U15" s="153">
        <f t="shared" si="5"/>
        <v>0</v>
      </c>
      <c r="V15" s="153">
        <f t="shared" si="6"/>
        <v>1124.01</v>
      </c>
      <c r="W15" s="153">
        <f t="shared" si="7"/>
        <v>1124.01</v>
      </c>
      <c r="X15" s="153">
        <f t="shared" si="8"/>
        <v>7991.49</v>
      </c>
      <c r="Y15" s="33"/>
    </row>
    <row r="16" spans="1:26" ht="93.75" customHeight="1" x14ac:dyDescent="0.35">
      <c r="A16" s="107" t="s">
        <v>89</v>
      </c>
      <c r="B16" s="145" t="s">
        <v>209</v>
      </c>
      <c r="C16" s="146" t="s">
        <v>110</v>
      </c>
      <c r="D16" s="210" t="s">
        <v>210</v>
      </c>
      <c r="E16" s="213">
        <v>44470</v>
      </c>
      <c r="F16" s="147" t="s">
        <v>75</v>
      </c>
      <c r="G16" s="149">
        <v>15</v>
      </c>
      <c r="H16" s="182">
        <f t="shared" si="9"/>
        <v>607.70000000000005</v>
      </c>
      <c r="I16" s="151">
        <v>9115.5</v>
      </c>
      <c r="J16" s="153">
        <f t="shared" si="0"/>
        <v>9115.5</v>
      </c>
      <c r="K16" s="154">
        <v>0</v>
      </c>
      <c r="L16" s="154">
        <f t="shared" si="10"/>
        <v>9115.5</v>
      </c>
      <c r="M16" s="154">
        <f t="shared" si="1"/>
        <v>7641.91</v>
      </c>
      <c r="N16" s="154">
        <f t="shared" si="17"/>
        <v>1473.5900000000001</v>
      </c>
      <c r="O16" s="155">
        <f t="shared" si="18"/>
        <v>0.21360000000000001</v>
      </c>
      <c r="P16" s="154">
        <f t="shared" si="19"/>
        <v>314.75882400000006</v>
      </c>
      <c r="Q16" s="156">
        <f t="shared" si="3"/>
        <v>809.25</v>
      </c>
      <c r="R16" s="154">
        <f t="shared" si="14"/>
        <v>1124.008824</v>
      </c>
      <c r="S16" s="154">
        <f t="shared" si="15"/>
        <v>0</v>
      </c>
      <c r="T16" s="154">
        <f t="shared" si="16"/>
        <v>1124.01</v>
      </c>
      <c r="U16" s="153">
        <f t="shared" si="5"/>
        <v>0</v>
      </c>
      <c r="V16" s="153">
        <f t="shared" si="6"/>
        <v>1124.01</v>
      </c>
      <c r="W16" s="153">
        <f t="shared" si="7"/>
        <v>1124.01</v>
      </c>
      <c r="X16" s="153">
        <f t="shared" si="8"/>
        <v>7991.49</v>
      </c>
      <c r="Y16" s="33"/>
    </row>
    <row r="17" spans="1:25" ht="93.75" customHeight="1" x14ac:dyDescent="0.35">
      <c r="A17" s="107" t="s">
        <v>90</v>
      </c>
      <c r="B17" s="145" t="s">
        <v>223</v>
      </c>
      <c r="C17" s="146" t="s">
        <v>110</v>
      </c>
      <c r="D17" s="210" t="s">
        <v>211</v>
      </c>
      <c r="E17" s="213">
        <v>44470</v>
      </c>
      <c r="F17" s="147" t="s">
        <v>75</v>
      </c>
      <c r="G17" s="149">
        <v>15</v>
      </c>
      <c r="H17" s="182">
        <f t="shared" si="9"/>
        <v>607.70000000000005</v>
      </c>
      <c r="I17" s="151">
        <v>9115.5</v>
      </c>
      <c r="J17" s="153">
        <f t="shared" si="0"/>
        <v>9115.5</v>
      </c>
      <c r="K17" s="154">
        <v>0</v>
      </c>
      <c r="L17" s="154">
        <f t="shared" si="10"/>
        <v>9115.5</v>
      </c>
      <c r="M17" s="154">
        <f t="shared" si="1"/>
        <v>7641.91</v>
      </c>
      <c r="N17" s="154">
        <f t="shared" si="17"/>
        <v>1473.5900000000001</v>
      </c>
      <c r="O17" s="155">
        <f t="shared" si="18"/>
        <v>0.21360000000000001</v>
      </c>
      <c r="P17" s="154">
        <f t="shared" si="19"/>
        <v>314.75882400000006</v>
      </c>
      <c r="Q17" s="156">
        <f t="shared" si="3"/>
        <v>809.25</v>
      </c>
      <c r="R17" s="154">
        <f t="shared" si="14"/>
        <v>1124.008824</v>
      </c>
      <c r="S17" s="154">
        <f t="shared" si="15"/>
        <v>0</v>
      </c>
      <c r="T17" s="154">
        <f t="shared" si="16"/>
        <v>1124.01</v>
      </c>
      <c r="U17" s="153">
        <f t="shared" si="5"/>
        <v>0</v>
      </c>
      <c r="V17" s="153">
        <f t="shared" si="6"/>
        <v>1124.01</v>
      </c>
      <c r="W17" s="153">
        <f t="shared" si="7"/>
        <v>1124.01</v>
      </c>
      <c r="X17" s="153">
        <f t="shared" si="8"/>
        <v>7991.49</v>
      </c>
      <c r="Y17" s="33"/>
    </row>
    <row r="18" spans="1:25" ht="93.75" customHeight="1" x14ac:dyDescent="0.35">
      <c r="A18" s="107" t="s">
        <v>91</v>
      </c>
      <c r="B18" s="145" t="s">
        <v>224</v>
      </c>
      <c r="C18" s="146" t="s">
        <v>110</v>
      </c>
      <c r="D18" s="210" t="s">
        <v>228</v>
      </c>
      <c r="E18" s="213">
        <v>44470</v>
      </c>
      <c r="F18" s="147" t="s">
        <v>75</v>
      </c>
      <c r="G18" s="149">
        <v>15</v>
      </c>
      <c r="H18" s="182">
        <f t="shared" si="9"/>
        <v>607.70000000000005</v>
      </c>
      <c r="I18" s="151">
        <v>9115.5</v>
      </c>
      <c r="J18" s="153">
        <f t="shared" si="0"/>
        <v>9115.5</v>
      </c>
      <c r="K18" s="154">
        <v>0</v>
      </c>
      <c r="L18" s="154">
        <f t="shared" si="10"/>
        <v>9115.5</v>
      </c>
      <c r="M18" s="154">
        <f t="shared" si="1"/>
        <v>7641.91</v>
      </c>
      <c r="N18" s="154">
        <f t="shared" si="17"/>
        <v>1473.5900000000001</v>
      </c>
      <c r="O18" s="155">
        <f t="shared" si="18"/>
        <v>0.21360000000000001</v>
      </c>
      <c r="P18" s="154">
        <f t="shared" si="19"/>
        <v>314.75882400000006</v>
      </c>
      <c r="Q18" s="156">
        <f t="shared" si="3"/>
        <v>809.25</v>
      </c>
      <c r="R18" s="154">
        <f t="shared" si="14"/>
        <v>1124.008824</v>
      </c>
      <c r="S18" s="154">
        <f t="shared" si="15"/>
        <v>0</v>
      </c>
      <c r="T18" s="154">
        <f t="shared" si="16"/>
        <v>1124.01</v>
      </c>
      <c r="U18" s="153">
        <f t="shared" si="5"/>
        <v>0</v>
      </c>
      <c r="V18" s="153">
        <f t="shared" si="6"/>
        <v>1124.01</v>
      </c>
      <c r="W18" s="153">
        <f t="shared" si="7"/>
        <v>1124.01</v>
      </c>
      <c r="X18" s="153">
        <f t="shared" si="8"/>
        <v>7991.49</v>
      </c>
      <c r="Y18" s="33"/>
    </row>
    <row r="19" spans="1:25" ht="21.75" customHeight="1" x14ac:dyDescent="0.3">
      <c r="A19" s="169"/>
      <c r="B19" s="169"/>
      <c r="C19" s="169"/>
      <c r="D19" s="169"/>
      <c r="E19" s="169"/>
      <c r="F19" s="169"/>
      <c r="G19" s="169"/>
      <c r="H19" s="169"/>
      <c r="I19" s="175"/>
      <c r="J19" s="175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</row>
    <row r="20" spans="1:25" ht="40.5" customHeight="1" thickBot="1" x14ac:dyDescent="0.35">
      <c r="A20" s="280" t="s">
        <v>44</v>
      </c>
      <c r="B20" s="281"/>
      <c r="C20" s="281"/>
      <c r="D20" s="281"/>
      <c r="E20" s="281"/>
      <c r="F20" s="281"/>
      <c r="G20" s="281"/>
      <c r="H20" s="282"/>
      <c r="I20" s="158">
        <f>SUM(I10:I19)</f>
        <v>82039.5</v>
      </c>
      <c r="J20" s="158">
        <f>SUM(J10:J19)</f>
        <v>82039.5</v>
      </c>
      <c r="K20" s="159">
        <f t="shared" ref="K20:T20" si="27">SUM(K10:K19)</f>
        <v>0</v>
      </c>
      <c r="L20" s="159">
        <f t="shared" si="27"/>
        <v>82039.5</v>
      </c>
      <c r="M20" s="159">
        <f t="shared" si="27"/>
        <v>68777.190000000017</v>
      </c>
      <c r="N20" s="159">
        <f t="shared" si="27"/>
        <v>13262.310000000001</v>
      </c>
      <c r="O20" s="159">
        <f t="shared" si="27"/>
        <v>1.9224000000000001</v>
      </c>
      <c r="P20" s="159">
        <f t="shared" si="27"/>
        <v>2832.8294160000005</v>
      </c>
      <c r="Q20" s="159">
        <f t="shared" si="27"/>
        <v>7283.25</v>
      </c>
      <c r="R20" s="159">
        <f t="shared" si="27"/>
        <v>10116.079416000002</v>
      </c>
      <c r="S20" s="159">
        <f t="shared" si="27"/>
        <v>0</v>
      </c>
      <c r="T20" s="159">
        <f t="shared" si="27"/>
        <v>10116.09</v>
      </c>
      <c r="U20" s="158">
        <f>SUM(U10:U19)</f>
        <v>0</v>
      </c>
      <c r="V20" s="158">
        <f>SUM(V10:V19)</f>
        <v>10116.09</v>
      </c>
      <c r="W20" s="158">
        <f>SUM(W10:W19)</f>
        <v>10116.09</v>
      </c>
      <c r="X20" s="158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W4" sqref="W1:W104857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ht="17.399999999999999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26" ht="19.8" x14ac:dyDescent="0.3">
      <c r="A3" s="284" t="s">
        <v>342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4" t="s">
        <v>1</v>
      </c>
      <c r="I7" s="295"/>
      <c r="J7" s="296"/>
      <c r="K7" s="24" t="s">
        <v>25</v>
      </c>
      <c r="L7" s="25"/>
      <c r="M7" s="297" t="s">
        <v>8</v>
      </c>
      <c r="N7" s="298"/>
      <c r="O7" s="298"/>
      <c r="P7" s="298"/>
      <c r="Q7" s="298"/>
      <c r="R7" s="299"/>
      <c r="S7" s="24" t="s">
        <v>29</v>
      </c>
      <c r="T7" s="24" t="s">
        <v>9</v>
      </c>
      <c r="U7" s="23" t="s">
        <v>52</v>
      </c>
      <c r="V7" s="300" t="s">
        <v>2</v>
      </c>
      <c r="W7" s="301"/>
      <c r="X7" s="23" t="s">
        <v>0</v>
      </c>
      <c r="Y7" s="34"/>
    </row>
    <row r="8" spans="1:26" ht="21" x14ac:dyDescent="0.25">
      <c r="A8" s="44" t="s">
        <v>99</v>
      </c>
      <c r="B8" s="44" t="s">
        <v>111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263</v>
      </c>
      <c r="W8" s="23" t="s">
        <v>6</v>
      </c>
      <c r="X8" s="26" t="s">
        <v>3</v>
      </c>
      <c r="Y8" s="36" t="s">
        <v>57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88" t="s">
        <v>74</v>
      </c>
      <c r="D10" s="268" t="s">
        <v>276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89"/>
    </row>
    <row r="11" spans="1:26" ht="139.5" customHeight="1" x14ac:dyDescent="0.35">
      <c r="A11" s="145" t="s">
        <v>192</v>
      </c>
      <c r="B11" s="146" t="s">
        <v>110</v>
      </c>
      <c r="C11" s="210" t="s">
        <v>193</v>
      </c>
      <c r="D11" s="213">
        <v>43374</v>
      </c>
      <c r="E11" s="148" t="s">
        <v>236</v>
      </c>
      <c r="F11" s="149">
        <v>15</v>
      </c>
      <c r="G11" s="150">
        <f>H11/F11</f>
        <v>1020.3333333333334</v>
      </c>
      <c r="H11" s="151">
        <v>15305</v>
      </c>
      <c r="I11" s="152">
        <v>0</v>
      </c>
      <c r="J11" s="153">
        <f>SUM(H11:I11)</f>
        <v>15305</v>
      </c>
      <c r="K11" s="154">
        <f>I11/2</f>
        <v>0</v>
      </c>
      <c r="L11" s="154">
        <f>H11+K11</f>
        <v>15305</v>
      </c>
      <c r="M11" s="154">
        <f>VLOOKUP(L11,Tarifa1,1)</f>
        <v>7641.91</v>
      </c>
      <c r="N11" s="154">
        <f>L11-M11</f>
        <v>7663.09</v>
      </c>
      <c r="O11" s="155">
        <f t="shared" ref="O11" si="0">VLOOKUP(L11,Tarifa1,3)</f>
        <v>0.21360000000000001</v>
      </c>
      <c r="P11" s="154">
        <f>N11*O11</f>
        <v>1636.8360240000002</v>
      </c>
      <c r="Q11" s="156">
        <f>VLOOKUP(L11,Tarifa1,2)</f>
        <v>809.25</v>
      </c>
      <c r="R11" s="154">
        <f>P11+Q11</f>
        <v>2446.0860240000002</v>
      </c>
      <c r="S11" s="154">
        <f t="shared" ref="S11" si="1">VLOOKUP(L11,Credito1,2)</f>
        <v>0</v>
      </c>
      <c r="T11" s="154">
        <f>ROUND(R11-S11,2)</f>
        <v>2446.09</v>
      </c>
      <c r="U11" s="153">
        <f t="shared" ref="U11" si="2">-IF(T11&gt;0,0,T11)</f>
        <v>0</v>
      </c>
      <c r="V11" s="153">
        <f>IF(H11/15&lt;=SMG,0,IF(T11&lt;0,0,T11))</f>
        <v>2446.09</v>
      </c>
      <c r="W11" s="153">
        <f>SUM(V11:V11)</f>
        <v>2446.09</v>
      </c>
      <c r="X11" s="153">
        <f>J11+U11-W11</f>
        <v>12858.91</v>
      </c>
      <c r="Y11" s="90"/>
    </row>
    <row r="12" spans="1:26" ht="17.399999999999999" x14ac:dyDescent="0.3">
      <c r="A12" s="169"/>
      <c r="B12" s="169"/>
      <c r="C12" s="169"/>
      <c r="D12" s="169"/>
      <c r="E12" s="169"/>
      <c r="F12" s="170"/>
      <c r="G12" s="169"/>
      <c r="H12" s="171"/>
      <c r="I12" s="171"/>
      <c r="J12" s="171"/>
      <c r="K12" s="172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</row>
    <row r="13" spans="1:26" ht="41.25" customHeight="1" thickBot="1" x14ac:dyDescent="0.35">
      <c r="A13" s="281"/>
      <c r="B13" s="281"/>
      <c r="C13" s="281"/>
      <c r="D13" s="281"/>
      <c r="E13" s="281"/>
      <c r="F13" s="281"/>
      <c r="G13" s="282"/>
      <c r="H13" s="158">
        <f t="shared" ref="H13:X13" si="3">SUM(H11:H12)</f>
        <v>15305</v>
      </c>
      <c r="I13" s="158">
        <f t="shared" si="3"/>
        <v>0</v>
      </c>
      <c r="J13" s="158">
        <f t="shared" si="3"/>
        <v>15305</v>
      </c>
      <c r="K13" s="159">
        <f t="shared" si="3"/>
        <v>0</v>
      </c>
      <c r="L13" s="159">
        <f t="shared" si="3"/>
        <v>15305</v>
      </c>
      <c r="M13" s="159">
        <f t="shared" si="3"/>
        <v>7641.91</v>
      </c>
      <c r="N13" s="159">
        <f t="shared" si="3"/>
        <v>7663.09</v>
      </c>
      <c r="O13" s="159">
        <f t="shared" si="3"/>
        <v>0.21360000000000001</v>
      </c>
      <c r="P13" s="159">
        <f t="shared" si="3"/>
        <v>1636.8360240000002</v>
      </c>
      <c r="Q13" s="159">
        <f t="shared" si="3"/>
        <v>809.25</v>
      </c>
      <c r="R13" s="159">
        <f t="shared" si="3"/>
        <v>2446.0860240000002</v>
      </c>
      <c r="S13" s="159">
        <f t="shared" si="3"/>
        <v>0</v>
      </c>
      <c r="T13" s="159">
        <f t="shared" si="3"/>
        <v>2446.09</v>
      </c>
      <c r="U13" s="158">
        <f t="shared" si="3"/>
        <v>0</v>
      </c>
      <c r="V13" s="158">
        <f t="shared" si="3"/>
        <v>2446.09</v>
      </c>
      <c r="W13" s="158">
        <f t="shared" si="3"/>
        <v>2446.09</v>
      </c>
      <c r="X13" s="158">
        <f t="shared" si="3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2024-03-20T16:56:08Z</cp:lastPrinted>
  <dcterms:created xsi:type="dcterms:W3CDTF">2000-05-05T04:08:27Z</dcterms:created>
  <dcterms:modified xsi:type="dcterms:W3CDTF">2024-11-15T18:01:04Z</dcterms:modified>
</cp:coreProperties>
</file>