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SINDICO!$1:$24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20" l="1"/>
  <c r="O14" i="120" s="1"/>
  <c r="M14" i="120"/>
  <c r="N25" i="120"/>
  <c r="O25" i="120" s="1"/>
  <c r="M25" i="120"/>
  <c r="N18" i="119"/>
  <c r="O18" i="119" s="1"/>
  <c r="M18" i="119"/>
  <c r="J14" i="135"/>
  <c r="K14" i="135" s="1"/>
  <c r="I14" i="135"/>
  <c r="J12" i="135"/>
  <c r="K12" i="135" s="1"/>
  <c r="I12" i="135"/>
  <c r="T14" i="120" l="1"/>
  <c r="P14" i="120"/>
  <c r="Q14" i="120" s="1"/>
  <c r="V14" i="120"/>
  <c r="R14" i="120"/>
  <c r="V25" i="120"/>
  <c r="R25" i="120"/>
  <c r="T25" i="120"/>
  <c r="P25" i="120"/>
  <c r="Q25" i="120" s="1"/>
  <c r="V18" i="119"/>
  <c r="R18" i="119"/>
  <c r="T18" i="119"/>
  <c r="P18" i="119"/>
  <c r="Q18" i="119" s="1"/>
  <c r="N14" i="135"/>
  <c r="R14" i="135"/>
  <c r="P14" i="135"/>
  <c r="L14" i="135"/>
  <c r="M14" i="135" s="1"/>
  <c r="R12" i="135"/>
  <c r="N12" i="135"/>
  <c r="P12" i="135"/>
  <c r="L12" i="135"/>
  <c r="M12" i="135" s="1"/>
  <c r="N29" i="121"/>
  <c r="O29" i="121" s="1"/>
  <c r="M29" i="121"/>
  <c r="Z16" i="119"/>
  <c r="L16" i="119"/>
  <c r="K16" i="119"/>
  <c r="J21" i="135"/>
  <c r="K21" i="135" s="1"/>
  <c r="I21" i="135"/>
  <c r="S14" i="120" l="1"/>
  <c r="U14" i="120" s="1"/>
  <c r="W14" i="120" s="1"/>
  <c r="Y14" i="120"/>
  <c r="AA14" i="120" s="1"/>
  <c r="S25" i="120"/>
  <c r="U25" i="120" s="1"/>
  <c r="W25" i="120" s="1"/>
  <c r="Y25" i="120" s="1"/>
  <c r="AA25" i="120" s="1"/>
  <c r="O14" i="135"/>
  <c r="Q14" i="135" s="1"/>
  <c r="S14" i="135" s="1"/>
  <c r="T14" i="135" s="1"/>
  <c r="S18" i="119"/>
  <c r="U18" i="119" s="1"/>
  <c r="W18" i="119" s="1"/>
  <c r="X18" i="119" s="1"/>
  <c r="O12" i="135"/>
  <c r="Q12" i="135" s="1"/>
  <c r="S12" i="135" s="1"/>
  <c r="T29" i="121"/>
  <c r="P29" i="121"/>
  <c r="Q29" i="121" s="1"/>
  <c r="V29" i="121"/>
  <c r="R29" i="121"/>
  <c r="R21" i="135"/>
  <c r="N21" i="135"/>
  <c r="P21" i="135"/>
  <c r="L21" i="135"/>
  <c r="M21" i="135" s="1"/>
  <c r="U14" i="135" l="1"/>
  <c r="W14" i="135" s="1"/>
  <c r="AB14" i="120"/>
  <c r="X25" i="120"/>
  <c r="AB25" i="120" s="1"/>
  <c r="Y18" i="119"/>
  <c r="AA18" i="119" s="1"/>
  <c r="X14" i="135"/>
  <c r="O21" i="135"/>
  <c r="T12" i="135"/>
  <c r="U12" i="135"/>
  <c r="W12" i="135" s="1"/>
  <c r="S29" i="121"/>
  <c r="U29" i="121" s="1"/>
  <c r="W29" i="121" s="1"/>
  <c r="Y29" i="121" s="1"/>
  <c r="AA29" i="121" s="1"/>
  <c r="Q21" i="135"/>
  <c r="S21" i="135" s="1"/>
  <c r="U21" i="135" s="1"/>
  <c r="W21" i="135" s="1"/>
  <c r="AB18" i="119" l="1"/>
  <c r="X12" i="135"/>
  <c r="X29" i="121"/>
  <c r="AB29" i="121" s="1"/>
  <c r="T21" i="135"/>
  <c r="X21" i="135" s="1"/>
  <c r="N32" i="123" l="1"/>
  <c r="O32" i="123" s="1"/>
  <c r="M32" i="123"/>
  <c r="N16" i="133"/>
  <c r="O16" i="133" s="1"/>
  <c r="M16" i="133"/>
  <c r="N15" i="133"/>
  <c r="O15" i="133" s="1"/>
  <c r="M15" i="133"/>
  <c r="N14" i="133"/>
  <c r="O14" i="133" s="1"/>
  <c r="M14" i="133"/>
  <c r="N13" i="133"/>
  <c r="O13" i="133" s="1"/>
  <c r="M13" i="133"/>
  <c r="N12" i="133"/>
  <c r="O12" i="133" s="1"/>
  <c r="M12" i="133"/>
  <c r="Y15" i="121"/>
  <c r="AA15" i="121" s="1"/>
  <c r="N15" i="121"/>
  <c r="O15" i="121" s="1"/>
  <c r="M15" i="121"/>
  <c r="J20" i="135"/>
  <c r="K20" i="135" s="1"/>
  <c r="I20" i="135"/>
  <c r="N10" i="132"/>
  <c r="O10" i="132" s="1"/>
  <c r="M10" i="132"/>
  <c r="N10" i="118"/>
  <c r="O10" i="118" s="1"/>
  <c r="V10" i="118" s="1"/>
  <c r="M10" i="118"/>
  <c r="N10" i="119"/>
  <c r="O10" i="119" s="1"/>
  <c r="M10" i="119"/>
  <c r="M11" i="136"/>
  <c r="N11" i="136" s="1"/>
  <c r="L11" i="136"/>
  <c r="N15" i="123"/>
  <c r="O15" i="123" s="1"/>
  <c r="M15" i="123"/>
  <c r="P32" i="123" l="1"/>
  <c r="Q32" i="123" s="1"/>
  <c r="V32" i="123"/>
  <c r="R32" i="123"/>
  <c r="T32" i="123"/>
  <c r="V16" i="133"/>
  <c r="T16" i="133"/>
  <c r="P16" i="133"/>
  <c r="Q16" i="133" s="1"/>
  <c r="R16" i="133"/>
  <c r="T15" i="133"/>
  <c r="V15" i="133"/>
  <c r="R15" i="133"/>
  <c r="P15" i="133"/>
  <c r="Q15" i="133" s="1"/>
  <c r="V14" i="133"/>
  <c r="T14" i="133"/>
  <c r="P14" i="133"/>
  <c r="Q14" i="133" s="1"/>
  <c r="R14" i="133"/>
  <c r="R13" i="133"/>
  <c r="T13" i="133"/>
  <c r="P13" i="133"/>
  <c r="Q13" i="133" s="1"/>
  <c r="V13" i="133"/>
  <c r="V12" i="133"/>
  <c r="R12" i="133"/>
  <c r="T12" i="133"/>
  <c r="P12" i="133"/>
  <c r="Q12" i="133" s="1"/>
  <c r="V15" i="121"/>
  <c r="R15" i="121"/>
  <c r="T15" i="121"/>
  <c r="P15" i="121"/>
  <c r="Q15" i="121" s="1"/>
  <c r="R20" i="135"/>
  <c r="N20" i="135"/>
  <c r="P20" i="135"/>
  <c r="L20" i="135"/>
  <c r="M20" i="135" s="1"/>
  <c r="R10" i="132"/>
  <c r="V10" i="132"/>
  <c r="T10" i="132"/>
  <c r="P10" i="132"/>
  <c r="Q10" i="132" s="1"/>
  <c r="P10" i="118"/>
  <c r="Q10" i="118" s="1"/>
  <c r="T10" i="118"/>
  <c r="R10" i="118"/>
  <c r="V10" i="119"/>
  <c r="T10" i="119"/>
  <c r="P10" i="119"/>
  <c r="Q10" i="119" s="1"/>
  <c r="R10" i="119"/>
  <c r="U11" i="136"/>
  <c r="Q11" i="136"/>
  <c r="S11" i="136"/>
  <c r="O11" i="136"/>
  <c r="P11" i="136" s="1"/>
  <c r="R11" i="136" s="1"/>
  <c r="T11" i="136" s="1"/>
  <c r="V11" i="136" s="1"/>
  <c r="V15" i="123"/>
  <c r="R15" i="123"/>
  <c r="T15" i="123"/>
  <c r="P15" i="123"/>
  <c r="Q15" i="123" s="1"/>
  <c r="S10" i="119" l="1"/>
  <c r="S15" i="133"/>
  <c r="U15" i="133" s="1"/>
  <c r="W15" i="133" s="1"/>
  <c r="Y15" i="133" s="1"/>
  <c r="AA15" i="133" s="1"/>
  <c r="S16" i="133"/>
  <c r="U16" i="133" s="1"/>
  <c r="W16" i="133" s="1"/>
  <c r="Y16" i="133" s="1"/>
  <c r="AA16" i="133" s="1"/>
  <c r="O20" i="135"/>
  <c r="Q20" i="135" s="1"/>
  <c r="S20" i="135" s="1"/>
  <c r="U10" i="119"/>
  <c r="W10" i="119" s="1"/>
  <c r="Y10" i="119" s="1"/>
  <c r="AA10" i="119" s="1"/>
  <c r="S32" i="123"/>
  <c r="U32" i="123" s="1"/>
  <c r="W32" i="123" s="1"/>
  <c r="Y32" i="123" s="1"/>
  <c r="S15" i="123"/>
  <c r="U15" i="123" s="1"/>
  <c r="W15" i="123" s="1"/>
  <c r="S14" i="133"/>
  <c r="U14" i="133" s="1"/>
  <c r="W14" i="133" s="1"/>
  <c r="S15" i="121"/>
  <c r="U15" i="121" s="1"/>
  <c r="W15" i="121" s="1"/>
  <c r="X15" i="121" s="1"/>
  <c r="AB15" i="121" s="1"/>
  <c r="S13" i="133"/>
  <c r="U13" i="133" s="1"/>
  <c r="W13" i="133" s="1"/>
  <c r="S12" i="133"/>
  <c r="U12" i="133" s="1"/>
  <c r="W12" i="133" s="1"/>
  <c r="Y12" i="133" s="1"/>
  <c r="AA12" i="133" s="1"/>
  <c r="S10" i="132"/>
  <c r="U10" i="132" s="1"/>
  <c r="W10" i="132" s="1"/>
  <c r="Y10" i="132" s="1"/>
  <c r="AA10" i="132" s="1"/>
  <c r="S10" i="118"/>
  <c r="U10" i="118" s="1"/>
  <c r="W10" i="118" s="1"/>
  <c r="X11" i="136"/>
  <c r="Z11" i="136" s="1"/>
  <c r="W11" i="136"/>
  <c r="X15" i="133" l="1"/>
  <c r="AB15" i="133" s="1"/>
  <c r="X16" i="133"/>
  <c r="AB16" i="133" s="1"/>
  <c r="X10" i="119"/>
  <c r="AB10" i="119" s="1"/>
  <c r="X32" i="123"/>
  <c r="AA32" i="123"/>
  <c r="AA11" i="136"/>
  <c r="X14" i="133"/>
  <c r="Y14" i="133"/>
  <c r="AA14" i="133" s="1"/>
  <c r="Y13" i="133"/>
  <c r="AA13" i="133" s="1"/>
  <c r="X13" i="133"/>
  <c r="X12" i="133"/>
  <c r="AB12" i="133" s="1"/>
  <c r="U20" i="135"/>
  <c r="W20" i="135" s="1"/>
  <c r="T20" i="135"/>
  <c r="X10" i="132"/>
  <c r="AB10" i="132" s="1"/>
  <c r="Y10" i="118"/>
  <c r="AA10" i="118" s="1"/>
  <c r="X10" i="118"/>
  <c r="Y15" i="123"/>
  <c r="AA15" i="123" s="1"/>
  <c r="X15" i="123"/>
  <c r="AB32" i="123" l="1"/>
  <c r="AB13" i="133"/>
  <c r="AB14" i="133"/>
  <c r="AB10" i="118"/>
  <c r="X20" i="135"/>
  <c r="AB15" i="123"/>
  <c r="N12" i="123"/>
  <c r="O12" i="123" s="1"/>
  <c r="M12" i="123"/>
  <c r="N34" i="123"/>
  <c r="O34" i="123" s="1"/>
  <c r="M34" i="123"/>
  <c r="N12" i="134"/>
  <c r="O12" i="134" s="1"/>
  <c r="M12" i="134"/>
  <c r="N9" i="120"/>
  <c r="O9" i="120" s="1"/>
  <c r="M9" i="120"/>
  <c r="N10" i="134"/>
  <c r="O10" i="134" s="1"/>
  <c r="M10" i="134"/>
  <c r="N17" i="119"/>
  <c r="O17" i="119" s="1"/>
  <c r="M17" i="119"/>
  <c r="M16" i="119" s="1"/>
  <c r="N15" i="119"/>
  <c r="O15" i="119" s="1"/>
  <c r="M15" i="119"/>
  <c r="Y14" i="121"/>
  <c r="Y20" i="119"/>
  <c r="V12" i="123" l="1"/>
  <c r="R12" i="123"/>
  <c r="T12" i="123"/>
  <c r="P12" i="123"/>
  <c r="Q12" i="123" s="1"/>
  <c r="T34" i="123"/>
  <c r="P34" i="123"/>
  <c r="Q34" i="123" s="1"/>
  <c r="V34" i="123"/>
  <c r="R34" i="123"/>
  <c r="V12" i="134"/>
  <c r="R12" i="134"/>
  <c r="T12" i="134"/>
  <c r="P12" i="134"/>
  <c r="Q12" i="134" s="1"/>
  <c r="V9" i="120"/>
  <c r="R9" i="120"/>
  <c r="T9" i="120"/>
  <c r="P9" i="120"/>
  <c r="Q9" i="120" s="1"/>
  <c r="V10" i="134"/>
  <c r="R10" i="134"/>
  <c r="T10" i="134"/>
  <c r="P10" i="134"/>
  <c r="Q10" i="134" s="1"/>
  <c r="S10" i="134" s="1"/>
  <c r="V17" i="119"/>
  <c r="R17" i="119"/>
  <c r="T17" i="119"/>
  <c r="P17" i="119"/>
  <c r="Q17" i="119" s="1"/>
  <c r="V15" i="119"/>
  <c r="R15" i="119"/>
  <c r="T15" i="119"/>
  <c r="P15" i="119"/>
  <c r="Q15" i="119" s="1"/>
  <c r="N24" i="120"/>
  <c r="O24" i="120" s="1"/>
  <c r="M24" i="120"/>
  <c r="Z13" i="134"/>
  <c r="L13" i="134"/>
  <c r="K13" i="134"/>
  <c r="N14" i="134"/>
  <c r="O14" i="134" s="1"/>
  <c r="M14" i="134"/>
  <c r="M13" i="134" s="1"/>
  <c r="J14" i="134"/>
  <c r="S15" i="119" l="1"/>
  <c r="U15" i="119" s="1"/>
  <c r="W15" i="119" s="1"/>
  <c r="S9" i="120"/>
  <c r="U9" i="120" s="1"/>
  <c r="W9" i="120" s="1"/>
  <c r="X9" i="120" s="1"/>
  <c r="S12" i="123"/>
  <c r="U12" i="123" s="1"/>
  <c r="W12" i="123" s="1"/>
  <c r="Y12" i="123" s="1"/>
  <c r="AA12" i="123" s="1"/>
  <c r="S34" i="123"/>
  <c r="U34" i="123" s="1"/>
  <c r="W34" i="123" s="1"/>
  <c r="Y34" i="123" s="1"/>
  <c r="AA34" i="123" s="1"/>
  <c r="S12" i="134"/>
  <c r="U12" i="134" s="1"/>
  <c r="W12" i="134" s="1"/>
  <c r="Y12" i="134" s="1"/>
  <c r="AA12" i="134" s="1"/>
  <c r="U10" i="134"/>
  <c r="W10" i="134" s="1"/>
  <c r="S17" i="119"/>
  <c r="U17" i="119" s="1"/>
  <c r="W17" i="119" s="1"/>
  <c r="Y17" i="119" s="1"/>
  <c r="Y15" i="119"/>
  <c r="AA15" i="119" s="1"/>
  <c r="X15" i="119"/>
  <c r="T14" i="134"/>
  <c r="P14" i="134"/>
  <c r="Q14" i="134" s="1"/>
  <c r="R14" i="134"/>
  <c r="V14" i="134"/>
  <c r="P24" i="120"/>
  <c r="Q24" i="120" s="1"/>
  <c r="V24" i="120"/>
  <c r="T24" i="120"/>
  <c r="R24" i="120"/>
  <c r="N13" i="123"/>
  <c r="O13" i="123" s="1"/>
  <c r="M13" i="123"/>
  <c r="N21" i="120"/>
  <c r="O21" i="120" s="1"/>
  <c r="M21" i="120"/>
  <c r="N13" i="120"/>
  <c r="O13" i="120" s="1"/>
  <c r="M13" i="120"/>
  <c r="N11" i="120"/>
  <c r="O11" i="120" s="1"/>
  <c r="M11" i="120"/>
  <c r="S14" i="134" l="1"/>
  <c r="U14" i="134" s="1"/>
  <c r="AA17" i="119"/>
  <c r="AA16" i="119" s="1"/>
  <c r="Y16" i="119"/>
  <c r="X34" i="123"/>
  <c r="AB34" i="123" s="1"/>
  <c r="Y9" i="120"/>
  <c r="AA9" i="120" s="1"/>
  <c r="AB9" i="120" s="1"/>
  <c r="X12" i="123"/>
  <c r="AB12" i="123" s="1"/>
  <c r="X12" i="134"/>
  <c r="AB12" i="134" s="1"/>
  <c r="Y10" i="134"/>
  <c r="AA10" i="134" s="1"/>
  <c r="X10" i="134"/>
  <c r="X17" i="119"/>
  <c r="AB15" i="119"/>
  <c r="T11" i="120"/>
  <c r="R11" i="120"/>
  <c r="P11" i="120"/>
  <c r="Q11" i="120" s="1"/>
  <c r="V11" i="120"/>
  <c r="V21" i="120"/>
  <c r="P21" i="120"/>
  <c r="Q21" i="120" s="1"/>
  <c r="T21" i="120"/>
  <c r="R21" i="120"/>
  <c r="W14" i="134"/>
  <c r="V13" i="120"/>
  <c r="T13" i="120"/>
  <c r="R13" i="120"/>
  <c r="P13" i="120"/>
  <c r="Q13" i="120" s="1"/>
  <c r="P13" i="123"/>
  <c r="Q13" i="123" s="1"/>
  <c r="T13" i="123"/>
  <c r="R13" i="123"/>
  <c r="V13" i="123"/>
  <c r="S24" i="120"/>
  <c r="U24" i="120" s="1"/>
  <c r="W24" i="120" s="1"/>
  <c r="AB17" i="119" l="1"/>
  <c r="AB16" i="119" s="1"/>
  <c r="X16" i="119"/>
  <c r="S11" i="120"/>
  <c r="U11" i="120" s="1"/>
  <c r="W11" i="120" s="1"/>
  <c r="X11" i="120" s="1"/>
  <c r="S13" i="120"/>
  <c r="U13" i="120" s="1"/>
  <c r="W13" i="120" s="1"/>
  <c r="AB10" i="134"/>
  <c r="X24" i="120"/>
  <c r="Y24" i="120"/>
  <c r="AA24" i="120" s="1"/>
  <c r="S13" i="123"/>
  <c r="U13" i="123" s="1"/>
  <c r="W13" i="123" s="1"/>
  <c r="S21" i="120"/>
  <c r="U21" i="120" s="1"/>
  <c r="W21" i="120" s="1"/>
  <c r="X14" i="134"/>
  <c r="Y14" i="134"/>
  <c r="X13" i="134"/>
  <c r="Y11" i="120" l="1"/>
  <c r="AA11" i="120" s="1"/>
  <c r="AB11" i="120" s="1"/>
  <c r="AB24" i="120"/>
  <c r="X13" i="120"/>
  <c r="Y13" i="120"/>
  <c r="AA13" i="120" s="1"/>
  <c r="Y13" i="123"/>
  <c r="AA13" i="123" s="1"/>
  <c r="X13" i="123"/>
  <c r="AA14" i="134"/>
  <c r="Y13" i="134"/>
  <c r="Y21" i="120"/>
  <c r="AA21" i="120" s="1"/>
  <c r="X21" i="120"/>
  <c r="AB13" i="120" l="1"/>
  <c r="AB21" i="120"/>
  <c r="AB13" i="123"/>
  <c r="AA13" i="134"/>
  <c r="AB14" i="134"/>
  <c r="AB13" i="134" s="1"/>
  <c r="N12" i="121"/>
  <c r="O12" i="121" s="1"/>
  <c r="M12" i="121"/>
  <c r="N17" i="121"/>
  <c r="O17" i="121" s="1"/>
  <c r="M17" i="121"/>
  <c r="P12" i="121" l="1"/>
  <c r="Q12" i="121" s="1"/>
  <c r="T12" i="121"/>
  <c r="V12" i="121"/>
  <c r="R12" i="121"/>
  <c r="P17" i="121"/>
  <c r="Q17" i="121" s="1"/>
  <c r="T17" i="121"/>
  <c r="R17" i="121"/>
  <c r="V17" i="121"/>
  <c r="N10" i="133"/>
  <c r="O10" i="133" s="1"/>
  <c r="M10" i="133"/>
  <c r="Z19" i="133"/>
  <c r="L19" i="133"/>
  <c r="K19" i="133"/>
  <c r="J22" i="135"/>
  <c r="K22" i="135" s="1"/>
  <c r="I22" i="135"/>
  <c r="N23" i="120"/>
  <c r="O23" i="120" s="1"/>
  <c r="M23" i="120"/>
  <c r="N13" i="132"/>
  <c r="O13" i="132" s="1"/>
  <c r="M13" i="132"/>
  <c r="T23" i="120" l="1"/>
  <c r="R23" i="120"/>
  <c r="V23" i="120"/>
  <c r="P23" i="120"/>
  <c r="Q23" i="120" s="1"/>
  <c r="P13" i="132"/>
  <c r="Q13" i="132" s="1"/>
  <c r="V13" i="132"/>
  <c r="R13" i="132"/>
  <c r="T13" i="132"/>
  <c r="N22" i="135"/>
  <c r="P22" i="135"/>
  <c r="L22" i="135"/>
  <c r="M22" i="135" s="1"/>
  <c r="R22" i="135"/>
  <c r="P10" i="133"/>
  <c r="Q10" i="133" s="1"/>
  <c r="V10" i="133"/>
  <c r="T10" i="133"/>
  <c r="R10" i="133"/>
  <c r="S17" i="121"/>
  <c r="U17" i="121" s="1"/>
  <c r="W17" i="121" s="1"/>
  <c r="S12" i="121"/>
  <c r="U12" i="121" s="1"/>
  <c r="W12" i="121" s="1"/>
  <c r="O22" i="135" l="1"/>
  <c r="Q22" i="135" s="1"/>
  <c r="S22" i="135" s="1"/>
  <c r="T22" i="135" s="1"/>
  <c r="S23" i="120"/>
  <c r="U23" i="120" s="1"/>
  <c r="W23" i="120" s="1"/>
  <c r="S10" i="133"/>
  <c r="U10" i="133" s="1"/>
  <c r="W10" i="133" s="1"/>
  <c r="X17" i="121"/>
  <c r="Y17" i="121"/>
  <c r="AA17" i="121" s="1"/>
  <c r="S13" i="132"/>
  <c r="U13" i="132" s="1"/>
  <c r="W13" i="132" s="1"/>
  <c r="Y12" i="121"/>
  <c r="AA12" i="121" s="1"/>
  <c r="X12" i="121"/>
  <c r="U22" i="135" l="1"/>
  <c r="W22" i="135" s="1"/>
  <c r="X22" i="135" s="1"/>
  <c r="AB12" i="121"/>
  <c r="AB17" i="121"/>
  <c r="X23" i="120"/>
  <c r="Y23" i="120"/>
  <c r="AA23" i="120" s="1"/>
  <c r="Y10" i="133"/>
  <c r="AA10" i="133" s="1"/>
  <c r="X10" i="133"/>
  <c r="X13" i="132"/>
  <c r="Y13" i="132"/>
  <c r="AA13" i="132" s="1"/>
  <c r="AB23" i="120" l="1"/>
  <c r="AB13" i="132"/>
  <c r="AB10" i="133"/>
  <c r="N38" i="123"/>
  <c r="O38" i="123" s="1"/>
  <c r="M38" i="123"/>
  <c r="N16" i="121"/>
  <c r="O16" i="121" s="1"/>
  <c r="M16" i="121"/>
  <c r="T38" i="123" l="1"/>
  <c r="R38" i="123"/>
  <c r="V38" i="123"/>
  <c r="P38" i="123"/>
  <c r="Q38" i="123" s="1"/>
  <c r="P16" i="121"/>
  <c r="Q16" i="121" s="1"/>
  <c r="V16" i="121"/>
  <c r="R16" i="121"/>
  <c r="T16" i="121"/>
  <c r="S38" i="123" l="1"/>
  <c r="U38" i="123" s="1"/>
  <c r="W38" i="123" s="1"/>
  <c r="Y38" i="123" s="1"/>
  <c r="AA38" i="123" s="1"/>
  <c r="S16" i="121"/>
  <c r="U16" i="121" s="1"/>
  <c r="W16" i="121" s="1"/>
  <c r="X38" i="123" l="1"/>
  <c r="AB38" i="123" s="1"/>
  <c r="Y16" i="121"/>
  <c r="AA16" i="121" s="1"/>
  <c r="X16" i="121"/>
  <c r="N10" i="123"/>
  <c r="O10" i="123" s="1"/>
  <c r="M10" i="123"/>
  <c r="N36" i="123"/>
  <c r="O36" i="123" s="1"/>
  <c r="M36" i="123"/>
  <c r="K35" i="123"/>
  <c r="V10" i="123" l="1"/>
  <c r="R10" i="123"/>
  <c r="T10" i="123"/>
  <c r="P10" i="123"/>
  <c r="Q10" i="123" s="1"/>
  <c r="S10" i="123" s="1"/>
  <c r="U10" i="123" s="1"/>
  <c r="AB16" i="121"/>
  <c r="V36" i="123"/>
  <c r="T36" i="123"/>
  <c r="P36" i="123"/>
  <c r="Q36" i="123" s="1"/>
  <c r="S36" i="123" s="1"/>
  <c r="U36" i="123" s="1"/>
  <c r="W36" i="123" s="1"/>
  <c r="R36" i="123"/>
  <c r="L35" i="123"/>
  <c r="M35" i="123"/>
  <c r="W10" i="123" l="1"/>
  <c r="X10" i="123"/>
  <c r="Y10" i="123"/>
  <c r="AA10" i="123" s="1"/>
  <c r="X36" i="123"/>
  <c r="Y36" i="123"/>
  <c r="Y35" i="123" l="1"/>
  <c r="AB10" i="123"/>
  <c r="X35" i="123"/>
  <c r="Z35" i="123"/>
  <c r="AA36" i="123" l="1"/>
  <c r="AB36" i="123" s="1"/>
  <c r="AB35" i="123" s="1"/>
  <c r="AA35" i="123" l="1"/>
  <c r="J13" i="135"/>
  <c r="K13" i="135" s="1"/>
  <c r="I13" i="135"/>
  <c r="J11" i="135"/>
  <c r="K11" i="135" s="1"/>
  <c r="I11" i="135"/>
  <c r="N26" i="120"/>
  <c r="O26" i="120" s="1"/>
  <c r="M26" i="120"/>
  <c r="P13" i="135" l="1"/>
  <c r="L13" i="135"/>
  <c r="M13" i="135" s="1"/>
  <c r="R13" i="135"/>
  <c r="N13" i="135"/>
  <c r="V26" i="120"/>
  <c r="T26" i="120"/>
  <c r="P26" i="120"/>
  <c r="Q26" i="120" s="1"/>
  <c r="R26" i="120"/>
  <c r="R11" i="135"/>
  <c r="L11" i="135"/>
  <c r="M11" i="135" s="1"/>
  <c r="N11" i="135"/>
  <c r="P11" i="135"/>
  <c r="N11" i="132"/>
  <c r="O11" i="132" s="1"/>
  <c r="M11" i="132"/>
  <c r="G23" i="135"/>
  <c r="H23" i="135"/>
  <c r="J19" i="135"/>
  <c r="K19" i="135" s="1"/>
  <c r="I19" i="135"/>
  <c r="N12" i="120"/>
  <c r="O12" i="120" s="1"/>
  <c r="M12" i="120"/>
  <c r="N10" i="120"/>
  <c r="O10" i="120" s="1"/>
  <c r="M10" i="120"/>
  <c r="J10" i="120"/>
  <c r="N20" i="119"/>
  <c r="O20" i="119" s="1"/>
  <c r="M20" i="119"/>
  <c r="O13" i="135" l="1"/>
  <c r="Q13" i="135" s="1"/>
  <c r="S13" i="135" s="1"/>
  <c r="S26" i="120"/>
  <c r="U26" i="120" s="1"/>
  <c r="W26" i="120" s="1"/>
  <c r="X26" i="120" s="1"/>
  <c r="U13" i="135"/>
  <c r="T13" i="135"/>
  <c r="O11" i="135"/>
  <c r="Q11" i="135" s="1"/>
  <c r="S11" i="135" s="1"/>
  <c r="N19" i="135"/>
  <c r="P19" i="135"/>
  <c r="R19" i="135"/>
  <c r="L19" i="135"/>
  <c r="M19" i="135" s="1"/>
  <c r="V20" i="119"/>
  <c r="P20" i="119"/>
  <c r="Q20" i="119" s="1"/>
  <c r="R20" i="119"/>
  <c r="T20" i="119"/>
  <c r="P12" i="120"/>
  <c r="Q12" i="120" s="1"/>
  <c r="T12" i="120"/>
  <c r="R12" i="120"/>
  <c r="V12" i="120"/>
  <c r="T11" i="132"/>
  <c r="V11" i="132"/>
  <c r="P11" i="132"/>
  <c r="Q11" i="132" s="1"/>
  <c r="R11" i="132"/>
  <c r="T10" i="120"/>
  <c r="P10" i="120"/>
  <c r="Q10" i="120" s="1"/>
  <c r="R10" i="120"/>
  <c r="V10" i="120"/>
  <c r="J18" i="135"/>
  <c r="K18" i="135" s="1"/>
  <c r="I18" i="135"/>
  <c r="S20" i="119" l="1"/>
  <c r="U20" i="119"/>
  <c r="W20" i="119" s="1"/>
  <c r="Y26" i="120"/>
  <c r="AA26" i="120" s="1"/>
  <c r="S11" i="132"/>
  <c r="U11" i="132" s="1"/>
  <c r="W11" i="132" s="1"/>
  <c r="O19" i="135"/>
  <c r="S10" i="120"/>
  <c r="U10" i="120" s="1"/>
  <c r="W10" i="120" s="1"/>
  <c r="X10" i="120" s="1"/>
  <c r="N18" i="135"/>
  <c r="P18" i="135"/>
  <c r="R18" i="135"/>
  <c r="L18" i="135"/>
  <c r="M18" i="135" s="1"/>
  <c r="S12" i="120"/>
  <c r="U12" i="120" s="1"/>
  <c r="W12" i="120" s="1"/>
  <c r="Q19" i="135"/>
  <c r="S19" i="135" s="1"/>
  <c r="T11" i="135"/>
  <c r="U11" i="135"/>
  <c r="W11" i="135" s="1"/>
  <c r="W13" i="135"/>
  <c r="X13" i="135" s="1"/>
  <c r="AA20" i="119"/>
  <c r="Y10" i="120" l="1"/>
  <c r="AA10" i="120" s="1"/>
  <c r="AB10" i="120" s="1"/>
  <c r="X11" i="132"/>
  <c r="Y11" i="132"/>
  <c r="AA11" i="132" s="1"/>
  <c r="O18" i="135"/>
  <c r="Q18" i="135" s="1"/>
  <c r="S18" i="135" s="1"/>
  <c r="T19" i="135"/>
  <c r="U19" i="135"/>
  <c r="W19" i="135" s="1"/>
  <c r="Y12" i="120"/>
  <c r="AA12" i="120" s="1"/>
  <c r="X12" i="120"/>
  <c r="X11" i="135"/>
  <c r="AB26" i="120"/>
  <c r="X20" i="119"/>
  <c r="AB11" i="132" l="1"/>
  <c r="X19" i="135"/>
  <c r="T18" i="135"/>
  <c r="U18" i="135"/>
  <c r="W18" i="135" s="1"/>
  <c r="AB12" i="120"/>
  <c r="X18" i="135" l="1"/>
  <c r="J10" i="134"/>
  <c r="Z9" i="134"/>
  <c r="L9" i="134"/>
  <c r="K9" i="134"/>
  <c r="M9" i="134" l="1"/>
  <c r="X9" i="134" l="1"/>
  <c r="AA9" i="134"/>
  <c r="Y9" i="134"/>
  <c r="AB9" i="134" l="1"/>
  <c r="N20" i="121" l="1"/>
  <c r="O20" i="121" s="1"/>
  <c r="M20" i="121"/>
  <c r="N17" i="123"/>
  <c r="O17" i="123" s="1"/>
  <c r="M17" i="123"/>
  <c r="N9" i="123"/>
  <c r="O9" i="123" s="1"/>
  <c r="M9" i="123"/>
  <c r="N12" i="132"/>
  <c r="O12" i="132" s="1"/>
  <c r="M12" i="132"/>
  <c r="Z11" i="134"/>
  <c r="Z15" i="134" s="1"/>
  <c r="L11" i="134"/>
  <c r="L15" i="134" s="1"/>
  <c r="K11" i="134"/>
  <c r="K15" i="134" s="1"/>
  <c r="J12" i="134"/>
  <c r="V17" i="123" l="1"/>
  <c r="T17" i="123"/>
  <c r="R17" i="123"/>
  <c r="P17" i="123"/>
  <c r="Q17" i="123" s="1"/>
  <c r="T12" i="132"/>
  <c r="R12" i="132"/>
  <c r="V12" i="132"/>
  <c r="P12" i="132"/>
  <c r="Q12" i="132" s="1"/>
  <c r="T9" i="123"/>
  <c r="R9" i="123"/>
  <c r="P9" i="123"/>
  <c r="Q9" i="123" s="1"/>
  <c r="V9" i="123"/>
  <c r="T20" i="121"/>
  <c r="V20" i="121"/>
  <c r="R20" i="121"/>
  <c r="P20" i="121"/>
  <c r="Q20" i="121" s="1"/>
  <c r="M11" i="134"/>
  <c r="M15" i="134" s="1"/>
  <c r="S9" i="123" l="1"/>
  <c r="U9" i="123"/>
  <c r="S20" i="121"/>
  <c r="U20" i="121" s="1"/>
  <c r="W20" i="121" s="1"/>
  <c r="X20" i="121" s="1"/>
  <c r="S17" i="123"/>
  <c r="U17" i="123" s="1"/>
  <c r="W17" i="123" s="1"/>
  <c r="Y17" i="123" s="1"/>
  <c r="AA17" i="123" s="1"/>
  <c r="S12" i="132"/>
  <c r="U12" i="132" s="1"/>
  <c r="W12" i="132" s="1"/>
  <c r="X12" i="132" s="1"/>
  <c r="W9" i="123"/>
  <c r="Y20" i="121" l="1"/>
  <c r="AA20" i="121" s="1"/>
  <c r="AB20" i="121" s="1"/>
  <c r="X17" i="123"/>
  <c r="AB17" i="123" s="1"/>
  <c r="Y12" i="132"/>
  <c r="AA12" i="132" s="1"/>
  <c r="AB12" i="132" s="1"/>
  <c r="X9" i="123"/>
  <c r="Y9" i="123"/>
  <c r="AA9" i="123" s="1"/>
  <c r="Y11" i="134"/>
  <c r="Y15" i="134" s="1"/>
  <c r="AB9" i="123" l="1"/>
  <c r="X11" i="134"/>
  <c r="X15" i="134" s="1"/>
  <c r="AA11" i="134"/>
  <c r="AA15" i="134" s="1"/>
  <c r="AB11" i="134" l="1"/>
  <c r="AB15" i="134" s="1"/>
  <c r="N11" i="133" l="1"/>
  <c r="O11" i="133" s="1"/>
  <c r="M11" i="133"/>
  <c r="P11" i="133" l="1"/>
  <c r="Q11" i="133" s="1"/>
  <c r="R11" i="133"/>
  <c r="T11" i="133"/>
  <c r="V11" i="133"/>
  <c r="S11" i="133" l="1"/>
  <c r="U11" i="133" s="1"/>
  <c r="W11" i="133" s="1"/>
  <c r="Y11" i="133" l="1"/>
  <c r="AA11" i="133" s="1"/>
  <c r="X11" i="133"/>
  <c r="N14" i="121"/>
  <c r="O14" i="121" s="1"/>
  <c r="M14" i="121"/>
  <c r="AB11" i="133" l="1"/>
  <c r="T14" i="121"/>
  <c r="P14" i="121"/>
  <c r="Q14" i="121" s="1"/>
  <c r="R14" i="121"/>
  <c r="V14" i="121"/>
  <c r="AA14" i="121"/>
  <c r="S14" i="121" l="1"/>
  <c r="U14" i="121" s="1"/>
  <c r="W14" i="121" s="1"/>
  <c r="X14" i="121" s="1"/>
  <c r="AB14" i="121" s="1"/>
  <c r="N19" i="121" l="1"/>
  <c r="O19" i="121" s="1"/>
  <c r="M19" i="121"/>
  <c r="R19" i="121" l="1"/>
  <c r="P19" i="121"/>
  <c r="Q19" i="121" s="1"/>
  <c r="T19" i="121"/>
  <c r="V19" i="121"/>
  <c r="Z8" i="123"/>
  <c r="L8" i="123"/>
  <c r="K8" i="123"/>
  <c r="M8" i="123"/>
  <c r="S19" i="121" l="1"/>
  <c r="U19" i="121" s="1"/>
  <c r="W19" i="121" s="1"/>
  <c r="X19" i="121" l="1"/>
  <c r="Y19" i="121"/>
  <c r="AA19" i="121" s="1"/>
  <c r="AB19" i="121" s="1"/>
  <c r="X8" i="123" l="1"/>
  <c r="AA8" i="123"/>
  <c r="Y8" i="123"/>
  <c r="AB8" i="123" l="1"/>
  <c r="J17" i="135" l="1"/>
  <c r="K17" i="135" s="1"/>
  <c r="I17" i="135"/>
  <c r="N17" i="135" l="1"/>
  <c r="P17" i="135"/>
  <c r="L17" i="135"/>
  <c r="M17" i="135" s="1"/>
  <c r="R17" i="135"/>
  <c r="O17" i="135" l="1"/>
  <c r="Q17" i="135" s="1"/>
  <c r="S17" i="135" s="1"/>
  <c r="U17" i="135" s="1"/>
  <c r="W17" i="135" s="1"/>
  <c r="T17" i="135" l="1"/>
  <c r="X17" i="135" s="1"/>
  <c r="Y13" i="136"/>
  <c r="K13" i="136"/>
  <c r="J13" i="136"/>
  <c r="M13" i="136"/>
  <c r="I11" i="136"/>
  <c r="L13" i="136" l="1"/>
  <c r="U13" i="136" l="1"/>
  <c r="S13" i="136"/>
  <c r="Q13" i="136"/>
  <c r="N13" i="136"/>
  <c r="O13" i="136" l="1"/>
  <c r="P13" i="136"/>
  <c r="R13" i="136" l="1"/>
  <c r="T13" i="136" l="1"/>
  <c r="V13" i="136" l="1"/>
  <c r="Z13" i="136" l="1"/>
  <c r="X13" i="136"/>
  <c r="W13" i="136"/>
  <c r="AA13" i="136" l="1"/>
  <c r="L13" i="131" l="1"/>
  <c r="N13" i="131" l="1"/>
  <c r="N9" i="119"/>
  <c r="O9" i="119" s="1"/>
  <c r="M9" i="119"/>
  <c r="O13" i="131" l="1"/>
  <c r="P13" i="131" s="1"/>
  <c r="R13" i="131" s="1"/>
  <c r="T13" i="131" s="1"/>
  <c r="S13" i="131"/>
  <c r="Q13" i="131"/>
  <c r="T9" i="119"/>
  <c r="P9" i="119"/>
  <c r="U13" i="131"/>
  <c r="V9" i="119"/>
  <c r="R9" i="119"/>
  <c r="Q9" i="119"/>
  <c r="V13" i="131" l="1"/>
  <c r="S9" i="119"/>
  <c r="U9" i="119" s="1"/>
  <c r="W9" i="119" s="1"/>
  <c r="Y9" i="119" l="1"/>
  <c r="AA9" i="119" s="1"/>
  <c r="W13" i="131"/>
  <c r="X13" i="131"/>
  <c r="Z13" i="131" s="1"/>
  <c r="X9" i="119"/>
  <c r="AA13" i="131" l="1"/>
  <c r="AB9" i="119"/>
  <c r="N22" i="120"/>
  <c r="O22" i="120" s="1"/>
  <c r="M22" i="120"/>
  <c r="P22" i="120" l="1"/>
  <c r="Q22" i="120" s="1"/>
  <c r="T22" i="120"/>
  <c r="V22" i="120"/>
  <c r="R22" i="120"/>
  <c r="S22" i="120" l="1"/>
  <c r="U22" i="120" s="1"/>
  <c r="W22" i="120" s="1"/>
  <c r="N17" i="133"/>
  <c r="O17" i="133" s="1"/>
  <c r="N18" i="133"/>
  <c r="O18" i="133" s="1"/>
  <c r="J10" i="135"/>
  <c r="K10" i="135" s="1"/>
  <c r="J15" i="135"/>
  <c r="K15" i="135" s="1"/>
  <c r="J16" i="135"/>
  <c r="K16" i="135" s="1"/>
  <c r="J9" i="135"/>
  <c r="K9" i="135" s="1"/>
  <c r="N11" i="118"/>
  <c r="O11" i="118" s="1"/>
  <c r="N12" i="118"/>
  <c r="O12" i="118" s="1"/>
  <c r="N16" i="123"/>
  <c r="O16" i="123" s="1"/>
  <c r="N28" i="121"/>
  <c r="O28" i="121" s="1"/>
  <c r="N18" i="121"/>
  <c r="O18" i="121" s="1"/>
  <c r="N10" i="121"/>
  <c r="O10" i="121" s="1"/>
  <c r="N11" i="121"/>
  <c r="O11" i="121" s="1"/>
  <c r="N13" i="121"/>
  <c r="O13" i="121" s="1"/>
  <c r="N9" i="121"/>
  <c r="O9" i="121" s="1"/>
  <c r="N27" i="120"/>
  <c r="O27" i="120" s="1"/>
  <c r="N15" i="120"/>
  <c r="O15" i="120" s="1"/>
  <c r="N13" i="119"/>
  <c r="O13" i="119" s="1"/>
  <c r="N11" i="119"/>
  <c r="O11" i="119" s="1"/>
  <c r="R9" i="121" l="1"/>
  <c r="T9" i="121"/>
  <c r="P9" i="121"/>
  <c r="Q9" i="121" s="1"/>
  <c r="V9" i="121"/>
  <c r="T27" i="120"/>
  <c r="P27" i="120"/>
  <c r="Q27" i="120" s="1"/>
  <c r="V27" i="120"/>
  <c r="R27" i="120"/>
  <c r="R10" i="121"/>
  <c r="T10" i="121"/>
  <c r="V10" i="121"/>
  <c r="P10" i="121"/>
  <c r="Q10" i="121" s="1"/>
  <c r="R9" i="135"/>
  <c r="L9" i="135"/>
  <c r="M9" i="135" s="1"/>
  <c r="P9" i="135"/>
  <c r="N9" i="135"/>
  <c r="R10" i="135"/>
  <c r="L10" i="135"/>
  <c r="M10" i="135" s="1"/>
  <c r="N10" i="135"/>
  <c r="P10" i="135"/>
  <c r="R11" i="119"/>
  <c r="P11" i="119"/>
  <c r="Q11" i="119" s="1"/>
  <c r="S11" i="119" s="1"/>
  <c r="V11" i="119"/>
  <c r="T11" i="119"/>
  <c r="P15" i="120"/>
  <c r="Q15" i="120" s="1"/>
  <c r="T15" i="120"/>
  <c r="R15" i="120"/>
  <c r="V15" i="120"/>
  <c r="V13" i="121"/>
  <c r="R13" i="121"/>
  <c r="T13" i="121"/>
  <c r="P13" i="121"/>
  <c r="Q13" i="121" s="1"/>
  <c r="P28" i="121"/>
  <c r="Q28" i="121" s="1"/>
  <c r="R28" i="121"/>
  <c r="V28" i="121"/>
  <c r="T28" i="121"/>
  <c r="V12" i="118"/>
  <c r="R12" i="118"/>
  <c r="T12" i="118"/>
  <c r="P12" i="118"/>
  <c r="Q12" i="118" s="1"/>
  <c r="P16" i="135"/>
  <c r="R16" i="135"/>
  <c r="L16" i="135"/>
  <c r="M16" i="135" s="1"/>
  <c r="N16" i="135"/>
  <c r="P17" i="133"/>
  <c r="Q17" i="133" s="1"/>
  <c r="V17" i="133"/>
  <c r="R17" i="133"/>
  <c r="T17" i="133"/>
  <c r="R18" i="121"/>
  <c r="P18" i="121"/>
  <c r="Q18" i="121" s="1"/>
  <c r="S18" i="121" s="1"/>
  <c r="V18" i="121"/>
  <c r="T18" i="121"/>
  <c r="V18" i="133"/>
  <c r="P18" i="133"/>
  <c r="Q18" i="133" s="1"/>
  <c r="R18" i="133"/>
  <c r="T18" i="133"/>
  <c r="V13" i="119"/>
  <c r="P13" i="119"/>
  <c r="Q13" i="119" s="1"/>
  <c r="T13" i="119"/>
  <c r="R13" i="119"/>
  <c r="T11" i="121"/>
  <c r="V11" i="121"/>
  <c r="P11" i="121"/>
  <c r="Q11" i="121" s="1"/>
  <c r="R11" i="121"/>
  <c r="T16" i="123"/>
  <c r="P16" i="123"/>
  <c r="Q16" i="123" s="1"/>
  <c r="R16" i="123"/>
  <c r="V16" i="123"/>
  <c r="R11" i="118"/>
  <c r="P11" i="118"/>
  <c r="Q11" i="118" s="1"/>
  <c r="S11" i="118" s="1"/>
  <c r="U11" i="118" s="1"/>
  <c r="T11" i="118"/>
  <c r="V11" i="118"/>
  <c r="P15" i="135"/>
  <c r="R15" i="135"/>
  <c r="L15" i="135"/>
  <c r="M15" i="135" s="1"/>
  <c r="N15" i="135"/>
  <c r="X22" i="120"/>
  <c r="Y22" i="120"/>
  <c r="AA22" i="120" s="1"/>
  <c r="S11" i="121" l="1"/>
  <c r="U18" i="121"/>
  <c r="W18" i="121" s="1"/>
  <c r="W11" i="118"/>
  <c r="X11" i="118" s="1"/>
  <c r="S13" i="119"/>
  <c r="S13" i="121"/>
  <c r="U13" i="121" s="1"/>
  <c r="S9" i="121"/>
  <c r="U9" i="121" s="1"/>
  <c r="W9" i="121" s="1"/>
  <c r="S12" i="118"/>
  <c r="U12" i="118" s="1"/>
  <c r="W12" i="118" s="1"/>
  <c r="O10" i="135"/>
  <c r="Q10" i="135" s="1"/>
  <c r="S10" i="135" s="1"/>
  <c r="U10" i="135" s="1"/>
  <c r="U11" i="119"/>
  <c r="W11" i="119" s="1"/>
  <c r="Y11" i="119" s="1"/>
  <c r="AA11" i="119" s="1"/>
  <c r="S28" i="121"/>
  <c r="U28" i="121" s="1"/>
  <c r="W28" i="121" s="1"/>
  <c r="S17" i="133"/>
  <c r="U17" i="133" s="1"/>
  <c r="W17" i="133" s="1"/>
  <c r="X17" i="133" s="1"/>
  <c r="U11" i="121"/>
  <c r="W11" i="121" s="1"/>
  <c r="X11" i="121" s="1"/>
  <c r="S15" i="120"/>
  <c r="U15" i="120" s="1"/>
  <c r="W15" i="120" s="1"/>
  <c r="Y15" i="120" s="1"/>
  <c r="O9" i="135"/>
  <c r="Q9" i="135" s="1"/>
  <c r="S9" i="135" s="1"/>
  <c r="U9" i="135" s="1"/>
  <c r="AB22" i="120"/>
  <c r="S27" i="120"/>
  <c r="U27" i="120" s="1"/>
  <c r="W27" i="120" s="1"/>
  <c r="X27" i="120" s="1"/>
  <c r="Y11" i="118"/>
  <c r="X18" i="121"/>
  <c r="Y18" i="121"/>
  <c r="U13" i="119"/>
  <c r="W13" i="119" s="1"/>
  <c r="Y13" i="119" s="1"/>
  <c r="S18" i="133"/>
  <c r="U18" i="133" s="1"/>
  <c r="W18" i="133" s="1"/>
  <c r="W13" i="121"/>
  <c r="O16" i="135"/>
  <c r="Q16" i="135" s="1"/>
  <c r="S16" i="135" s="1"/>
  <c r="O15" i="135"/>
  <c r="Q15" i="135" s="1"/>
  <c r="S15" i="135" s="1"/>
  <c r="S16" i="123"/>
  <c r="U16" i="123" s="1"/>
  <c r="W16" i="123" s="1"/>
  <c r="S10" i="121"/>
  <c r="U10" i="121" s="1"/>
  <c r="W10" i="121" s="1"/>
  <c r="L14" i="131"/>
  <c r="N14" i="131" s="1"/>
  <c r="Y27" i="120" l="1"/>
  <c r="T10" i="135"/>
  <c r="Y28" i="121"/>
  <c r="X28" i="121"/>
  <c r="Y17" i="133"/>
  <c r="Y11" i="121"/>
  <c r="X15" i="120"/>
  <c r="T9" i="135"/>
  <c r="X16" i="123"/>
  <c r="Y16" i="123"/>
  <c r="Y9" i="121"/>
  <c r="X9" i="121"/>
  <c r="T15" i="135"/>
  <c r="U15" i="135"/>
  <c r="X13" i="121"/>
  <c r="Y13" i="121"/>
  <c r="X12" i="118"/>
  <c r="Y12" i="118"/>
  <c r="T16" i="135"/>
  <c r="U16" i="135"/>
  <c r="S14" i="131"/>
  <c r="O14" i="131"/>
  <c r="P14" i="131" s="1"/>
  <c r="R14" i="131" s="1"/>
  <c r="Q14" i="131"/>
  <c r="Y10" i="121"/>
  <c r="X10" i="121"/>
  <c r="Y18" i="133"/>
  <c r="X18" i="133"/>
  <c r="U14" i="131"/>
  <c r="T14" i="131" l="1"/>
  <c r="V14" i="131" s="1"/>
  <c r="J14" i="131"/>
  <c r="X14" i="131" l="1"/>
  <c r="Z14" i="131" s="1"/>
  <c r="W14" i="131"/>
  <c r="AA14" i="131" l="1"/>
  <c r="M15" i="120"/>
  <c r="AA15" i="120" l="1"/>
  <c r="AB15" i="120" l="1"/>
  <c r="M18" i="133" l="1"/>
  <c r="J18" i="133"/>
  <c r="AA18" i="133" l="1"/>
  <c r="AB18" i="133" l="1"/>
  <c r="M13" i="121"/>
  <c r="AA13" i="121" l="1"/>
  <c r="AB13" i="121" l="1"/>
  <c r="M11" i="121"/>
  <c r="AA11" i="121" l="1"/>
  <c r="AB11" i="121" s="1"/>
  <c r="V23" i="135" l="1"/>
  <c r="I16" i="135" l="1"/>
  <c r="M17" i="133" l="1"/>
  <c r="Z11" i="123" l="1"/>
  <c r="L11" i="123"/>
  <c r="P23" i="135" l="1"/>
  <c r="L23" i="135"/>
  <c r="J23" i="135"/>
  <c r="I15" i="135"/>
  <c r="I9" i="135"/>
  <c r="I10" i="135" l="1"/>
  <c r="I23" i="135" l="1"/>
  <c r="K23" i="135"/>
  <c r="M23" i="135" l="1"/>
  <c r="L18" i="131" l="1"/>
  <c r="N18" i="131" s="1"/>
  <c r="L17" i="131"/>
  <c r="N17" i="131" s="1"/>
  <c r="L16" i="131"/>
  <c r="N16" i="131" s="1"/>
  <c r="L15" i="131"/>
  <c r="N15" i="131" s="1"/>
  <c r="L12" i="131"/>
  <c r="N12" i="131" s="1"/>
  <c r="L11" i="131"/>
  <c r="N11" i="131" s="1"/>
  <c r="L10" i="131"/>
  <c r="N10" i="131" s="1"/>
  <c r="O15" i="131" l="1"/>
  <c r="P15" i="131" s="1"/>
  <c r="S15" i="131"/>
  <c r="Q15" i="131"/>
  <c r="S16" i="131"/>
  <c r="O16" i="131"/>
  <c r="P16" i="131" s="1"/>
  <c r="R16" i="131" s="1"/>
  <c r="Q16" i="131"/>
  <c r="O17" i="131"/>
  <c r="P17" i="131" s="1"/>
  <c r="R17" i="131" s="1"/>
  <c r="S17" i="131"/>
  <c r="Q17" i="131"/>
  <c r="Q10" i="131"/>
  <c r="O10" i="131"/>
  <c r="P10" i="131" s="1"/>
  <c r="R10" i="131" s="1"/>
  <c r="T10" i="131" s="1"/>
  <c r="U10" i="131"/>
  <c r="S10" i="131"/>
  <c r="O11" i="131"/>
  <c r="P11" i="131" s="1"/>
  <c r="S11" i="131"/>
  <c r="S12" i="131"/>
  <c r="O12" i="131"/>
  <c r="Q12" i="131"/>
  <c r="P12" i="131"/>
  <c r="S18" i="131"/>
  <c r="O18" i="131"/>
  <c r="Q18" i="131"/>
  <c r="P18" i="131"/>
  <c r="U17" i="131"/>
  <c r="Q11" i="131"/>
  <c r="U11" i="131"/>
  <c r="U12" i="131"/>
  <c r="U18" i="131"/>
  <c r="U16" i="131"/>
  <c r="U15" i="131"/>
  <c r="Z28" i="120"/>
  <c r="L28" i="120"/>
  <c r="R11" i="131" l="1"/>
  <c r="T11" i="131" s="1"/>
  <c r="V11" i="131" s="1"/>
  <c r="X11" i="131" s="1"/>
  <c r="R15" i="131"/>
  <c r="V10" i="131"/>
  <c r="W10" i="131" s="1"/>
  <c r="R18" i="131"/>
  <c r="R12" i="131"/>
  <c r="T12" i="131" s="1"/>
  <c r="V12" i="131" s="1"/>
  <c r="X12" i="131" s="1"/>
  <c r="T15" i="131"/>
  <c r="V15" i="131" s="1"/>
  <c r="X15" i="131" s="1"/>
  <c r="T16" i="131"/>
  <c r="V16" i="131" s="1"/>
  <c r="X16" i="131" s="1"/>
  <c r="T18" i="131"/>
  <c r="V18" i="131" s="1"/>
  <c r="X18" i="131" s="1"/>
  <c r="T17" i="131"/>
  <c r="V17" i="131" s="1"/>
  <c r="X17" i="131" s="1"/>
  <c r="X10" i="131" l="1"/>
  <c r="Z8" i="121"/>
  <c r="L8" i="121"/>
  <c r="Z19" i="119"/>
  <c r="L19" i="119"/>
  <c r="K19" i="119"/>
  <c r="Z14" i="123" l="1"/>
  <c r="L14" i="123"/>
  <c r="M9" i="121" l="1"/>
  <c r="T15" i="134" l="1"/>
  <c r="P15" i="134"/>
  <c r="N15" i="134"/>
  <c r="O15" i="134" l="1"/>
  <c r="R15" i="134" l="1"/>
  <c r="Q15" i="134"/>
  <c r="Z27" i="121" l="1"/>
  <c r="Z31" i="121" s="1"/>
  <c r="L27" i="121"/>
  <c r="L31" i="121" s="1"/>
  <c r="S15" i="134" l="1"/>
  <c r="U15" i="134"/>
  <c r="J10" i="121" l="1"/>
  <c r="M27" i="120"/>
  <c r="J27" i="120"/>
  <c r="M10" i="121" l="1"/>
  <c r="M13" i="119" l="1"/>
  <c r="K27" i="121" l="1"/>
  <c r="K14" i="123"/>
  <c r="K11" i="123"/>
  <c r="K8" i="121" l="1"/>
  <c r="K31" i="121" s="1"/>
  <c r="M28" i="121" l="1"/>
  <c r="M27" i="121" s="1"/>
  <c r="M11" i="123" l="1"/>
  <c r="M16" i="123" l="1"/>
  <c r="M14" i="123" s="1"/>
  <c r="M18" i="121" l="1"/>
  <c r="J38" i="123" l="1"/>
  <c r="Z37" i="123"/>
  <c r="L37" i="123"/>
  <c r="K37" i="123"/>
  <c r="J17" i="133" l="1"/>
  <c r="T19" i="133"/>
  <c r="P19" i="133"/>
  <c r="N19" i="133"/>
  <c r="X37" i="123" l="1"/>
  <c r="M37" i="123"/>
  <c r="Q19" i="133" l="1"/>
  <c r="Y37" i="123"/>
  <c r="M19" i="133"/>
  <c r="O19" i="133" l="1"/>
  <c r="AA37" i="123"/>
  <c r="AB37" i="123"/>
  <c r="M11" i="118" l="1"/>
  <c r="Z14" i="118" l="1"/>
  <c r="L14" i="118"/>
  <c r="Z8" i="119" l="1"/>
  <c r="L8" i="119"/>
  <c r="K8" i="119"/>
  <c r="Z33" i="123" l="1"/>
  <c r="M33" i="123"/>
  <c r="L33" i="123"/>
  <c r="K33" i="123"/>
  <c r="J16" i="123"/>
  <c r="K31" i="123" l="1"/>
  <c r="K40" i="123" s="1"/>
  <c r="M31" i="123"/>
  <c r="M40" i="123" s="1"/>
  <c r="L31" i="123"/>
  <c r="L40" i="123" s="1"/>
  <c r="Z31" i="123"/>
  <c r="Z40" i="123" s="1"/>
  <c r="J18" i="121"/>
  <c r="M8" i="121"/>
  <c r="M31" i="121" s="1"/>
  <c r="J16" i="121"/>
  <c r="J12" i="121"/>
  <c r="J9" i="121"/>
  <c r="Z14" i="119" l="1"/>
  <c r="L14" i="119"/>
  <c r="Z12" i="119"/>
  <c r="L12" i="119"/>
  <c r="K12" i="119"/>
  <c r="M11" i="119"/>
  <c r="Z22" i="119" l="1"/>
  <c r="K22" i="119"/>
  <c r="L22" i="119"/>
  <c r="Z15" i="132"/>
  <c r="T15" i="132"/>
  <c r="P15" i="132"/>
  <c r="N15" i="132"/>
  <c r="L15" i="132"/>
  <c r="K15" i="132" l="1"/>
  <c r="M15" i="132" l="1"/>
  <c r="V15" i="132"/>
  <c r="Q15" i="132"/>
  <c r="O15" i="132"/>
  <c r="M12" i="119" l="1"/>
  <c r="J11" i="131" l="1"/>
  <c r="J12" i="131"/>
  <c r="J13" i="131"/>
  <c r="J15" i="131"/>
  <c r="J16" i="131"/>
  <c r="J17" i="131"/>
  <c r="J18" i="131"/>
  <c r="J10" i="131"/>
  <c r="J11" i="118"/>
  <c r="J12" i="118"/>
  <c r="J10" i="118"/>
  <c r="J34" i="123"/>
  <c r="J15" i="123"/>
  <c r="J12" i="123"/>
  <c r="J28" i="121"/>
  <c r="Y20" i="131" l="1"/>
  <c r="M20" i="131"/>
  <c r="K20" i="131"/>
  <c r="N20" i="131" l="1"/>
  <c r="L20" i="131"/>
  <c r="O20" i="131" l="1"/>
  <c r="S20" i="131"/>
  <c r="P20" i="131" l="1"/>
  <c r="M12" i="118" l="1"/>
  <c r="M14" i="118" l="1"/>
  <c r="N14" i="118"/>
  <c r="N40" i="123"/>
  <c r="N31" i="121"/>
  <c r="N28" i="120"/>
  <c r="K14" i="118" l="1"/>
  <c r="O40" i="123"/>
  <c r="O31" i="121"/>
  <c r="O14" i="118" l="1"/>
  <c r="N22" i="119" l="1"/>
  <c r="M19" i="119"/>
  <c r="M14" i="119" l="1"/>
  <c r="M8" i="119"/>
  <c r="M22" i="119" l="1"/>
  <c r="O22" i="119"/>
  <c r="Z18" i="131" l="1"/>
  <c r="R23" i="135"/>
  <c r="AA16" i="123"/>
  <c r="AA27" i="120"/>
  <c r="V15" i="134"/>
  <c r="Z12" i="131"/>
  <c r="AA13" i="119"/>
  <c r="X13" i="119"/>
  <c r="W15" i="131"/>
  <c r="W16" i="135"/>
  <c r="Z11" i="131"/>
  <c r="W11" i="131"/>
  <c r="N23" i="135"/>
  <c r="Z10" i="131"/>
  <c r="Z16" i="131"/>
  <c r="W16" i="131"/>
  <c r="W17" i="131"/>
  <c r="Z17" i="131"/>
  <c r="AA9" i="121"/>
  <c r="R31" i="121"/>
  <c r="AA18" i="121"/>
  <c r="AA10" i="121"/>
  <c r="V19" i="133"/>
  <c r="R19" i="133"/>
  <c r="R15" i="132"/>
  <c r="X11" i="119"/>
  <c r="U20" i="131"/>
  <c r="Q20" i="131"/>
  <c r="T28" i="120"/>
  <c r="R40" i="123"/>
  <c r="V22" i="119"/>
  <c r="V40" i="123"/>
  <c r="T31" i="121"/>
  <c r="P28" i="120"/>
  <c r="P40" i="123"/>
  <c r="V14" i="118"/>
  <c r="R22" i="119"/>
  <c r="T14" i="118"/>
  <c r="T40" i="123"/>
  <c r="V31" i="121"/>
  <c r="P22" i="119"/>
  <c r="T22" i="119"/>
  <c r="R14" i="118"/>
  <c r="P14" i="118"/>
  <c r="P31" i="121"/>
  <c r="AA17" i="133" l="1"/>
  <c r="AA19" i="133" s="1"/>
  <c r="Y19" i="133"/>
  <c r="AA14" i="123"/>
  <c r="Z15" i="131"/>
  <c r="AA15" i="131" s="1"/>
  <c r="W18" i="131"/>
  <c r="AA18" i="131" s="1"/>
  <c r="W15" i="135"/>
  <c r="X15" i="135" s="1"/>
  <c r="W10" i="135"/>
  <c r="X10" i="135" s="1"/>
  <c r="W12" i="131"/>
  <c r="AA12" i="131" s="1"/>
  <c r="AB27" i="120"/>
  <c r="AB16" i="123"/>
  <c r="AB10" i="121"/>
  <c r="AB18" i="121"/>
  <c r="AB9" i="121"/>
  <c r="AA16" i="131"/>
  <c r="AA10" i="131"/>
  <c r="AA11" i="131"/>
  <c r="X27" i="121"/>
  <c r="W15" i="134"/>
  <c r="AA28" i="121"/>
  <c r="AA27" i="121" s="1"/>
  <c r="Y27" i="121"/>
  <c r="AB13" i="119"/>
  <c r="AA17" i="131"/>
  <c r="X14" i="123"/>
  <c r="X16" i="135"/>
  <c r="O23" i="135"/>
  <c r="X11" i="123"/>
  <c r="AA11" i="123"/>
  <c r="AA40" i="123" s="1"/>
  <c r="Y11" i="123"/>
  <c r="Y8" i="121"/>
  <c r="X8" i="121"/>
  <c r="AA11" i="118"/>
  <c r="AB11" i="118" s="1"/>
  <c r="S19" i="133"/>
  <c r="AB11" i="119"/>
  <c r="AA33" i="123"/>
  <c r="AA31" i="123" s="1"/>
  <c r="Y33" i="123"/>
  <c r="Y31" i="123" s="1"/>
  <c r="R20" i="131"/>
  <c r="U15" i="132"/>
  <c r="S15" i="132"/>
  <c r="X33" i="123"/>
  <c r="X31" i="123" s="1"/>
  <c r="AA12" i="118"/>
  <c r="AB12" i="118" s="1"/>
  <c r="Q40" i="123"/>
  <c r="Q22" i="119"/>
  <c r="X14" i="119"/>
  <c r="Q31" i="121"/>
  <c r="X19" i="119"/>
  <c r="Y19" i="119"/>
  <c r="Q14" i="118"/>
  <c r="X40" i="123" l="1"/>
  <c r="AB17" i="133"/>
  <c r="AB19" i="133" s="1"/>
  <c r="Y31" i="121"/>
  <c r="X31" i="121"/>
  <c r="Y14" i="123"/>
  <c r="Y40" i="123" s="1"/>
  <c r="AB28" i="121"/>
  <c r="AB27" i="121" s="1"/>
  <c r="AB14" i="123"/>
  <c r="Q23" i="135"/>
  <c r="AB11" i="123"/>
  <c r="AA8" i="121"/>
  <c r="AA31" i="121" s="1"/>
  <c r="AB8" i="121"/>
  <c r="U19" i="133"/>
  <c r="AB33" i="123"/>
  <c r="AB31" i="123" s="1"/>
  <c r="X12" i="119"/>
  <c r="W15" i="132"/>
  <c r="T20" i="131"/>
  <c r="AA12" i="119"/>
  <c r="Y12" i="119"/>
  <c r="AA14" i="119"/>
  <c r="Y14" i="119"/>
  <c r="AA19" i="119"/>
  <c r="S14" i="118"/>
  <c r="S31" i="121"/>
  <c r="S40" i="123"/>
  <c r="S22" i="119"/>
  <c r="AB40" i="123" l="1"/>
  <c r="AB31" i="121"/>
  <c r="S23" i="135"/>
  <c r="W19" i="133"/>
  <c r="Y15" i="132"/>
  <c r="AA15" i="132"/>
  <c r="X15" i="132"/>
  <c r="V20" i="131"/>
  <c r="AB12" i="119"/>
  <c r="AB14" i="119"/>
  <c r="AB20" i="119"/>
  <c r="AB19" i="119" s="1"/>
  <c r="U31" i="121"/>
  <c r="U40" i="123"/>
  <c r="U14" i="118"/>
  <c r="U22" i="119"/>
  <c r="T23" i="135" l="1"/>
  <c r="U23" i="135"/>
  <c r="W9" i="135"/>
  <c r="X19" i="133"/>
  <c r="AB15" i="132"/>
  <c r="Z20" i="131"/>
  <c r="X20" i="131"/>
  <c r="W20" i="131"/>
  <c r="Y8" i="119"/>
  <c r="Y22" i="119" s="1"/>
  <c r="W22" i="119"/>
  <c r="X8" i="119"/>
  <c r="X22" i="119" s="1"/>
  <c r="X14" i="118"/>
  <c r="Y14" i="118"/>
  <c r="W14" i="118"/>
  <c r="W40" i="123"/>
  <c r="W31" i="121"/>
  <c r="W23" i="135" l="1"/>
  <c r="X9" i="135"/>
  <c r="X23" i="135" s="1"/>
  <c r="AA20" i="131"/>
  <c r="AA8" i="119"/>
  <c r="AA22" i="119" s="1"/>
  <c r="AA14" i="118"/>
  <c r="AB8" i="119" l="1"/>
  <c r="AB22" i="119" s="1"/>
  <c r="AB14" i="118"/>
  <c r="K28" i="120"/>
  <c r="J9" i="120"/>
  <c r="V28" i="120" l="1"/>
  <c r="R28" i="120"/>
  <c r="O28" i="120"/>
  <c r="Q28" i="120"/>
  <c r="M28" i="120"/>
  <c r="S28" i="120" l="1"/>
  <c r="U28" i="120" l="1"/>
  <c r="W28" i="120" l="1"/>
  <c r="X28" i="120" l="1"/>
  <c r="AA28" i="120"/>
  <c r="Y28" i="120" l="1"/>
  <c r="AB28" i="120"/>
</calcChain>
</file>

<file path=xl/sharedStrings.xml><?xml version="1.0" encoding="utf-8"?>
<sst xmlns="http://schemas.openxmlformats.org/spreadsheetml/2006/main" count="1308" uniqueCount="485">
  <si>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</si>
  <si>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</si>
  <si>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</si>
  <si>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</si>
  <si>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</si>
  <si>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</si>
  <si>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</si>
  <si>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</si>
  <si>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</si>
  <si>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</si>
  <si>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</si>
  <si>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</si>
  <si>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</si>
  <si>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</si>
  <si>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</si>
  <si>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</si>
  <si>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</si>
  <si>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</si>
  <si>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</si>
  <si>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</si>
  <si>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</si>
  <si>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</si>
  <si>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</si>
  <si>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</si>
  <si>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</si>
  <si>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</si>
  <si>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</si>
  <si>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</si>
  <si>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</si>
  <si>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</si>
  <si>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</si>
  <si>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</si>
  <si>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</si>
  <si>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</si>
  <si>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</si>
  <si>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</si>
  <si>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</si>
  <si>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</si>
  <si>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</si>
  <si>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</si>
  <si>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</si>
  <si>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</si>
  <si>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</si>
  <si>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</si>
  <si>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</si>
  <si>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</si>
  <si>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</si>
  <si>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</si>
  <si>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</si>
  <si>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</si>
  <si>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</si>
  <si>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</si>
  <si>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</si>
  <si>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</si>
  <si>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</si>
  <si>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</si>
  <si>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Prestamo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</si>
  <si>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</si>
  <si>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</si>
  <si>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</si>
  <si>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</si>
  <si>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</si>
  <si>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</si>
  <si>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</si>
  <si>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</si>
  <si>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</si>
  <si>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</si>
  <si>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</si>
  <si>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</si>
  <si>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</si>
  <si>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</si>
  <si>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</si>
  <si>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</si>
  <si>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</si>
  <si>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</si>
  <si>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</si>
  <si>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</si>
  <si>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</si>
  <si>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</si>
  <si>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</si>
  <si>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</si>
  <si>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</si>
  <si>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</si>
  <si>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</si>
  <si>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</si>
  <si>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</si>
  <si>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</si>
  <si>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</si>
  <si>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</si>
  <si>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</si>
  <si>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</si>
  <si>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</si>
  <si>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</si>
  <si>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</si>
  <si>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</si>
  <si>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</si>
  <si>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</si>
  <si>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</si>
  <si>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SILVIA ALEJANDRA SANDOVAL SOTO</t>
  </si>
  <si>
    <t>CESAR JESUS LANDEROS MORA</t>
  </si>
  <si>
    <t>DIRECTORA DEL INSTITUTO MUNICIPAL DE LA MUJER</t>
  </si>
  <si>
    <t>Núm de Empleado</t>
  </si>
  <si>
    <t>RFC</t>
  </si>
  <si>
    <t>AFANADOR PARQUE LA ISLA</t>
  </si>
  <si>
    <t>052</t>
  </si>
  <si>
    <t>002</t>
  </si>
  <si>
    <t>ROAE8305268D9</t>
  </si>
  <si>
    <t>088</t>
  </si>
  <si>
    <t>N°</t>
  </si>
  <si>
    <t>007</t>
  </si>
  <si>
    <t>PELG8902233V7</t>
  </si>
  <si>
    <t>009</t>
  </si>
  <si>
    <t>SASS90022203B3</t>
  </si>
  <si>
    <t>CACG8412204R1</t>
  </si>
  <si>
    <t>096</t>
  </si>
  <si>
    <t>OOVL880419UZ9</t>
  </si>
  <si>
    <t>102</t>
  </si>
  <si>
    <t>LAMC910610LB9</t>
  </si>
  <si>
    <t>PECI880515LKA</t>
  </si>
  <si>
    <t>105</t>
  </si>
  <si>
    <t>CAAS900829JN3</t>
  </si>
  <si>
    <t>HACIENDA PÚBLICA MPAL</t>
  </si>
  <si>
    <t>111</t>
  </si>
  <si>
    <t>UUAJ620306516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</si>
  <si>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</si>
  <si>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</si>
  <si>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</si>
  <si>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</si>
  <si>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</si>
  <si>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</si>
  <si>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</si>
  <si>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</si>
  <si>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</si>
  <si>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</si>
  <si>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</si>
  <si>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</si>
  <si>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</si>
  <si>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</si>
  <si>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</si>
  <si>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</si>
  <si>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</si>
  <si>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</si>
  <si>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IARM881208T31</t>
  </si>
  <si>
    <t>FRANCISCO JAVIER MERIN SOTO</t>
  </si>
  <si>
    <t>SAUL CASTRO CASTAÑEDA</t>
  </si>
  <si>
    <t>PARAMÉDICO</t>
  </si>
  <si>
    <t>CHOFER AMBULANCIA</t>
  </si>
  <si>
    <t>SERVICIOS MÉDICOS MUNICIPALES</t>
  </si>
  <si>
    <t>146</t>
  </si>
  <si>
    <t>153</t>
  </si>
  <si>
    <t>154</t>
  </si>
  <si>
    <t>CACS7103203Q9</t>
  </si>
  <si>
    <t>MESF850913II3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</si>
  <si>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</si>
  <si>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</si>
  <si>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</si>
  <si>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</si>
  <si>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</si>
  <si>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</si>
  <si>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</si>
  <si>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</si>
  <si>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</si>
  <si>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</si>
  <si>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</si>
  <si>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</si>
  <si>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</si>
  <si>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</si>
  <si>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</si>
  <si>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SOCG8710244C0</t>
  </si>
  <si>
    <t>VICF940917FW7</t>
  </si>
  <si>
    <t>CAAM750115HV3</t>
  </si>
  <si>
    <t>CASE8710163P8</t>
  </si>
  <si>
    <t>GACG750625B70</t>
  </si>
  <si>
    <t>CACX8112279U5</t>
  </si>
  <si>
    <t>ROCE781126IN0</t>
  </si>
  <si>
    <t>GACS7702262M3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</si>
  <si>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</si>
  <si>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</si>
  <si>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</si>
  <si>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</si>
  <si>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</si>
  <si>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</si>
  <si>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</si>
  <si>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</si>
  <si>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</si>
  <si>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NUSM8008193D2</t>
  </si>
  <si>
    <t>ENRIQUE GARCIA ROJAS</t>
  </si>
  <si>
    <t>INDALECIO LLAMAS ESPARZA</t>
  </si>
  <si>
    <t>AUXILIAR BASICO DE PROTECCION CIVIL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</si>
  <si>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</si>
  <si>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</si>
  <si>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</si>
  <si>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</si>
  <si>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</si>
  <si>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</si>
  <si>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</si>
  <si>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CASJ6506143H0</t>
  </si>
  <si>
    <t>GARE510603JR0</t>
  </si>
  <si>
    <t>CARD630626GL5</t>
  </si>
  <si>
    <t>LAEI990815JE7</t>
  </si>
  <si>
    <t>SOCS710314EB3</t>
  </si>
  <si>
    <t>AOGA8509167A4</t>
  </si>
  <si>
    <t>191</t>
  </si>
  <si>
    <t>190</t>
  </si>
  <si>
    <t>193</t>
  </si>
  <si>
    <t>195</t>
  </si>
  <si>
    <t>198</t>
  </si>
  <si>
    <t>201</t>
  </si>
  <si>
    <t>210</t>
  </si>
  <si>
    <t>216</t>
  </si>
  <si>
    <t>JULIAN MADERA CASTRO</t>
  </si>
  <si>
    <t>MACJ900422JF8</t>
  </si>
  <si>
    <t>ENCARGADA DEL COMEDOR ESCOLAR</t>
  </si>
  <si>
    <t>MARIO AVILA AVILA</t>
  </si>
  <si>
    <t>CHOFER DE DESARROLLO SOCIAL</t>
  </si>
  <si>
    <t>AIAM870428GG7</t>
  </si>
  <si>
    <t>221</t>
  </si>
  <si>
    <t>220</t>
  </si>
  <si>
    <t>226</t>
  </si>
  <si>
    <t>HERIBERTA AVILA VEGA</t>
  </si>
  <si>
    <t>AIVH7703037R6</t>
  </si>
  <si>
    <t>228</t>
  </si>
  <si>
    <t>SUELDO  DEL 16 AL 31 DE OCTUBRE DE 2019</t>
  </si>
  <si>
    <t>236</t>
  </si>
  <si>
    <t>241</t>
  </si>
  <si>
    <t>JOSE SANDOVAL VITELA</t>
  </si>
  <si>
    <t>SAVJ640113NX2</t>
  </si>
  <si>
    <t>015</t>
  </si>
  <si>
    <t>242</t>
  </si>
  <si>
    <t>245</t>
  </si>
  <si>
    <t>DAVID CASTRO AVILA</t>
  </si>
  <si>
    <t>CAAD880427EC1</t>
  </si>
  <si>
    <t>248</t>
  </si>
  <si>
    <t>GILBERTO CASTRO BALTIERRA</t>
  </si>
  <si>
    <t>CABG900204C29</t>
  </si>
  <si>
    <t>EMILIA RAMIREZ CASTRO</t>
  </si>
  <si>
    <t>RACE731012RZ4</t>
  </si>
  <si>
    <t>251</t>
  </si>
  <si>
    <t>SAMUEL LLAMAS AGUAYO</t>
  </si>
  <si>
    <t>256</t>
  </si>
  <si>
    <t xml:space="preserve">SALARIO MINIMO GENERAL </t>
  </si>
  <si>
    <t>UMA</t>
  </si>
  <si>
    <t>LAAS570228G56</t>
  </si>
  <si>
    <t>DIAS</t>
  </si>
  <si>
    <t xml:space="preserve"> Descuentos</t>
  </si>
  <si>
    <t>264</t>
  </si>
  <si>
    <t>155</t>
  </si>
  <si>
    <t>MARIA LUZ ELENA GUZMAN CARDONA</t>
  </si>
  <si>
    <t>GUCL810316MN5</t>
  </si>
  <si>
    <t>PRESIDENTE MUNICIPAL</t>
  </si>
  <si>
    <t xml:space="preserve">SECRETARIO GENERAL </t>
  </si>
  <si>
    <t>170</t>
  </si>
  <si>
    <t>CARLOS ADRIAN AVILA LLAMAS</t>
  </si>
  <si>
    <t>AILC9808299Q6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</si>
  <si>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</si>
  <si>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</si>
  <si>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</si>
  <si>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</si>
  <si>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DIRECTOR DE PROYECTOS PRODUCTIVOS</t>
  </si>
  <si>
    <t>269</t>
  </si>
  <si>
    <t>270</t>
  </si>
  <si>
    <t>271</t>
  </si>
  <si>
    <t>272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</si>
  <si>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</si>
  <si>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</si>
  <si>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</si>
  <si>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</si>
  <si>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</si>
  <si>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</si>
  <si>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</si>
  <si>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</si>
  <si>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</si>
  <si>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</si>
  <si>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</si>
  <si>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CARA7406217J3</t>
  </si>
  <si>
    <t>JORGE LOPEZ GARCIA</t>
  </si>
  <si>
    <t>LOGJ9608024T3</t>
  </si>
  <si>
    <t>HOGN7707044S3</t>
  </si>
  <si>
    <t>TERA870128LC3</t>
  </si>
  <si>
    <t>LOMG001010I98</t>
  </si>
  <si>
    <t>VIGL8311141P7</t>
  </si>
  <si>
    <t>GULR780405N43</t>
  </si>
  <si>
    <t>MA GRISELDA SILVA NUÑEZ</t>
  </si>
  <si>
    <t>SING830607MHA</t>
  </si>
  <si>
    <t>ROSA ESMERALDA SANDOVAL MACHUCA</t>
  </si>
  <si>
    <t>SAMR9804042T6</t>
  </si>
  <si>
    <t>MARGARITA SOLIS CASILLAS</t>
  </si>
  <si>
    <t>SOCM780618J44</t>
  </si>
  <si>
    <t>PEDRO DAMIAN RUVALCABA VILLALOBOS</t>
  </si>
  <si>
    <t>RUVP990821QB6</t>
  </si>
  <si>
    <t>EFRAIN ROBLES FLORES</t>
  </si>
  <si>
    <t>ROFE870509J60</t>
  </si>
  <si>
    <t>VICTORIANO SANDOVAL FLORES</t>
  </si>
  <si>
    <t>SAFV890702G75</t>
  </si>
  <si>
    <t>MUMG740311J20</t>
  </si>
  <si>
    <t>GOGL7709164H2</t>
  </si>
  <si>
    <t>194</t>
  </si>
  <si>
    <t>EFRAIN SILVA NUÑEZ</t>
  </si>
  <si>
    <t>SINE910215840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</si>
  <si>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</si>
  <si>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</si>
  <si>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</si>
  <si>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</si>
  <si>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</si>
  <si>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</si>
  <si>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</si>
  <si>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</si>
  <si>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CASG940509UY3</t>
  </si>
  <si>
    <t>AFANADORA PRESIDENCIA MUNICIPAL</t>
  </si>
  <si>
    <t>285</t>
  </si>
  <si>
    <t>AFANADORA SANITARIOS PÙBLICOS</t>
  </si>
  <si>
    <t>MA GUADALUPE MARISCAL ARELLANO</t>
  </si>
  <si>
    <t>LUCIA GONZALEZ GUZMAN</t>
  </si>
  <si>
    <t>136</t>
  </si>
  <si>
    <t>261</t>
  </si>
  <si>
    <t>ERIDANI OROZCO VILLALOBOS</t>
  </si>
  <si>
    <t>OOVE840411MK4</t>
  </si>
  <si>
    <t xml:space="preserve">JUEZ MUNICIPAL </t>
  </si>
  <si>
    <t>CONTRALORIA MUNICIPAL</t>
  </si>
  <si>
    <t>FRANCISCO GUTIERREZ ÁVILA</t>
  </si>
  <si>
    <t>GUAF780107TW9</t>
  </si>
  <si>
    <t>TITULAR DEL ORGANO INTERNO DE CONTROL</t>
  </si>
  <si>
    <t>SINDICO MUNICIPAL</t>
  </si>
  <si>
    <t>CHOFER DE AUTOBUS</t>
  </si>
  <si>
    <t>ROSA VIRIDIANA ARELLANO VEGA</t>
  </si>
  <si>
    <t>AEVR730416EG0</t>
  </si>
  <si>
    <t>CURP</t>
  </si>
  <si>
    <t>PECI880515MJCRSS02</t>
  </si>
  <si>
    <t>SASS900220MJCNTL02</t>
  </si>
  <si>
    <t>PELG890223MJCRLD06</t>
  </si>
  <si>
    <t>CACG841220MJCSSD03</t>
  </si>
  <si>
    <t>CARA740621HJCSDL00</t>
  </si>
  <si>
    <t>ROAE830526HJCDRV07</t>
  </si>
  <si>
    <t>OOVL880419MJCRLD03</t>
  </si>
  <si>
    <t>LAMC910610HJCNRS00</t>
  </si>
  <si>
    <t>CAAS900829MJCSVF05</t>
  </si>
  <si>
    <t>UUAJ620306HJCRVL01</t>
  </si>
  <si>
    <t>SOCM780618MJCLSR05</t>
  </si>
  <si>
    <t>IARM881208HZSBDR03</t>
  </si>
  <si>
    <t>CACS710320HJCSSL08</t>
  </si>
  <si>
    <t>MESF850913HJCRTR09</t>
  </si>
  <si>
    <t>GUCL810316MJCZRZ05</t>
  </si>
  <si>
    <t>SOCG871024MJCLSD09</t>
  </si>
  <si>
    <t>VICF940917HJCLSR05</t>
  </si>
  <si>
    <t>GUAF780107HJCTVR01</t>
  </si>
  <si>
    <t>CAAM750115HJCSVG03</t>
  </si>
  <si>
    <t>AILC980829HJCVLR00</t>
  </si>
  <si>
    <t>CASE871016HJCSLD02</t>
  </si>
  <si>
    <t>GACG750625MJCRSL06</t>
  </si>
  <si>
    <t>CXCO811227HJCRSM04</t>
  </si>
  <si>
    <t>ROCE781126HJCBRD03</t>
  </si>
  <si>
    <t>GACS770226HJCRSL00</t>
  </si>
  <si>
    <t>NUSM800819HJCXLR05</t>
  </si>
  <si>
    <t>AOGA850916HJCNRB08</t>
  </si>
  <si>
    <t>CASJ650614HJCSNR02</t>
  </si>
  <si>
    <t>GARE510603HJCRJN02</t>
  </si>
  <si>
    <t>SINE910215HJCLXF01</t>
  </si>
  <si>
    <t>SOCS710314HJCLSN05</t>
  </si>
  <si>
    <t>CARD630626HJCSMV08</t>
  </si>
  <si>
    <t>MACJ900422HJCDSL04</t>
  </si>
  <si>
    <t>AIAM870428HJCVVR02</t>
  </si>
  <si>
    <t>AIVH770303MJCVGR09</t>
  </si>
  <si>
    <t>SAVJ640113HJCNTS12</t>
  </si>
  <si>
    <t>CAAD880427HZSSVV05</t>
  </si>
  <si>
    <t>CABG900204HJCSLL01</t>
  </si>
  <si>
    <t>RACE731012MJCMSM04</t>
  </si>
  <si>
    <t>LAAS570228HJCLGM06</t>
  </si>
  <si>
    <t>OOVE840411MJCRLR07</t>
  </si>
  <si>
    <t>SAMR980404MJCNCS05</t>
  </si>
  <si>
    <t>SAFV890702HJCNLC08</t>
  </si>
  <si>
    <t>ROFE870509HDGBLF05</t>
  </si>
  <si>
    <t>SING830607MJCLXR08</t>
  </si>
  <si>
    <t>CASG940509MJCSTB07</t>
  </si>
  <si>
    <t>GULR780405HJCTNB02</t>
  </si>
  <si>
    <t>TERA870128MJCRML06</t>
  </si>
  <si>
    <t>VIGL831114HJCLRS02</t>
  </si>
  <si>
    <t>HOGN770704MJCRRM07</t>
  </si>
  <si>
    <t>LOMG001010MJCPGDA9</t>
  </si>
  <si>
    <t>MUMG740311MJCXRD01</t>
  </si>
  <si>
    <t>LOGJ960802HJCPRR09</t>
  </si>
  <si>
    <t>GOGL770916MZSNZC07</t>
  </si>
  <si>
    <t>RUVP990821HJCVLD03</t>
  </si>
  <si>
    <t>MAAG781030MJCRRD08</t>
  </si>
  <si>
    <t>AEVR730416MJCRGS03</t>
  </si>
  <si>
    <t>291</t>
  </si>
  <si>
    <t>292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</si>
  <si>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</si>
  <si>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</si>
  <si>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</si>
  <si>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</si>
  <si>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</si>
  <si>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CAHR900320NQ0</t>
  </si>
  <si>
    <t>CAHR900320HJCSRN09</t>
  </si>
  <si>
    <t>BAFJ64022457A</t>
  </si>
  <si>
    <t>BAFJ640224HJCLRS16</t>
  </si>
  <si>
    <t>JOSE BLANCO FRIAS</t>
  </si>
  <si>
    <t>MECANICO MUNICIPAL</t>
  </si>
  <si>
    <t>032</t>
  </si>
  <si>
    <t>ULISES LOPEZ RODRIGUEZ</t>
  </si>
  <si>
    <t>LORU840304TS8</t>
  </si>
  <si>
    <t>298</t>
  </si>
  <si>
    <t>SECRETARIA DE PROYECTOS PRODUCTIVOS</t>
  </si>
  <si>
    <t>LORU840304HJCPDL05</t>
  </si>
  <si>
    <t>BIBLIOTECA PÙBLICA MUNICIPAL</t>
  </si>
  <si>
    <t>MAAM781030138</t>
  </si>
  <si>
    <t>AUXILIAR DEL REGISTRO CIVIL</t>
  </si>
  <si>
    <t>ANGELBERTO CASILLAS SOLIS</t>
  </si>
  <si>
    <t>301</t>
  </si>
  <si>
    <t>CASA730128UJ7</t>
  </si>
  <si>
    <t>CASA730128HJCSLN01</t>
  </si>
  <si>
    <t>AUXILIAR DE LA BIBLIOTECA PÙBLICA MUNICIPAL</t>
  </si>
  <si>
    <t>300</t>
  </si>
  <si>
    <t>OMAR RENE DAVALOS HERNANDEZ</t>
  </si>
  <si>
    <t>DAHO810112BZA</t>
  </si>
  <si>
    <t>DAHO810212HJCVRM05</t>
  </si>
  <si>
    <t>MEDICO MUNICIPAL</t>
  </si>
  <si>
    <t>302</t>
  </si>
  <si>
    <t>303</t>
  </si>
  <si>
    <t>PAOLA ARACELI CORTEZ VARELA</t>
  </si>
  <si>
    <t>COVP990629626</t>
  </si>
  <si>
    <t>COVP990629MJCRRL01</t>
  </si>
  <si>
    <t>DIRECTORA DE CULTURA</t>
  </si>
  <si>
    <t>CULTURA</t>
  </si>
  <si>
    <t>LAEI990815HJCLSN01</t>
  </si>
  <si>
    <t>304</t>
  </si>
  <si>
    <t>AISG820930HJCVLR04</t>
  </si>
  <si>
    <t>SUPERVISOR BODEGA MUNICIPAL</t>
  </si>
  <si>
    <t>AISG820930134</t>
  </si>
  <si>
    <t>GERARDO AVILA SILVA</t>
  </si>
  <si>
    <t>305</t>
  </si>
  <si>
    <t>RAFAEL NUÑEZ SILVA</t>
  </si>
  <si>
    <t>NUSR670406TB4</t>
  </si>
  <si>
    <t>NUSR670406HJCXLF02</t>
  </si>
  <si>
    <t>ISR Salarios</t>
  </si>
  <si>
    <t>TABLAS PUBLICADAS EL 27 DE DICIEMBRE DE 2022</t>
  </si>
  <si>
    <t>VIGENTES PARA 2023</t>
  </si>
  <si>
    <t>EJERCICIO 2023</t>
  </si>
  <si>
    <t>306</t>
  </si>
  <si>
    <t>ALICIA CASTRO CASTRO</t>
  </si>
  <si>
    <t>CACX031118NV2</t>
  </si>
  <si>
    <t>CXCA031118MJCSSLA</t>
  </si>
  <si>
    <t>307</t>
  </si>
  <si>
    <t>308</t>
  </si>
  <si>
    <t>ALEJANDRA URZUA AVILA</t>
  </si>
  <si>
    <t>UUAA890903CI9</t>
  </si>
  <si>
    <t>UUAA890903MJCRVL08</t>
  </si>
  <si>
    <t>AFANADORA CASA DE LA CULTURA</t>
  </si>
  <si>
    <t>309</t>
  </si>
  <si>
    <t>TANIA LIZBETH ALVAREZ HERNANDEZ</t>
  </si>
  <si>
    <t>AAHT990809FI1</t>
  </si>
  <si>
    <t>AAHT990809MDFLRN03</t>
  </si>
  <si>
    <t>310</t>
  </si>
  <si>
    <t>DANIEL RODRIGUEZ VEGA</t>
  </si>
  <si>
    <t>ROVD970919SI6</t>
  </si>
  <si>
    <t>ROVD790919HJCDGN08</t>
  </si>
  <si>
    <t>311</t>
  </si>
  <si>
    <t>SANDRA SUJEY RODRIGUEZ GONZALEZ</t>
  </si>
  <si>
    <t>ROGS8710228D9</t>
  </si>
  <si>
    <t>ROGS871022MJCDNN00</t>
  </si>
  <si>
    <t>312</t>
  </si>
  <si>
    <t>CEME950131GZ7</t>
  </si>
  <si>
    <t>CEME950131HJCJXD02</t>
  </si>
  <si>
    <t>EGDAR ALEJANDRO CEJA MUÑOZ</t>
  </si>
  <si>
    <t>313</t>
  </si>
  <si>
    <t>EUNICE MIREN HERNANDEZ BARAJAS</t>
  </si>
  <si>
    <t>HEBE970910MA3</t>
  </si>
  <si>
    <t>HEBE970910MJCRRN03</t>
  </si>
  <si>
    <t>FEHA DE INGRESO</t>
  </si>
  <si>
    <t>FECHA DE INGRESO</t>
  </si>
  <si>
    <t>DIRECTOR DE OBRAS PÚBLICAS</t>
  </si>
  <si>
    <t>CARG920319CA1</t>
  </si>
  <si>
    <t>113</t>
  </si>
  <si>
    <t>MA. GUADALUPE CASTRO RAMIREZ</t>
  </si>
  <si>
    <t>CARG920319MJCSMD07</t>
  </si>
  <si>
    <t>314</t>
  </si>
  <si>
    <t>SUELDO  DEL 16 AL30 DE ABRIL DE 2023</t>
  </si>
  <si>
    <t>J NIEVES RAMRIEZ AVELAR</t>
  </si>
  <si>
    <t>SUELDO  DEL 16 AL 30 DE ABRIL DE 2023</t>
  </si>
  <si>
    <t>AERJ860323SE7</t>
  </si>
  <si>
    <t>143</t>
  </si>
  <si>
    <t>AERN860323HJCVMV12</t>
  </si>
  <si>
    <t>CESAR ALBERTO GUZMAN LOPEZ</t>
  </si>
  <si>
    <t>GULC030602HJCZPSA4</t>
  </si>
  <si>
    <t>315</t>
  </si>
  <si>
    <t>GULC030602IR2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</si>
</sst>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</font>
    <font>
      <sz val="14"/>
      <color rgb="FF404041"/>
      <name val="Arial"/>
      <family val="2"/>
    </font>
    <font>
      <sz val="14"/>
      <color rgb="FF47474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5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165" fontId="27" fillId="2" borderId="0" xfId="2" applyNumberFormat="1" applyFont="1" applyFill="1" applyBorder="1" applyAlignment="1" applyProtection="1">
      <alignment horizontal="right"/>
    </xf>
    <xf numFmtId="10" fontId="27" fillId="2" borderId="0" xfId="3" applyNumberFormat="1" applyFont="1" applyFill="1" applyBorder="1" applyAlignment="1" applyProtection="1">
      <alignment horizontal="right"/>
    </xf>
    <xf numFmtId="165" fontId="27" fillId="7" borderId="0" xfId="2" applyNumberFormat="1" applyFont="1" applyFill="1" applyBorder="1" applyAlignment="1" applyProtection="1">
      <alignment horizontal="right"/>
    </xf>
    <xf numFmtId="165" fontId="27" fillId="3" borderId="0" xfId="2" applyNumberFormat="1" applyFont="1" applyFill="1" applyBorder="1" applyAlignment="1" applyProtection="1">
      <alignment horizontal="right"/>
    </xf>
    <xf numFmtId="166" fontId="27" fillId="0" borderId="0" xfId="2" applyNumberFormat="1" applyFont="1" applyBorder="1" applyAlignment="1" applyProtection="1">
      <alignment horizontal="right"/>
      <protection locked="0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6" fontId="29" fillId="0" borderId="4" xfId="2" applyNumberFormat="1" applyFont="1" applyBorder="1" applyAlignment="1" applyProtection="1">
      <alignment horizontal="right"/>
      <protection locked="0"/>
    </xf>
    <xf numFmtId="49" fontId="29" fillId="0" borderId="4" xfId="5" applyNumberFormat="1" applyFont="1" applyBorder="1" applyAlignment="1" applyProtection="1">
      <alignment vertical="center" wrapText="1"/>
      <protection locked="0"/>
    </xf>
    <xf numFmtId="49" fontId="29" fillId="5" borderId="4" xfId="5" applyNumberFormat="1" applyFont="1" applyFill="1" applyBorder="1" applyAlignment="1" applyProtection="1">
      <alignment vertical="center" wrapText="1"/>
      <protection locked="0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0" fontId="29" fillId="0" borderId="2" xfId="0" applyFont="1" applyBorder="1"/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5" borderId="2" xfId="5" applyNumberFormat="1" applyFont="1" applyFill="1" applyBorder="1" applyAlignment="1" applyProtection="1">
      <alignment vertical="center" wrapText="1"/>
      <protection locked="0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5" borderId="4" xfId="0" applyFont="1" applyFill="1" applyBorder="1"/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2" fontId="29" fillId="0" borderId="4" xfId="0" applyNumberFormat="1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166" fontId="29" fillId="0" borderId="0" xfId="2" applyNumberFormat="1" applyFont="1" applyBorder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9" fillId="5" borderId="4" xfId="2" applyNumberFormat="1" applyFont="1" applyFill="1" applyBorder="1" applyAlignment="1" applyProtection="1">
      <alignment horizontal="right"/>
      <protection locked="0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166" fontId="29" fillId="0" borderId="3" xfId="2" applyNumberFormat="1" applyFont="1" applyBorder="1" applyAlignment="1" applyProtection="1">
      <alignment horizontal="right"/>
      <protection locked="0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0" fontId="29" fillId="0" borderId="1" xfId="0" applyFont="1" applyBorder="1" applyAlignment="1" applyProtection="1">
      <alignment horizontal="left"/>
      <protection locked="0"/>
    </xf>
    <xf numFmtId="2" fontId="29" fillId="0" borderId="1" xfId="0" applyNumberFormat="1" applyFont="1" applyBorder="1" applyAlignment="1" applyProtection="1">
      <alignment horizontal="left"/>
      <protection locked="0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35" fillId="0" borderId="0" xfId="0" applyFont="1" applyAlignment="1">
      <alignment horizontal="left"/>
    </xf>
    <xf numFmtId="0" fontId="29" fillId="0" borderId="3" xfId="0" applyFont="1" applyBorder="1"/>
    <xf numFmtId="0" fontId="35" fillId="0" borderId="4" xfId="0" applyFont="1" applyBorder="1" applyAlignment="1">
      <alignment horizontal="left"/>
    </xf>
    <xf numFmtId="0" fontId="36" fillId="0" borderId="0" xfId="0" applyFont="1"/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571500</xdr:colOff>
      <xdr:row>16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21</xdr:row>
      <xdr:rowOff>267164</xdr:rowOff>
    </xdr:from>
    <xdr:to>
      <xdr:col>3</xdr:col>
      <xdr:colOff>1447733</xdr:colOff>
      <xdr:row>24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2506577</xdr:colOff>
      <xdr:row>26</xdr:row>
      <xdr:rowOff>50132</xdr:rowOff>
    </xdr:from>
    <xdr:ext cx="1570791" cy="885658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7235" y="17178421"/>
          <a:ext cx="1570791" cy="885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240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436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96" t="s">
        <v>10</v>
      </c>
      <c r="C7" s="296"/>
      <c r="D7" s="296"/>
      <c r="E7" s="7"/>
      <c r="F7" s="297" t="s">
        <v>48</v>
      </c>
      <c r="G7" s="298"/>
      <c r="I7" s="114" t="s">
        <v>241</v>
      </c>
    </row>
    <row r="8" spans="1:9" ht="14.25" customHeight="1" x14ac:dyDescent="0.25">
      <c r="B8" s="299" t="s">
        <v>9</v>
      </c>
      <c r="C8" s="299"/>
      <c r="D8" s="299"/>
      <c r="E8" s="7"/>
      <c r="F8" s="300" t="s">
        <v>49</v>
      </c>
      <c r="G8" s="301"/>
      <c r="I8" s="113">
        <v>96.22</v>
      </c>
    </row>
    <row r="9" spans="1:9" ht="8.25" customHeight="1" x14ac:dyDescent="0.25">
      <c r="B9" s="293"/>
      <c r="C9" s="293"/>
      <c r="D9" s="293"/>
      <c r="E9" s="7"/>
      <c r="F9" s="294"/>
      <c r="G9" s="295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434</v>
      </c>
      <c r="C28" s="7"/>
      <c r="D28" s="7"/>
    </row>
    <row r="29" spans="1:7" x14ac:dyDescent="0.25">
      <c r="B29" s="32" t="s">
        <v>435</v>
      </c>
      <c r="C29" s="7"/>
      <c r="D29" s="7"/>
    </row>
    <row r="32" spans="1:7" ht="17.25" customHeight="1" x14ac:dyDescent="0.25">
      <c r="B32" s="5" t="s">
        <v>45</v>
      </c>
      <c r="E32" s="7"/>
      <c r="F32" s="297" t="s">
        <v>53</v>
      </c>
      <c r="G32" s="298"/>
    </row>
    <row r="33" spans="2:7" x14ac:dyDescent="0.25">
      <c r="E33" s="7"/>
      <c r="F33" s="300" t="s">
        <v>54</v>
      </c>
      <c r="G33" s="301"/>
    </row>
    <row r="34" spans="2:7" ht="5.25" customHeight="1" x14ac:dyDescent="0.25">
      <c r="E34" s="7"/>
      <c r="F34" s="294"/>
      <c r="G34" s="295"/>
    </row>
    <row r="35" spans="2:7" x14ac:dyDescent="0.25">
      <c r="B35" s="296" t="s">
        <v>10</v>
      </c>
      <c r="C35" s="296"/>
      <c r="D35" s="296"/>
      <c r="E35" s="7"/>
      <c r="F35" s="9" t="s">
        <v>16</v>
      </c>
      <c r="G35" s="9" t="s">
        <v>17</v>
      </c>
    </row>
    <row r="36" spans="2:7" x14ac:dyDescent="0.25">
      <c r="B36" s="299" t="s">
        <v>9</v>
      </c>
      <c r="C36" s="299"/>
      <c r="D36" s="299"/>
      <c r="E36" s="7"/>
      <c r="F36" s="9"/>
      <c r="G36" s="9" t="s">
        <v>18</v>
      </c>
    </row>
    <row r="37" spans="2:7" x14ac:dyDescent="0.25">
      <c r="B37" s="293"/>
      <c r="C37" s="293"/>
      <c r="D37" s="293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B38"/>
  <sheetViews>
    <sheetView tabSelected="1" topLeftCell="B1" zoomScale="78" zoomScaleNormal="78" workbookViewId="0">
      <pane ySplit="1" topLeftCell="A18" activePane="bottomLeft" state="frozen"/>
      <selection activeCell="B1" sqref="B1"/>
      <selection pane="bottomLeft" activeCell="F31" sqref="F31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24" customWidth="1"/>
    <col min="6" max="6" width="32.5546875" customWidth="1"/>
    <col min="7" max="7" width="17.109375" customWidth="1"/>
    <col min="8" max="8" width="27.5546875" customWidth="1"/>
    <col min="9" max="9" width="6.44140625" hidden="1" customWidth="1"/>
    <col min="10" max="10" width="10" hidden="1" customWidth="1"/>
    <col min="11" max="11" width="13.44140625" customWidth="1"/>
    <col min="12" max="12" width="10.33203125" customWidth="1"/>
    <col min="13" max="13" width="14.44140625" bestFit="1" customWidth="1"/>
    <col min="14" max="14" width="11.6640625" hidden="1" customWidth="1"/>
    <col min="15" max="17" width="14.44140625" hidden="1" customWidth="1"/>
    <col min="18" max="18" width="13.44140625" hidden="1" customWidth="1"/>
    <col min="19" max="20" width="12.88671875" hidden="1" customWidth="1"/>
    <col min="21" max="21" width="14.44140625" hidden="1" customWidth="1"/>
    <col min="22" max="22" width="11" hidden="1" customWidth="1"/>
    <col min="23" max="23" width="14.44140625" hidden="1" customWidth="1"/>
    <col min="24" max="24" width="11" bestFit="1" customWidth="1"/>
    <col min="25" max="25" width="14.33203125" customWidth="1"/>
    <col min="26" max="26" width="13.33203125" customWidth="1"/>
    <col min="27" max="27" width="13.88671875" customWidth="1"/>
    <col min="28" max="28" width="13.6640625" customWidth="1"/>
    <col min="29" max="29" width="75.109375" customWidth="1"/>
    <col min="30" max="30" width="1" customWidth="1"/>
  </cols>
  <sheetData>
    <row r="1" spans="1:35" ht="19.8" x14ac:dyDescent="0.3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pans="1:35" ht="19.8" x14ac:dyDescent="0.3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35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35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35" s="51" customFormat="1" ht="15.6" x14ac:dyDescent="0.3">
      <c r="A5" s="47"/>
      <c r="B5" s="119"/>
      <c r="C5" s="119"/>
      <c r="D5" s="119"/>
      <c r="E5" s="119"/>
      <c r="F5" s="119"/>
      <c r="G5" s="119"/>
      <c r="H5" s="281"/>
      <c r="I5" s="120" t="s">
        <v>22</v>
      </c>
      <c r="J5" s="284" t="s">
        <v>5</v>
      </c>
      <c r="K5" s="307" t="s">
        <v>1</v>
      </c>
      <c r="L5" s="308"/>
      <c r="M5" s="309"/>
      <c r="N5" s="121" t="s">
        <v>25</v>
      </c>
      <c r="O5" s="122"/>
      <c r="P5" s="310" t="s">
        <v>8</v>
      </c>
      <c r="Q5" s="311"/>
      <c r="R5" s="311"/>
      <c r="S5" s="311"/>
      <c r="T5" s="311"/>
      <c r="U5" s="312"/>
      <c r="V5" s="121" t="s">
        <v>52</v>
      </c>
      <c r="W5" s="121" t="s">
        <v>9</v>
      </c>
      <c r="X5" s="120" t="s">
        <v>52</v>
      </c>
      <c r="Y5" s="313" t="s">
        <v>2</v>
      </c>
      <c r="Z5" s="314"/>
      <c r="AA5" s="315"/>
      <c r="AB5" s="120" t="s">
        <v>0</v>
      </c>
      <c r="AC5" s="47"/>
    </row>
    <row r="6" spans="1:35" s="51" customFormat="1" ht="29.25" customHeight="1" x14ac:dyDescent="0.3">
      <c r="A6" s="52" t="s">
        <v>20</v>
      </c>
      <c r="B6" s="123" t="s">
        <v>101</v>
      </c>
      <c r="C6" s="123" t="s">
        <v>133</v>
      </c>
      <c r="D6" s="124" t="s">
        <v>21</v>
      </c>
      <c r="E6" s="124"/>
      <c r="F6" s="124"/>
      <c r="G6" s="124"/>
      <c r="H6" s="282"/>
      <c r="I6" s="287" t="s">
        <v>23</v>
      </c>
      <c r="J6" s="285" t="s">
        <v>24</v>
      </c>
      <c r="K6" s="120" t="s">
        <v>5</v>
      </c>
      <c r="L6" s="120" t="s">
        <v>58</v>
      </c>
      <c r="M6" s="120" t="s">
        <v>27</v>
      </c>
      <c r="N6" s="125" t="s">
        <v>26</v>
      </c>
      <c r="O6" s="122" t="s">
        <v>31</v>
      </c>
      <c r="P6" s="122" t="s">
        <v>11</v>
      </c>
      <c r="Q6" s="122" t="s">
        <v>33</v>
      </c>
      <c r="R6" s="122" t="s">
        <v>35</v>
      </c>
      <c r="S6" s="122" t="s">
        <v>36</v>
      </c>
      <c r="T6" s="122" t="s">
        <v>13</v>
      </c>
      <c r="U6" s="122" t="s">
        <v>9</v>
      </c>
      <c r="V6" s="125" t="s">
        <v>39</v>
      </c>
      <c r="W6" s="125" t="s">
        <v>40</v>
      </c>
      <c r="X6" s="124" t="s">
        <v>30</v>
      </c>
      <c r="Y6" s="120" t="s">
        <v>433</v>
      </c>
      <c r="Z6" s="120" t="s">
        <v>56</v>
      </c>
      <c r="AA6" s="120" t="s">
        <v>6</v>
      </c>
      <c r="AB6" s="124" t="s">
        <v>3</v>
      </c>
      <c r="AC6" s="52" t="s">
        <v>57</v>
      </c>
    </row>
    <row r="7" spans="1:35" s="51" customFormat="1" ht="15.6" x14ac:dyDescent="0.3">
      <c r="A7" s="60"/>
      <c r="B7" s="126"/>
      <c r="C7" s="126"/>
      <c r="D7" s="127"/>
      <c r="E7" s="127"/>
      <c r="F7" s="127"/>
      <c r="G7" s="127"/>
      <c r="H7" s="283"/>
      <c r="I7" s="127"/>
      <c r="J7" s="286"/>
      <c r="K7" s="127" t="s">
        <v>46</v>
      </c>
      <c r="L7" s="127" t="s">
        <v>59</v>
      </c>
      <c r="M7" s="127" t="s">
        <v>28</v>
      </c>
      <c r="N7" s="128" t="s">
        <v>42</v>
      </c>
      <c r="O7" s="121" t="s">
        <v>32</v>
      </c>
      <c r="P7" s="121" t="s">
        <v>12</v>
      </c>
      <c r="Q7" s="121" t="s">
        <v>34</v>
      </c>
      <c r="R7" s="121" t="s">
        <v>34</v>
      </c>
      <c r="S7" s="121" t="s">
        <v>37</v>
      </c>
      <c r="T7" s="121" t="s">
        <v>14</v>
      </c>
      <c r="U7" s="121" t="s">
        <v>38</v>
      </c>
      <c r="V7" s="125" t="s">
        <v>51</v>
      </c>
      <c r="W7" s="129" t="s">
        <v>255</v>
      </c>
      <c r="X7" s="127" t="s">
        <v>51</v>
      </c>
      <c r="Y7" s="127"/>
      <c r="Z7" s="127"/>
      <c r="AA7" s="127" t="s">
        <v>43</v>
      </c>
      <c r="AB7" s="127" t="s">
        <v>4</v>
      </c>
      <c r="AC7" s="57"/>
    </row>
    <row r="8" spans="1:35" s="51" customFormat="1" ht="43.5" customHeight="1" x14ac:dyDescent="0.3">
      <c r="A8" s="223"/>
      <c r="B8" s="241" t="s">
        <v>101</v>
      </c>
      <c r="C8" s="241" t="s">
        <v>133</v>
      </c>
      <c r="D8" s="242" t="s">
        <v>62</v>
      </c>
      <c r="E8" s="223" t="s">
        <v>102</v>
      </c>
      <c r="F8" s="223" t="s">
        <v>326</v>
      </c>
      <c r="G8" s="241" t="s">
        <v>468</v>
      </c>
      <c r="H8" s="223" t="s">
        <v>61</v>
      </c>
      <c r="I8" s="223"/>
      <c r="J8" s="223"/>
      <c r="K8" s="243">
        <f>SUM(K9:K11)</f>
        <v>47383</v>
      </c>
      <c r="L8" s="243">
        <f>SUM(L9:L11)</f>
        <v>0</v>
      </c>
      <c r="M8" s="243">
        <f>SUM(M9:M11)</f>
        <v>47383</v>
      </c>
      <c r="N8" s="223"/>
      <c r="O8" s="223"/>
      <c r="P8" s="223"/>
      <c r="Q8" s="223"/>
      <c r="R8" s="223"/>
      <c r="S8" s="223"/>
      <c r="T8" s="223"/>
      <c r="U8" s="223"/>
      <c r="V8" s="223"/>
      <c r="W8" s="244"/>
      <c r="X8" s="243">
        <f>SUM(X9:X11)</f>
        <v>0</v>
      </c>
      <c r="Y8" s="243">
        <f>SUM(Y9:Y11)</f>
        <v>8222.0499999999993</v>
      </c>
      <c r="Z8" s="243">
        <f>SUM(Z9:Z11)</f>
        <v>1500</v>
      </c>
      <c r="AA8" s="243">
        <f>SUM(AA9:AA11)</f>
        <v>9722.0499999999993</v>
      </c>
      <c r="AB8" s="243">
        <f>SUM(AB9:AB11)</f>
        <v>37660.949999999997</v>
      </c>
      <c r="AC8" s="63"/>
    </row>
    <row r="9" spans="1:35" s="51" customFormat="1" ht="102.75" customHeight="1" x14ac:dyDescent="0.35">
      <c r="A9" s="153" t="s">
        <v>83</v>
      </c>
      <c r="B9" s="152" t="s">
        <v>246</v>
      </c>
      <c r="C9" s="153" t="s">
        <v>124</v>
      </c>
      <c r="D9" s="227" t="s">
        <v>247</v>
      </c>
      <c r="E9" s="154" t="s">
        <v>248</v>
      </c>
      <c r="F9" s="205" t="s">
        <v>341</v>
      </c>
      <c r="G9" s="232">
        <v>43374</v>
      </c>
      <c r="H9" s="155" t="s">
        <v>249</v>
      </c>
      <c r="I9" s="156">
        <v>15</v>
      </c>
      <c r="J9" s="157">
        <v>1677.25</v>
      </c>
      <c r="K9" s="158">
        <v>27705</v>
      </c>
      <c r="L9" s="159">
        <v>0</v>
      </c>
      <c r="M9" s="160">
        <f>SUM(K9:L9)</f>
        <v>27705</v>
      </c>
      <c r="N9" s="161">
        <f>IF(K9/15&lt;=SMG,0,L9/2)</f>
        <v>0</v>
      </c>
      <c r="O9" s="161">
        <f>K9+N9</f>
        <v>27705</v>
      </c>
      <c r="P9" s="161">
        <f>VLOOKUP(O9,Tarifa1,1)</f>
        <v>24292.66</v>
      </c>
      <c r="Q9" s="161">
        <f>O9-P9</f>
        <v>3412.34</v>
      </c>
      <c r="R9" s="162">
        <f>VLOOKUP(O9,Tarifa1,3)</f>
        <v>0.3</v>
      </c>
      <c r="S9" s="161">
        <f>Q9*R9</f>
        <v>1023.702</v>
      </c>
      <c r="T9" s="163">
        <f>VLOOKUP(O9,Tarifa1,2)</f>
        <v>4557.75</v>
      </c>
      <c r="U9" s="161">
        <f>S9+T9</f>
        <v>5581.4520000000002</v>
      </c>
      <c r="V9" s="161">
        <f>VLOOKUP(O9,Credito1,2)</f>
        <v>0</v>
      </c>
      <c r="W9" s="161">
        <f>ROUND(U9-V9,2)</f>
        <v>5581.45</v>
      </c>
      <c r="X9" s="160">
        <f>-IF(W9&gt;0,0,W9)</f>
        <v>0</v>
      </c>
      <c r="Y9" s="160">
        <f>IF(K9/15&lt;=SMG,0,IF(W9&lt;0,0,W9))</f>
        <v>5581.45</v>
      </c>
      <c r="Z9" s="164">
        <v>0</v>
      </c>
      <c r="AA9" s="160">
        <f>SUM(Y9:Z9)</f>
        <v>5581.45</v>
      </c>
      <c r="AB9" s="160">
        <f>M9+X9-AA9</f>
        <v>22123.55</v>
      </c>
      <c r="AC9" s="58"/>
    </row>
    <row r="10" spans="1:35" s="51" customFormat="1" ht="102.75" customHeight="1" x14ac:dyDescent="0.35">
      <c r="A10" s="153" t="s">
        <v>84</v>
      </c>
      <c r="B10" s="152" t="s">
        <v>181</v>
      </c>
      <c r="C10" s="153" t="s">
        <v>124</v>
      </c>
      <c r="D10" s="227" t="s">
        <v>164</v>
      </c>
      <c r="E10" s="154" t="s">
        <v>173</v>
      </c>
      <c r="F10" s="205" t="s">
        <v>349</v>
      </c>
      <c r="G10" s="232">
        <v>43101</v>
      </c>
      <c r="H10" s="155" t="s">
        <v>250</v>
      </c>
      <c r="I10" s="156">
        <v>15</v>
      </c>
      <c r="J10" s="157">
        <v>850.15</v>
      </c>
      <c r="K10" s="158">
        <v>14043</v>
      </c>
      <c r="L10" s="159">
        <v>0</v>
      </c>
      <c r="M10" s="160">
        <f>SUM(K10:L10)</f>
        <v>14043</v>
      </c>
      <c r="N10" s="161">
        <f>IF(K10/15&lt;=SMG,0,L10/2)</f>
        <v>0</v>
      </c>
      <c r="O10" s="161">
        <f t="shared" ref="O10" si="0">K10+N10</f>
        <v>14043</v>
      </c>
      <c r="P10" s="161">
        <f>VLOOKUP(O10,Tarifa1,1)</f>
        <v>7641.91</v>
      </c>
      <c r="Q10" s="161">
        <f t="shared" ref="Q10" si="1">O10-P10</f>
        <v>6401.09</v>
      </c>
      <c r="R10" s="162">
        <f>VLOOKUP(O10,Tarifa1,3)</f>
        <v>0.21360000000000001</v>
      </c>
      <c r="S10" s="161">
        <f t="shared" ref="S10" si="2">Q10*R10</f>
        <v>1367.2728240000001</v>
      </c>
      <c r="T10" s="163">
        <f>VLOOKUP(O10,Tarifa1,2)</f>
        <v>809.25</v>
      </c>
      <c r="U10" s="161">
        <f t="shared" ref="U10" si="3">S10+T10</f>
        <v>2176.5228240000001</v>
      </c>
      <c r="V10" s="161">
        <f>VLOOKUP(O10,Credito1,2)</f>
        <v>0</v>
      </c>
      <c r="W10" s="161">
        <f t="shared" ref="W10" si="4">ROUND(U10-V10,2)</f>
        <v>2176.52</v>
      </c>
      <c r="X10" s="160">
        <f>-IF(W10&gt;0,0,W10)</f>
        <v>0</v>
      </c>
      <c r="Y10" s="160">
        <f>IF(K10/15&lt;=SMG,0,IF(W10&lt;0,0,W10))</f>
        <v>2176.52</v>
      </c>
      <c r="Z10" s="164">
        <v>1500</v>
      </c>
      <c r="AA10" s="160">
        <f>SUM(Y10:Z10)</f>
        <v>3676.52</v>
      </c>
      <c r="AB10" s="160">
        <f>M10+X10-AA10</f>
        <v>10366.48</v>
      </c>
      <c r="AC10" s="58"/>
      <c r="AI10" s="59"/>
    </row>
    <row r="11" spans="1:35" s="51" customFormat="1" ht="102.75" customHeight="1" x14ac:dyDescent="0.35">
      <c r="A11" s="153"/>
      <c r="B11" s="153" t="s">
        <v>109</v>
      </c>
      <c r="C11" s="152" t="s">
        <v>124</v>
      </c>
      <c r="D11" s="227" t="s">
        <v>65</v>
      </c>
      <c r="E11" s="154" t="s">
        <v>110</v>
      </c>
      <c r="F11" s="205" t="s">
        <v>329</v>
      </c>
      <c r="G11" s="232">
        <v>40026</v>
      </c>
      <c r="H11" s="154" t="s">
        <v>63</v>
      </c>
      <c r="I11" s="156">
        <v>15</v>
      </c>
      <c r="J11" s="157">
        <v>341.11</v>
      </c>
      <c r="K11" s="158">
        <v>5635</v>
      </c>
      <c r="L11" s="159">
        <v>0</v>
      </c>
      <c r="M11" s="160">
        <f>SUM(K11:L11)</f>
        <v>5635</v>
      </c>
      <c r="N11" s="161">
        <f>IF(K11/15&lt;=SMG,0,L11/2)</f>
        <v>0</v>
      </c>
      <c r="O11" s="161">
        <f t="shared" ref="O11" si="5">K11+N11</f>
        <v>5635</v>
      </c>
      <c r="P11" s="161">
        <f>VLOOKUP(O11,Tarifa1,1)</f>
        <v>5490.76</v>
      </c>
      <c r="Q11" s="161">
        <f t="shared" ref="Q11" si="6">O11-P11</f>
        <v>144.23999999999978</v>
      </c>
      <c r="R11" s="162">
        <f>VLOOKUP(O11,Tarifa1,3)</f>
        <v>0.16</v>
      </c>
      <c r="S11" s="161">
        <f t="shared" ref="S11" si="7">Q11*R11</f>
        <v>23.078399999999966</v>
      </c>
      <c r="T11" s="163">
        <f>VLOOKUP(O11,Tarifa1,2)</f>
        <v>441</v>
      </c>
      <c r="U11" s="161">
        <f t="shared" ref="U11" si="8">S11+T11</f>
        <v>464.07839999999999</v>
      </c>
      <c r="V11" s="161">
        <f>VLOOKUP(O11,Credito1,2)</f>
        <v>0</v>
      </c>
      <c r="W11" s="161">
        <f t="shared" ref="W11" si="9">ROUND(U11-V11,2)</f>
        <v>464.08</v>
      </c>
      <c r="X11" s="160">
        <f>-IF(W11&gt;0,0,W11)</f>
        <v>0</v>
      </c>
      <c r="Y11" s="160">
        <f>IF(K11/15&lt;=SMG,0,IF(W11&lt;0,0,W11))</f>
        <v>464.08</v>
      </c>
      <c r="Z11" s="164">
        <v>0</v>
      </c>
      <c r="AA11" s="160">
        <f>SUM(Y11:Z11)</f>
        <v>464.08</v>
      </c>
      <c r="AB11" s="160">
        <f>M11+X11-AA11</f>
        <v>5170.92</v>
      </c>
      <c r="AC11" s="58"/>
      <c r="AI11" s="59"/>
    </row>
    <row r="12" spans="1:35" s="51" customFormat="1" ht="44.25" customHeight="1" x14ac:dyDescent="0.3">
      <c r="A12" s="153"/>
      <c r="B12" s="241" t="s">
        <v>101</v>
      </c>
      <c r="C12" s="241" t="s">
        <v>133</v>
      </c>
      <c r="D12" s="257" t="s">
        <v>128</v>
      </c>
      <c r="E12" s="223" t="s">
        <v>102</v>
      </c>
      <c r="F12" s="223" t="s">
        <v>326</v>
      </c>
      <c r="G12" s="241" t="s">
        <v>468</v>
      </c>
      <c r="H12" s="223" t="s">
        <v>61</v>
      </c>
      <c r="I12" s="223"/>
      <c r="J12" s="223"/>
      <c r="K12" s="243">
        <f>SUM(K13)</f>
        <v>6309</v>
      </c>
      <c r="L12" s="243">
        <f>SUM(L13)</f>
        <v>0</v>
      </c>
      <c r="M12" s="243">
        <f>SUM(M13)</f>
        <v>6309</v>
      </c>
      <c r="N12" s="223"/>
      <c r="O12" s="223"/>
      <c r="P12" s="223"/>
      <c r="Q12" s="223"/>
      <c r="R12" s="223"/>
      <c r="S12" s="223"/>
      <c r="T12" s="245"/>
      <c r="U12" s="223"/>
      <c r="V12" s="223"/>
      <c r="W12" s="244"/>
      <c r="X12" s="243">
        <f>SUM(X13)</f>
        <v>0</v>
      </c>
      <c r="Y12" s="243">
        <f>SUM(Y13)</f>
        <v>571.91999999999996</v>
      </c>
      <c r="Z12" s="243">
        <f>SUM(Z13)</f>
        <v>0</v>
      </c>
      <c r="AA12" s="243">
        <f>SUM(AA13)</f>
        <v>571.91999999999996</v>
      </c>
      <c r="AB12" s="243">
        <f>SUM(AB13)</f>
        <v>5737.08</v>
      </c>
      <c r="AC12" s="63"/>
      <c r="AI12" s="59"/>
    </row>
    <row r="13" spans="1:35" s="51" customFormat="1" ht="102.75" customHeight="1" x14ac:dyDescent="0.35">
      <c r="A13" s="153" t="s">
        <v>85</v>
      </c>
      <c r="B13" s="153" t="s">
        <v>407</v>
      </c>
      <c r="C13" s="152" t="s">
        <v>124</v>
      </c>
      <c r="D13" s="227" t="s">
        <v>398</v>
      </c>
      <c r="E13" s="154" t="s">
        <v>399</v>
      </c>
      <c r="F13" s="205" t="s">
        <v>402</v>
      </c>
      <c r="G13" s="232">
        <v>44743</v>
      </c>
      <c r="H13" s="155" t="s">
        <v>97</v>
      </c>
      <c r="I13" s="156">
        <v>15</v>
      </c>
      <c r="J13" s="157">
        <v>381.95</v>
      </c>
      <c r="K13" s="158">
        <v>6309</v>
      </c>
      <c r="L13" s="159">
        <v>0</v>
      </c>
      <c r="M13" s="160">
        <f>K13</f>
        <v>6309</v>
      </c>
      <c r="N13" s="161">
        <f>IF(K13/15&lt;=SMG,0,L13/2)</f>
        <v>0</v>
      </c>
      <c r="O13" s="161">
        <f t="shared" ref="O13" si="10">K13+N13</f>
        <v>6309</v>
      </c>
      <c r="P13" s="161">
        <f>VLOOKUP(O13,Tarifa1,1)</f>
        <v>5490.76</v>
      </c>
      <c r="Q13" s="161">
        <f t="shared" ref="Q13" si="11">O13-P13</f>
        <v>818.23999999999978</v>
      </c>
      <c r="R13" s="162">
        <f>VLOOKUP(O13,Tarifa1,3)</f>
        <v>0.16</v>
      </c>
      <c r="S13" s="161">
        <f t="shared" ref="S13" si="12">Q13*R13</f>
        <v>130.91839999999996</v>
      </c>
      <c r="T13" s="163">
        <f>VLOOKUP(O13,Tarifa1,2)</f>
        <v>441</v>
      </c>
      <c r="U13" s="161">
        <f t="shared" ref="U13" si="13">S13+T13</f>
        <v>571.91840000000002</v>
      </c>
      <c r="V13" s="161">
        <f>VLOOKUP(O13,Credito1,2)</f>
        <v>0</v>
      </c>
      <c r="W13" s="161">
        <f t="shared" ref="W13" si="14">ROUND(U13-V13,2)</f>
        <v>571.91999999999996</v>
      </c>
      <c r="X13" s="160">
        <f>-IF(W13&gt;0,0,W13)</f>
        <v>0</v>
      </c>
      <c r="Y13" s="160">
        <f>IF(K13/15&lt;=SMG,0,IF(W13&lt;0,0,W13))</f>
        <v>571.91999999999996</v>
      </c>
      <c r="Z13" s="164">
        <v>0</v>
      </c>
      <c r="AA13" s="160">
        <f>SUM(Y13:Z13)</f>
        <v>571.91999999999996</v>
      </c>
      <c r="AB13" s="160">
        <f>M13+X13-AA13</f>
        <v>5737.08</v>
      </c>
      <c r="AC13" s="58"/>
      <c r="AI13" s="59"/>
    </row>
    <row r="14" spans="1:35" s="51" customFormat="1" ht="44.25" customHeight="1" x14ac:dyDescent="0.3">
      <c r="A14" s="153"/>
      <c r="B14" s="241" t="s">
        <v>101</v>
      </c>
      <c r="C14" s="241" t="s">
        <v>133</v>
      </c>
      <c r="D14" s="242" t="s">
        <v>129</v>
      </c>
      <c r="E14" s="223" t="s">
        <v>102</v>
      </c>
      <c r="F14" s="223" t="s">
        <v>326</v>
      </c>
      <c r="G14" s="241" t="s">
        <v>468</v>
      </c>
      <c r="H14" s="223" t="s">
        <v>61</v>
      </c>
      <c r="I14" s="223"/>
      <c r="J14" s="223"/>
      <c r="K14" s="243">
        <v>4896.5</v>
      </c>
      <c r="L14" s="243">
        <f>SUM(L15)</f>
        <v>0</v>
      </c>
      <c r="M14" s="243">
        <f>SUM(M15)</f>
        <v>5043</v>
      </c>
      <c r="N14" s="223"/>
      <c r="O14" s="223"/>
      <c r="P14" s="223"/>
      <c r="Q14" s="223"/>
      <c r="R14" s="223"/>
      <c r="S14" s="223"/>
      <c r="T14" s="245"/>
      <c r="U14" s="223"/>
      <c r="V14" s="223"/>
      <c r="W14" s="244"/>
      <c r="X14" s="243">
        <f>SUM(X15)</f>
        <v>0</v>
      </c>
      <c r="Y14" s="243">
        <f>SUM(Y15)</f>
        <v>392.2</v>
      </c>
      <c r="Z14" s="243">
        <f>SUM(Z15)</f>
        <v>2000</v>
      </c>
      <c r="AA14" s="243">
        <f>SUM(AA15)</f>
        <v>2392.1999999999998</v>
      </c>
      <c r="AB14" s="243">
        <f>SUM(AB15)</f>
        <v>2650.8</v>
      </c>
      <c r="AC14" s="63"/>
      <c r="AI14" s="59"/>
    </row>
    <row r="15" spans="1:35" s="51" customFormat="1" ht="102.75" customHeight="1" x14ac:dyDescent="0.35">
      <c r="A15" s="153" t="s">
        <v>87</v>
      </c>
      <c r="B15" s="153" t="s">
        <v>260</v>
      </c>
      <c r="C15" s="153" t="s">
        <v>124</v>
      </c>
      <c r="D15" s="227" t="s">
        <v>284</v>
      </c>
      <c r="E15" s="170" t="s">
        <v>285</v>
      </c>
      <c r="F15" s="205" t="s">
        <v>368</v>
      </c>
      <c r="G15" s="232">
        <v>44470</v>
      </c>
      <c r="H15" s="155" t="s">
        <v>405</v>
      </c>
      <c r="I15" s="156">
        <v>15</v>
      </c>
      <c r="J15" s="157">
        <v>305.35000000000002</v>
      </c>
      <c r="K15" s="158">
        <v>5043</v>
      </c>
      <c r="L15" s="159">
        <v>0</v>
      </c>
      <c r="M15" s="160">
        <f>SUM(K15:L15)</f>
        <v>5043</v>
      </c>
      <c r="N15" s="161">
        <f>IF(K15/15&lt;=SMG,0,L15/2)</f>
        <v>0</v>
      </c>
      <c r="O15" s="161">
        <f t="shared" ref="O15" si="15">K15+N15</f>
        <v>5043</v>
      </c>
      <c r="P15" s="161">
        <f>VLOOKUP(O15,Tarifa1,1)</f>
        <v>3124.36</v>
      </c>
      <c r="Q15" s="161">
        <f t="shared" ref="Q15" si="16">O15-P15</f>
        <v>1918.6399999999999</v>
      </c>
      <c r="R15" s="162">
        <f>VLOOKUP(O15,Tarifa1,3)</f>
        <v>0.10879999999999999</v>
      </c>
      <c r="S15" s="161">
        <f t="shared" ref="S15" si="17">Q15*R15</f>
        <v>208.74803199999997</v>
      </c>
      <c r="T15" s="163">
        <f>VLOOKUP(O15,Tarifa1,2)</f>
        <v>183.45</v>
      </c>
      <c r="U15" s="161">
        <f t="shared" ref="U15" si="18">S15+T15</f>
        <v>392.19803199999996</v>
      </c>
      <c r="V15" s="161">
        <f>VLOOKUP(O15,Credito1,2)</f>
        <v>0</v>
      </c>
      <c r="W15" s="161">
        <f t="shared" ref="W15" si="19">ROUND(U15-V15,2)</f>
        <v>392.2</v>
      </c>
      <c r="X15" s="160">
        <f t="shared" ref="X15" si="20">-IF(W15&gt;0,0,W15)</f>
        <v>0</v>
      </c>
      <c r="Y15" s="160">
        <f>IF(K15/15&lt;=SMG,0,IF(W15&lt;0,0,W15))</f>
        <v>392.2</v>
      </c>
      <c r="Z15" s="164">
        <v>2000</v>
      </c>
      <c r="AA15" s="160">
        <f>SUM(Y15:Z15)</f>
        <v>2392.1999999999998</v>
      </c>
      <c r="AB15" s="160">
        <f>M15+X15-AA15</f>
        <v>2650.8</v>
      </c>
      <c r="AC15" s="58"/>
      <c r="AI15" s="64"/>
    </row>
    <row r="16" spans="1:35" s="51" customFormat="1" ht="43.5" customHeight="1" x14ac:dyDescent="0.3">
      <c r="A16" s="153"/>
      <c r="B16" s="241" t="s">
        <v>101</v>
      </c>
      <c r="C16" s="241" t="s">
        <v>133</v>
      </c>
      <c r="D16" s="242" t="s">
        <v>130</v>
      </c>
      <c r="E16" s="223" t="s">
        <v>102</v>
      </c>
      <c r="F16" s="223" t="s">
        <v>326</v>
      </c>
      <c r="G16" s="241" t="s">
        <v>468</v>
      </c>
      <c r="H16" s="223" t="s">
        <v>61</v>
      </c>
      <c r="I16" s="223"/>
      <c r="J16" s="223"/>
      <c r="K16" s="243">
        <f>SUM(K17:K18)</f>
        <v>14516.91</v>
      </c>
      <c r="L16" s="243">
        <f>SUM(L17:L18)</f>
        <v>0</v>
      </c>
      <c r="M16" s="243">
        <f>SUM(M17:M18)</f>
        <v>14516.91</v>
      </c>
      <c r="N16" s="223"/>
      <c r="O16" s="223"/>
      <c r="P16" s="223"/>
      <c r="Q16" s="223"/>
      <c r="R16" s="223"/>
      <c r="S16" s="223"/>
      <c r="T16" s="245"/>
      <c r="U16" s="223"/>
      <c r="V16" s="223"/>
      <c r="W16" s="244"/>
      <c r="X16" s="243">
        <f>SUM(X17:X18)</f>
        <v>0</v>
      </c>
      <c r="Y16" s="243">
        <f>SUM(Y17:Y18)</f>
        <v>1716.3300000000002</v>
      </c>
      <c r="Z16" s="243">
        <f>SUM(Z17:Z18)</f>
        <v>0</v>
      </c>
      <c r="AA16" s="243">
        <f>SUM(AA17:AA18)</f>
        <v>1716.3300000000002</v>
      </c>
      <c r="AB16" s="243">
        <f>SUM(AB17:AB18)</f>
        <v>12800.58</v>
      </c>
      <c r="AC16" s="63"/>
      <c r="AI16" s="64"/>
    </row>
    <row r="17" spans="1:3226" s="51" customFormat="1" ht="102.75" customHeight="1" x14ac:dyDescent="0.35">
      <c r="A17" s="153" t="s">
        <v>88</v>
      </c>
      <c r="B17" s="152" t="s">
        <v>177</v>
      </c>
      <c r="C17" s="153" t="s">
        <v>124</v>
      </c>
      <c r="D17" s="227" t="s">
        <v>154</v>
      </c>
      <c r="E17" s="154" t="s">
        <v>169</v>
      </c>
      <c r="F17" s="205" t="s">
        <v>343</v>
      </c>
      <c r="G17" s="232">
        <v>43374</v>
      </c>
      <c r="H17" s="155" t="s">
        <v>82</v>
      </c>
      <c r="I17" s="156">
        <v>15</v>
      </c>
      <c r="J17" s="157">
        <v>625.85200000000009</v>
      </c>
      <c r="K17" s="158">
        <v>10653</v>
      </c>
      <c r="L17" s="159">
        <v>0</v>
      </c>
      <c r="M17" s="160">
        <f>K17</f>
        <v>10653</v>
      </c>
      <c r="N17" s="161">
        <f>IF(K17/15&lt;=SMG,0,L17/2)</f>
        <v>0</v>
      </c>
      <c r="O17" s="161">
        <f t="shared" ref="O17:O18" si="21">K17+N17</f>
        <v>10653</v>
      </c>
      <c r="P17" s="161">
        <f>VLOOKUP(O17,Tarifa1,1)</f>
        <v>7641.91</v>
      </c>
      <c r="Q17" s="161">
        <f t="shared" ref="Q17:Q18" si="22">O17-P17</f>
        <v>3011.09</v>
      </c>
      <c r="R17" s="162">
        <f>VLOOKUP(O17,Tarifa1,3)</f>
        <v>0.21360000000000001</v>
      </c>
      <c r="S17" s="161">
        <f t="shared" ref="S17:S18" si="23">Q17*R17</f>
        <v>643.16882400000009</v>
      </c>
      <c r="T17" s="163">
        <f>VLOOKUP(O17,Tarifa1,2)</f>
        <v>809.25</v>
      </c>
      <c r="U17" s="161">
        <f t="shared" ref="U17:U18" si="24">S17+T17</f>
        <v>1452.4188240000001</v>
      </c>
      <c r="V17" s="161">
        <f>VLOOKUP(O17,Credito1,2)</f>
        <v>0</v>
      </c>
      <c r="W17" s="161">
        <f t="shared" ref="W17:W18" si="25">ROUND(U17-V17,2)</f>
        <v>1452.42</v>
      </c>
      <c r="X17" s="160">
        <f t="shared" ref="X17:X18" si="26">-IF(W17&gt;0,0,W17)</f>
        <v>0</v>
      </c>
      <c r="Y17" s="160">
        <f>IF(K17/15&lt;=SMG,0,IF(W17&lt;0,0,W17))</f>
        <v>1452.42</v>
      </c>
      <c r="Z17" s="164">
        <v>0</v>
      </c>
      <c r="AA17" s="160">
        <f>SUM(Y17:Z17)</f>
        <v>1452.42</v>
      </c>
      <c r="AB17" s="160">
        <f>M17+X17-AA17</f>
        <v>9200.58</v>
      </c>
      <c r="AC17" s="58"/>
      <c r="AI17" s="64"/>
    </row>
    <row r="18" spans="1:3226" s="51" customFormat="1" ht="102.75" customHeight="1" x14ac:dyDescent="0.35">
      <c r="A18" s="280"/>
      <c r="B18" s="268" t="s">
        <v>471</v>
      </c>
      <c r="C18" s="169" t="s">
        <v>124</v>
      </c>
      <c r="D18" s="275" t="s">
        <v>472</v>
      </c>
      <c r="E18" s="269" t="s">
        <v>470</v>
      </c>
      <c r="F18" s="270" t="s">
        <v>473</v>
      </c>
      <c r="G18" s="271">
        <v>44991</v>
      </c>
      <c r="H18" s="272" t="s">
        <v>63</v>
      </c>
      <c r="I18" s="273">
        <v>10</v>
      </c>
      <c r="J18" s="274"/>
      <c r="K18" s="158">
        <v>3863.91</v>
      </c>
      <c r="L18" s="159">
        <v>0</v>
      </c>
      <c r="M18" s="160">
        <f>SUM(K18:L18)</f>
        <v>3863.91</v>
      </c>
      <c r="N18" s="161">
        <f>IF(K18/15&lt;=SMG,0,L18/2)</f>
        <v>0</v>
      </c>
      <c r="O18" s="161">
        <f t="shared" si="21"/>
        <v>3863.91</v>
      </c>
      <c r="P18" s="161">
        <f>VLOOKUP(O18,Tarifa1,1)</f>
        <v>3124.36</v>
      </c>
      <c r="Q18" s="161">
        <f t="shared" si="22"/>
        <v>739.54999999999973</v>
      </c>
      <c r="R18" s="162">
        <f>VLOOKUP(O18,Tarifa1,3)</f>
        <v>0.10879999999999999</v>
      </c>
      <c r="S18" s="161">
        <f t="shared" si="23"/>
        <v>80.463039999999964</v>
      </c>
      <c r="T18" s="163">
        <f>VLOOKUP(O18,Tarifa1,2)</f>
        <v>183.45</v>
      </c>
      <c r="U18" s="161">
        <f t="shared" si="24"/>
        <v>263.91303999999997</v>
      </c>
      <c r="V18" s="161">
        <f>VLOOKUP(O18,Credito1,2)</f>
        <v>0</v>
      </c>
      <c r="W18" s="161">
        <f t="shared" si="25"/>
        <v>263.91000000000003</v>
      </c>
      <c r="X18" s="160">
        <f t="shared" si="26"/>
        <v>0</v>
      </c>
      <c r="Y18" s="160">
        <f>IF(K18/15&lt;=SMG,0,IF(W18&lt;0,0,W18))</f>
        <v>263.91000000000003</v>
      </c>
      <c r="Z18" s="164">
        <v>0</v>
      </c>
      <c r="AA18" s="160">
        <f>SUM(Y18:Z18)</f>
        <v>263.91000000000003</v>
      </c>
      <c r="AB18" s="160">
        <f>M18+X18-AA18</f>
        <v>3600</v>
      </c>
      <c r="AC18" s="56"/>
      <c r="AI18" s="64"/>
    </row>
    <row r="19" spans="1:3226" s="66" customFormat="1" ht="42" customHeight="1" x14ac:dyDescent="0.3">
      <c r="A19" s="153"/>
      <c r="B19" s="204" t="s">
        <v>101</v>
      </c>
      <c r="C19" s="204" t="s">
        <v>133</v>
      </c>
      <c r="D19" s="204" t="s">
        <v>131</v>
      </c>
      <c r="E19" s="259" t="s">
        <v>102</v>
      </c>
      <c r="F19" s="259" t="s">
        <v>326</v>
      </c>
      <c r="G19" s="204" t="s">
        <v>468</v>
      </c>
      <c r="H19" s="259" t="s">
        <v>61</v>
      </c>
      <c r="I19" s="259"/>
      <c r="J19" s="223"/>
      <c r="K19" s="243">
        <f>SUM(K20:K20)</f>
        <v>2954</v>
      </c>
      <c r="L19" s="243">
        <f>SUM(L20:L20)</f>
        <v>0</v>
      </c>
      <c r="M19" s="243">
        <f>SUM(M20:M20)</f>
        <v>2954</v>
      </c>
      <c r="N19" s="223"/>
      <c r="O19" s="223"/>
      <c r="P19" s="223"/>
      <c r="Q19" s="223"/>
      <c r="R19" s="223"/>
      <c r="S19" s="223"/>
      <c r="T19" s="245"/>
      <c r="U19" s="223"/>
      <c r="V19" s="223"/>
      <c r="W19" s="244"/>
      <c r="X19" s="243">
        <f>SUM(X20:X20)</f>
        <v>0</v>
      </c>
      <c r="Y19" s="243">
        <f>SUM(Y20:Y20)</f>
        <v>0</v>
      </c>
      <c r="Z19" s="243">
        <f>SUM(Z20:Z20)</f>
        <v>0</v>
      </c>
      <c r="AA19" s="243">
        <f>SUM(AA20:AA20)</f>
        <v>0</v>
      </c>
      <c r="AB19" s="243">
        <f>SUM(AB20:AB20)</f>
        <v>2954</v>
      </c>
      <c r="AC19" s="63"/>
      <c r="AD19" s="87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  <c r="DSZ19" s="51"/>
      <c r="DTA19" s="51"/>
      <c r="DTB19" s="51"/>
    </row>
    <row r="20" spans="1:3226" s="66" customFormat="1" ht="102.75" customHeight="1" x14ac:dyDescent="0.35">
      <c r="A20" s="247"/>
      <c r="B20" s="153" t="s">
        <v>114</v>
      </c>
      <c r="C20" s="153" t="s">
        <v>124</v>
      </c>
      <c r="D20" s="229" t="s">
        <v>92</v>
      </c>
      <c r="E20" s="170" t="s">
        <v>115</v>
      </c>
      <c r="F20" s="205" t="s">
        <v>333</v>
      </c>
      <c r="G20" s="232">
        <v>42171</v>
      </c>
      <c r="H20" s="173" t="s">
        <v>161</v>
      </c>
      <c r="I20" s="171">
        <v>15</v>
      </c>
      <c r="J20" s="157">
        <v>178.81533333333334</v>
      </c>
      <c r="K20" s="158">
        <v>2954</v>
      </c>
      <c r="L20" s="159">
        <v>0</v>
      </c>
      <c r="M20" s="160">
        <f t="shared" ref="M20" si="27">SUM(K20:L20)</f>
        <v>2954</v>
      </c>
      <c r="N20" s="161">
        <f t="shared" ref="N20" si="28">IF(K20/15&lt;=SMG,0,L20/2)</f>
        <v>0</v>
      </c>
      <c r="O20" s="161">
        <f t="shared" ref="O20" si="29">K20+N20</f>
        <v>2954</v>
      </c>
      <c r="P20" s="161">
        <f>VLOOKUP(O20,Tarifa1,1)</f>
        <v>368.11</v>
      </c>
      <c r="Q20" s="161">
        <f t="shared" ref="Q20" si="30">O20-P20</f>
        <v>2585.89</v>
      </c>
      <c r="R20" s="162">
        <f>VLOOKUP(O20,Tarifa1,3)</f>
        <v>6.4000000000000001E-2</v>
      </c>
      <c r="S20" s="161">
        <f t="shared" ref="S20" si="31">Q20*R20</f>
        <v>165.49696</v>
      </c>
      <c r="T20" s="163">
        <f>VLOOKUP(O20,Tarifa1,2)</f>
        <v>7.05</v>
      </c>
      <c r="U20" s="161">
        <f t="shared" ref="U20" si="32">S20+T20</f>
        <v>172.54696000000001</v>
      </c>
      <c r="V20" s="161">
        <f>VLOOKUP(O20,Credito1,2)</f>
        <v>145.35</v>
      </c>
      <c r="W20" s="161">
        <f t="shared" ref="W20" si="33">ROUND(U20-V20,2)</f>
        <v>27.2</v>
      </c>
      <c r="X20" s="160">
        <f t="shared" ref="X20" si="34">-IF(W20&gt;0,0,W20)</f>
        <v>0</v>
      </c>
      <c r="Y20" s="172">
        <f>IF(K20/15&lt;=SMG,0,IF(W20&lt;0,0,W20))</f>
        <v>0</v>
      </c>
      <c r="Z20" s="164">
        <v>0</v>
      </c>
      <c r="AA20" s="160">
        <f>SUM(Y20:Z20)</f>
        <v>0</v>
      </c>
      <c r="AB20" s="172">
        <f>M20+X20-AA20</f>
        <v>2954</v>
      </c>
      <c r="AC20" s="65"/>
      <c r="AD20" s="87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  <c r="DSZ20" s="51"/>
      <c r="DTA20" s="51"/>
      <c r="DTB20" s="51"/>
    </row>
    <row r="21" spans="1:3226" s="51" customFormat="1" ht="21.75" customHeight="1" x14ac:dyDescent="0.3">
      <c r="A21" s="247"/>
      <c r="B21" s="248"/>
      <c r="C21" s="248"/>
      <c r="D21" s="249"/>
      <c r="E21" s="249"/>
      <c r="F21" s="249"/>
      <c r="G21" s="249"/>
      <c r="H21" s="249"/>
      <c r="I21" s="203"/>
      <c r="J21" s="250"/>
      <c r="K21" s="251"/>
      <c r="L21" s="252"/>
      <c r="M21" s="253"/>
      <c r="N21" s="254"/>
      <c r="O21" s="254"/>
      <c r="P21" s="254"/>
      <c r="Q21" s="254"/>
      <c r="R21" s="255"/>
      <c r="S21" s="254"/>
      <c r="T21" s="254"/>
      <c r="U21" s="254"/>
      <c r="V21" s="254"/>
      <c r="W21" s="254"/>
      <c r="X21" s="253"/>
      <c r="Y21" s="253"/>
      <c r="Z21" s="256"/>
      <c r="AA21" s="253"/>
      <c r="AB21" s="253"/>
      <c r="AC21" s="58"/>
    </row>
    <row r="22" spans="1:3226" s="51" customFormat="1" ht="41.25" customHeight="1" thickBot="1" x14ac:dyDescent="0.35">
      <c r="A22" s="302" t="s">
        <v>44</v>
      </c>
      <c r="B22" s="303"/>
      <c r="C22" s="303"/>
      <c r="D22" s="303"/>
      <c r="E22" s="303"/>
      <c r="F22" s="303"/>
      <c r="G22" s="303"/>
      <c r="H22" s="303"/>
      <c r="I22" s="303"/>
      <c r="J22" s="304"/>
      <c r="K22" s="167">
        <f>K8+K12+K14+K16+K19</f>
        <v>76059.41</v>
      </c>
      <c r="L22" s="167">
        <f>L8+L12+L14+L16+L19</f>
        <v>0</v>
      </c>
      <c r="M22" s="167">
        <f>M8+M12+M14+M16+M19</f>
        <v>76205.91</v>
      </c>
      <c r="N22" s="168">
        <f t="shared" ref="N22:W22" si="35">SUM(N9:N20)</f>
        <v>0</v>
      </c>
      <c r="O22" s="168">
        <f t="shared" si="35"/>
        <v>76205.91</v>
      </c>
      <c r="P22" s="168">
        <f t="shared" si="35"/>
        <v>57174.83</v>
      </c>
      <c r="Q22" s="168">
        <f t="shared" si="35"/>
        <v>19031.079999999998</v>
      </c>
      <c r="R22" s="168">
        <f t="shared" si="35"/>
        <v>1.3288000000000002</v>
      </c>
      <c r="S22" s="168">
        <f t="shared" si="35"/>
        <v>3642.8484799999997</v>
      </c>
      <c r="T22" s="168">
        <f t="shared" si="35"/>
        <v>7432.2</v>
      </c>
      <c r="U22" s="168">
        <f t="shared" si="35"/>
        <v>11075.048480000001</v>
      </c>
      <c r="V22" s="168">
        <f t="shared" si="35"/>
        <v>145.35</v>
      </c>
      <c r="W22" s="168">
        <f t="shared" si="35"/>
        <v>10929.7</v>
      </c>
      <c r="X22" s="167">
        <f>X8+X12+X14+X16+X19</f>
        <v>0</v>
      </c>
      <c r="Y22" s="167">
        <f>Y8+Y12+Y14+Y16+Y19</f>
        <v>10902.5</v>
      </c>
      <c r="Z22" s="167">
        <f>Z8+Z12+Z14+Z16+Z19</f>
        <v>3500</v>
      </c>
      <c r="AA22" s="167">
        <f>AA8+AA12+AA14+AA16+AA19</f>
        <v>14402.499999999998</v>
      </c>
      <c r="AB22" s="167">
        <f>AB8+AB12+AB14+AB16+AB19</f>
        <v>61803.41</v>
      </c>
    </row>
    <row r="23" spans="1:3226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</row>
    <row r="24" spans="1:3226" s="51" customFormat="1" ht="12" customHeight="1" x14ac:dyDescent="0.2"/>
    <row r="25" spans="1:3226" s="51" customFormat="1" ht="12" customHeight="1" x14ac:dyDescent="0.2"/>
    <row r="26" spans="1:3226" s="51" customFormat="1" ht="12" customHeight="1" x14ac:dyDescent="0.2"/>
    <row r="27" spans="1:3226" s="51" customFormat="1" ht="12" customHeight="1" x14ac:dyDescent="0.2"/>
    <row r="28" spans="1:3226" s="51" customFormat="1" ht="12" customHeight="1" x14ac:dyDescent="0.2"/>
    <row r="38" spans="13:13" x14ac:dyDescent="0.25">
      <c r="M38" s="4" t="s">
        <v>305</v>
      </c>
    </row>
  </sheetData>
  <mergeCells count="7">
    <mergeCell ref="A22:J22"/>
    <mergeCell ref="A1:AC1"/>
    <mergeCell ref="A2:AC2"/>
    <mergeCell ref="A3:AC3"/>
    <mergeCell ref="K5:M5"/>
    <mergeCell ref="P5:U5"/>
    <mergeCell ref="Y5:AA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16"/>
  <sheetViews>
    <sheetView topLeftCell="B12" zoomScale="89" zoomScaleNormal="89" workbookViewId="0">
      <selection activeCell="B23" sqref="A23:XFD29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24.6640625" customWidth="1"/>
    <col min="6" max="6" width="30.88671875" customWidth="1"/>
    <col min="7" max="7" width="16.6640625" customWidth="1"/>
    <col min="8" max="8" width="18" customWidth="1"/>
    <col min="9" max="9" width="6.5546875" hidden="1" customWidth="1"/>
    <col min="10" max="10" width="7.33203125" hidden="1" customWidth="1"/>
    <col min="11" max="11" width="14.5546875" customWidth="1"/>
    <col min="12" max="12" width="10.88671875" customWidth="1"/>
    <col min="13" max="13" width="14.109375" customWidth="1"/>
    <col min="14" max="14" width="13.109375" hidden="1" customWidth="1"/>
    <col min="15" max="15" width="13.88671875" hidden="1" customWidth="1"/>
    <col min="16" max="16" width="13.5546875" hidden="1" customWidth="1"/>
    <col min="17" max="17" width="14" hidden="1" customWidth="1"/>
    <col min="18" max="19" width="13.109375" hidden="1" customWidth="1"/>
    <col min="20" max="20" width="10.5546875" hidden="1" customWidth="1"/>
    <col min="21" max="21" width="13" hidden="1" customWidth="1"/>
    <col min="22" max="22" width="13.109375" hidden="1" customWidth="1"/>
    <col min="23" max="23" width="15.44140625" hidden="1" customWidth="1"/>
    <col min="24" max="24" width="9.6640625" customWidth="1"/>
    <col min="25" max="25" width="14" customWidth="1"/>
    <col min="26" max="26" width="11.6640625" customWidth="1"/>
    <col min="27" max="27" width="12.5546875" customWidth="1"/>
    <col min="28" max="28" width="14.33203125" customWidth="1"/>
    <col min="29" max="29" width="52.3320312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243</v>
      </c>
      <c r="K6" s="317" t="s">
        <v>1</v>
      </c>
      <c r="L6" s="318"/>
      <c r="M6" s="319"/>
      <c r="N6" s="24" t="s">
        <v>25</v>
      </c>
      <c r="O6" s="25"/>
      <c r="P6" s="320" t="s">
        <v>8</v>
      </c>
      <c r="Q6" s="321"/>
      <c r="R6" s="321"/>
      <c r="S6" s="321"/>
      <c r="T6" s="321"/>
      <c r="U6" s="322"/>
      <c r="V6" s="24" t="s">
        <v>29</v>
      </c>
      <c r="W6" s="24" t="s">
        <v>9</v>
      </c>
      <c r="X6" s="23" t="s">
        <v>52</v>
      </c>
      <c r="Y6" s="323" t="s">
        <v>2</v>
      </c>
      <c r="Z6" s="324"/>
      <c r="AA6" s="325"/>
      <c r="AB6" s="23" t="s">
        <v>0</v>
      </c>
      <c r="AC6" s="34"/>
    </row>
    <row r="7" spans="1:29" ht="21" x14ac:dyDescent="0.25">
      <c r="A7" s="26" t="s">
        <v>20</v>
      </c>
      <c r="B7" s="44" t="s">
        <v>101</v>
      </c>
      <c r="C7" s="44" t="s">
        <v>125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21" t="s">
        <v>433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6" t="s">
        <v>46</v>
      </c>
      <c r="L8" s="26" t="s">
        <v>59</v>
      </c>
      <c r="M8" s="26" t="s">
        <v>28</v>
      </c>
      <c r="N8" s="28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6" t="s">
        <v>51</v>
      </c>
      <c r="Y8" s="26"/>
      <c r="Z8" s="26"/>
      <c r="AA8" s="26" t="s">
        <v>43</v>
      </c>
      <c r="AB8" s="26" t="s">
        <v>4</v>
      </c>
      <c r="AC8" s="35"/>
    </row>
    <row r="9" spans="1:29" ht="34.799999999999997" x14ac:dyDescent="0.3">
      <c r="A9" s="26"/>
      <c r="B9" s="204" t="s">
        <v>101</v>
      </c>
      <c r="C9" s="204" t="s">
        <v>133</v>
      </c>
      <c r="D9" s="257" t="s">
        <v>318</v>
      </c>
      <c r="E9" s="223" t="s">
        <v>102</v>
      </c>
      <c r="F9" s="223" t="s">
        <v>326</v>
      </c>
      <c r="G9" s="241" t="s">
        <v>468</v>
      </c>
      <c r="H9" s="223" t="s">
        <v>61</v>
      </c>
      <c r="I9" s="259"/>
      <c r="J9" s="223"/>
      <c r="K9" s="260">
        <f>K10</f>
        <v>10653</v>
      </c>
      <c r="L9" s="260">
        <f>L10</f>
        <v>0</v>
      </c>
      <c r="M9" s="260">
        <f>M10</f>
        <v>10653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60">
        <f>X10</f>
        <v>0</v>
      </c>
      <c r="Y9" s="260">
        <f>Y10</f>
        <v>1452.42</v>
      </c>
      <c r="Z9" s="260">
        <f>Z10</f>
        <v>0</v>
      </c>
      <c r="AA9" s="260">
        <f>AA10</f>
        <v>1452.42</v>
      </c>
      <c r="AB9" s="260">
        <f>AB10</f>
        <v>9200.58</v>
      </c>
      <c r="AC9" s="134"/>
    </row>
    <row r="10" spans="1:29" ht="133.5" customHeight="1" x14ac:dyDescent="0.35">
      <c r="A10" s="258"/>
      <c r="B10" s="174">
        <v>161</v>
      </c>
      <c r="C10" s="152" t="s">
        <v>124</v>
      </c>
      <c r="D10" s="227" t="s">
        <v>319</v>
      </c>
      <c r="E10" s="154" t="s">
        <v>320</v>
      </c>
      <c r="F10" s="154" t="s">
        <v>344</v>
      </c>
      <c r="G10" s="232">
        <v>43374</v>
      </c>
      <c r="H10" s="155" t="s">
        <v>321</v>
      </c>
      <c r="I10" s="175">
        <v>15</v>
      </c>
      <c r="J10" s="176">
        <f>K10/I10</f>
        <v>710.2</v>
      </c>
      <c r="K10" s="158">
        <v>10653</v>
      </c>
      <c r="L10" s="159">
        <v>0</v>
      </c>
      <c r="M10" s="160">
        <f>K10</f>
        <v>10653</v>
      </c>
      <c r="N10" s="161">
        <f>IF(K10/15&lt;=SMG,0,L10/2)</f>
        <v>0</v>
      </c>
      <c r="O10" s="161">
        <f t="shared" ref="O10" si="0">K10+N10</f>
        <v>10653</v>
      </c>
      <c r="P10" s="161">
        <f>VLOOKUP(O10,Tarifa1,1)</f>
        <v>7641.91</v>
      </c>
      <c r="Q10" s="161">
        <f t="shared" ref="Q10" si="1">O10-P10</f>
        <v>3011.09</v>
      </c>
      <c r="R10" s="162">
        <f>VLOOKUP(O10,Tarifa1,3)</f>
        <v>0.21360000000000001</v>
      </c>
      <c r="S10" s="161">
        <f t="shared" ref="S10" si="2">Q10*R10</f>
        <v>643.16882400000009</v>
      </c>
      <c r="T10" s="163">
        <f>VLOOKUP(O10,Tarifa1,2)</f>
        <v>809.25</v>
      </c>
      <c r="U10" s="161">
        <f t="shared" ref="U10" si="3">S10+T10</f>
        <v>1452.4188240000001</v>
      </c>
      <c r="V10" s="161">
        <f>VLOOKUP(O10,Credito1,2)</f>
        <v>0</v>
      </c>
      <c r="W10" s="161">
        <f t="shared" ref="W10" si="4">ROUND(U10-V10,2)</f>
        <v>1452.42</v>
      </c>
      <c r="X10" s="160">
        <f t="shared" ref="X10" si="5">-IF(W10&gt;0,0,W10)</f>
        <v>0</v>
      </c>
      <c r="Y10" s="160">
        <f>IF(K10/15&lt;=SMG,0,IF(W10&lt;0,0,W10))</f>
        <v>1452.42</v>
      </c>
      <c r="Z10" s="164">
        <v>0</v>
      </c>
      <c r="AA10" s="160">
        <f>SUM(Y10:Z10)</f>
        <v>1452.42</v>
      </c>
      <c r="AB10" s="160">
        <f>M10+X10-AA10</f>
        <v>9200.58</v>
      </c>
      <c r="AC10" s="110"/>
    </row>
    <row r="11" spans="1:29" ht="52.5" customHeight="1" x14ac:dyDescent="0.3">
      <c r="A11" s="223"/>
      <c r="B11" s="204" t="s">
        <v>101</v>
      </c>
      <c r="C11" s="204" t="s">
        <v>133</v>
      </c>
      <c r="D11" s="257" t="s">
        <v>135</v>
      </c>
      <c r="E11" s="223" t="s">
        <v>102</v>
      </c>
      <c r="F11" s="223"/>
      <c r="G11" s="246"/>
      <c r="H11" s="223" t="s">
        <v>61</v>
      </c>
      <c r="I11" s="259"/>
      <c r="J11" s="223"/>
      <c r="K11" s="260">
        <f>K12</f>
        <v>7823</v>
      </c>
      <c r="L11" s="260">
        <f>L12</f>
        <v>0</v>
      </c>
      <c r="M11" s="260">
        <f>M12</f>
        <v>7823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60">
        <f>X12</f>
        <v>0</v>
      </c>
      <c r="Y11" s="260">
        <f>Y12</f>
        <v>847.93</v>
      </c>
      <c r="Z11" s="260">
        <f>Z12</f>
        <v>0</v>
      </c>
      <c r="AA11" s="260">
        <f>AA12</f>
        <v>847.93</v>
      </c>
      <c r="AB11" s="260">
        <f>AB12</f>
        <v>6975.07</v>
      </c>
      <c r="AC11" s="261"/>
    </row>
    <row r="12" spans="1:29" ht="132.75" customHeight="1" x14ac:dyDescent="0.35">
      <c r="A12" s="180"/>
      <c r="B12" s="152" t="s">
        <v>314</v>
      </c>
      <c r="C12" s="153" t="s">
        <v>124</v>
      </c>
      <c r="D12" s="227" t="s">
        <v>315</v>
      </c>
      <c r="E12" s="154" t="s">
        <v>316</v>
      </c>
      <c r="F12" s="154" t="s">
        <v>367</v>
      </c>
      <c r="G12" s="232">
        <v>44487</v>
      </c>
      <c r="H12" s="155" t="s">
        <v>317</v>
      </c>
      <c r="I12" s="156">
        <v>13</v>
      </c>
      <c r="J12" s="157">
        <f t="shared" ref="J12" si="6">K12/I12</f>
        <v>601.76923076923072</v>
      </c>
      <c r="K12" s="158">
        <v>7823</v>
      </c>
      <c r="L12" s="159">
        <v>0</v>
      </c>
      <c r="M12" s="160">
        <f t="shared" ref="M12" si="7">SUM(K12:L12)</f>
        <v>7823</v>
      </c>
      <c r="N12" s="161">
        <f t="shared" ref="N12" si="8">IF(K12/15&lt;=SMG,0,L12/2)</f>
        <v>0</v>
      </c>
      <c r="O12" s="161">
        <f t="shared" ref="O12" si="9">K12+N12</f>
        <v>7823</v>
      </c>
      <c r="P12" s="161">
        <f t="shared" ref="P12" si="10">VLOOKUP(O12,Tarifa1,1)</f>
        <v>7641.91</v>
      </c>
      <c r="Q12" s="161">
        <f t="shared" ref="Q12" si="11">O12-P12</f>
        <v>181.09000000000015</v>
      </c>
      <c r="R12" s="162">
        <f t="shared" ref="R12" si="12">VLOOKUP(O12,Tarifa1,3)</f>
        <v>0.21360000000000001</v>
      </c>
      <c r="S12" s="161">
        <f t="shared" ref="S12" si="13">Q12*R12</f>
        <v>38.680824000000037</v>
      </c>
      <c r="T12" s="163">
        <f t="shared" ref="T12" si="14">VLOOKUP(O12,Tarifa1,2)</f>
        <v>809.25</v>
      </c>
      <c r="U12" s="161">
        <f t="shared" ref="U12" si="15">S12+T12</f>
        <v>847.93082400000003</v>
      </c>
      <c r="V12" s="161">
        <f t="shared" ref="V12" si="16">VLOOKUP(O12,Credito1,2)</f>
        <v>0</v>
      </c>
      <c r="W12" s="161">
        <f t="shared" ref="W12" si="17">ROUND(U12-V12,2)</f>
        <v>847.93</v>
      </c>
      <c r="X12" s="160">
        <f t="shared" ref="X12" si="18">-IF(W12&gt;0,0,W12)</f>
        <v>0</v>
      </c>
      <c r="Y12" s="160">
        <f t="shared" ref="Y12" si="19">IF(K12/15&lt;=SMG,0,IF(W12&lt;0,0,W12))</f>
        <v>847.93</v>
      </c>
      <c r="Z12" s="164">
        <v>0</v>
      </c>
      <c r="AA12" s="160">
        <f t="shared" ref="AA12" si="20">SUM(Y12:Z12)</f>
        <v>847.93</v>
      </c>
      <c r="AB12" s="160">
        <f t="shared" ref="AB12" si="21">M12+X12-AA12</f>
        <v>6975.07</v>
      </c>
      <c r="AC12" s="110"/>
    </row>
    <row r="13" spans="1:29" ht="53.25" customHeight="1" x14ac:dyDescent="0.3">
      <c r="A13" s="180"/>
      <c r="B13" s="204" t="s">
        <v>101</v>
      </c>
      <c r="C13" s="204" t="s">
        <v>133</v>
      </c>
      <c r="D13" s="242" t="s">
        <v>76</v>
      </c>
      <c r="E13" s="223" t="s">
        <v>102</v>
      </c>
      <c r="F13" s="223" t="s">
        <v>326</v>
      </c>
      <c r="G13" s="246"/>
      <c r="H13" s="223" t="s">
        <v>61</v>
      </c>
      <c r="I13" s="223"/>
      <c r="J13" s="223"/>
      <c r="K13" s="260">
        <f>SUM(K14)</f>
        <v>12093</v>
      </c>
      <c r="L13" s="260">
        <f>SUM(L14)</f>
        <v>0</v>
      </c>
      <c r="M13" s="260">
        <f>SUM(M14)</f>
        <v>12093</v>
      </c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60">
        <f>SUM(X14)</f>
        <v>0</v>
      </c>
      <c r="Y13" s="260">
        <f>SUM(Y14)</f>
        <v>1760</v>
      </c>
      <c r="Z13" s="260">
        <f>SUM(Z14)</f>
        <v>0</v>
      </c>
      <c r="AA13" s="260">
        <f>SUM(AA14)</f>
        <v>1760</v>
      </c>
      <c r="AB13" s="260">
        <f>SUM(AB14)</f>
        <v>10333</v>
      </c>
      <c r="AC13" s="261"/>
    </row>
    <row r="14" spans="1:29" ht="132.75" customHeight="1" x14ac:dyDescent="0.35">
      <c r="A14" s="180"/>
      <c r="B14" s="174">
        <v>290</v>
      </c>
      <c r="C14" s="152" t="s">
        <v>124</v>
      </c>
      <c r="D14" s="227" t="s">
        <v>324</v>
      </c>
      <c r="E14" s="154" t="s">
        <v>325</v>
      </c>
      <c r="F14" s="154" t="s">
        <v>383</v>
      </c>
      <c r="G14" s="232">
        <v>44593</v>
      </c>
      <c r="H14" s="154" t="s">
        <v>76</v>
      </c>
      <c r="I14" s="175">
        <v>15</v>
      </c>
      <c r="J14" s="176">
        <f>K14/I14</f>
        <v>806.2</v>
      </c>
      <c r="K14" s="177">
        <v>12093</v>
      </c>
      <c r="L14" s="178">
        <v>0</v>
      </c>
      <c r="M14" s="179">
        <f>SUM(K14:L14)</f>
        <v>12093</v>
      </c>
      <c r="N14" s="161">
        <f>IF(K14/15&lt;=SMG,0,L14/2)</f>
        <v>0</v>
      </c>
      <c r="O14" s="161">
        <f>K14+N14</f>
        <v>12093</v>
      </c>
      <c r="P14" s="161">
        <f>VLOOKUP(O14,Tarifa1,1)</f>
        <v>7641.91</v>
      </c>
      <c r="Q14" s="161">
        <f>O14-P14</f>
        <v>4451.09</v>
      </c>
      <c r="R14" s="162">
        <f>VLOOKUP(O14,Tarifa1,3)</f>
        <v>0.21360000000000001</v>
      </c>
      <c r="S14" s="161">
        <f>Q14*R14</f>
        <v>950.75282400000003</v>
      </c>
      <c r="T14" s="163">
        <f>VLOOKUP(O14,Tarifa1,2)</f>
        <v>809.25</v>
      </c>
      <c r="U14" s="161">
        <f>S14+T14</f>
        <v>1760.0028240000001</v>
      </c>
      <c r="V14" s="161">
        <f>VLOOKUP(O14,Credito1,2)</f>
        <v>0</v>
      </c>
      <c r="W14" s="161">
        <f>ROUND(U14-V14,2)</f>
        <v>1760</v>
      </c>
      <c r="X14" s="160">
        <f>-IF(W14&gt;0,0,W14)</f>
        <v>0</v>
      </c>
      <c r="Y14" s="160">
        <f>IF(K14/15&lt;=SMG,0,IF(W14&lt;0,0,W14))</f>
        <v>1760</v>
      </c>
      <c r="Z14" s="164">
        <v>0</v>
      </c>
      <c r="AA14" s="160">
        <f>SUM(Y14:Z14)</f>
        <v>1760</v>
      </c>
      <c r="AB14" s="160">
        <f>M14+X14-AA14</f>
        <v>10333</v>
      </c>
      <c r="AC14" s="110"/>
    </row>
    <row r="15" spans="1:29" ht="40.5" customHeight="1" thickBot="1" x14ac:dyDescent="0.35">
      <c r="A15" s="302" t="s">
        <v>44</v>
      </c>
      <c r="B15" s="303"/>
      <c r="C15" s="303"/>
      <c r="D15" s="303"/>
      <c r="E15" s="303"/>
      <c r="F15" s="303"/>
      <c r="G15" s="303"/>
      <c r="H15" s="303"/>
      <c r="I15" s="303"/>
      <c r="J15" s="304"/>
      <c r="K15" s="220">
        <f>K9+K11+K13</f>
        <v>30569</v>
      </c>
      <c r="L15" s="220">
        <f>L9+L11+L13</f>
        <v>0</v>
      </c>
      <c r="M15" s="220">
        <f>M9+M11+M13</f>
        <v>30569</v>
      </c>
      <c r="N15" s="168">
        <f t="shared" ref="N15:W15" si="22">SUM(N12:N12)</f>
        <v>0</v>
      </c>
      <c r="O15" s="168">
        <f t="shared" si="22"/>
        <v>7823</v>
      </c>
      <c r="P15" s="168">
        <f t="shared" si="22"/>
        <v>7641.91</v>
      </c>
      <c r="Q15" s="168">
        <f t="shared" si="22"/>
        <v>181.09000000000015</v>
      </c>
      <c r="R15" s="168">
        <f t="shared" si="22"/>
        <v>0.21360000000000001</v>
      </c>
      <c r="S15" s="168">
        <f t="shared" si="22"/>
        <v>38.680824000000037</v>
      </c>
      <c r="T15" s="168">
        <f t="shared" si="22"/>
        <v>809.25</v>
      </c>
      <c r="U15" s="168">
        <f t="shared" si="22"/>
        <v>847.93082400000003</v>
      </c>
      <c r="V15" s="168">
        <f t="shared" si="22"/>
        <v>0</v>
      </c>
      <c r="W15" s="168">
        <f t="shared" si="22"/>
        <v>847.93</v>
      </c>
      <c r="X15" s="220">
        <f>X9+X11+X13</f>
        <v>0</v>
      </c>
      <c r="Y15" s="220">
        <f>Y9+Y11+Y13</f>
        <v>4060.35</v>
      </c>
      <c r="Z15" s="220">
        <f>Z9+Z11+Z13</f>
        <v>0</v>
      </c>
      <c r="AA15" s="220">
        <f>AA9+AA11+AA13</f>
        <v>4060.35</v>
      </c>
      <c r="AB15" s="220">
        <f>AB9+AB11+AB13</f>
        <v>26508.65</v>
      </c>
      <c r="AC15" s="111"/>
    </row>
    <row r="16" spans="1:29" ht="13.8" thickTop="1" x14ac:dyDescent="0.25"/>
  </sheetData>
  <mergeCells count="7">
    <mergeCell ref="A15:J15"/>
    <mergeCell ref="A1:AC1"/>
    <mergeCell ref="A2:AC2"/>
    <mergeCell ref="A3:AC3"/>
    <mergeCell ref="K6:M6"/>
    <mergeCell ref="P6:U6"/>
    <mergeCell ref="Y6:AA6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B26" zoomScale="66" zoomScaleNormal="66" workbookViewId="0">
      <selection activeCell="B30" sqref="A30:XFD38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23.44140625" customWidth="1"/>
    <col min="6" max="6" width="31.88671875" customWidth="1"/>
    <col min="7" max="7" width="17.88671875" customWidth="1"/>
    <col min="8" max="8" width="31.109375" customWidth="1"/>
    <col min="9" max="9" width="6.5546875" hidden="1" customWidth="1"/>
    <col min="10" max="10" width="10" hidden="1" customWidth="1"/>
    <col min="11" max="11" width="16.88671875" customWidth="1"/>
    <col min="12" max="12" width="13.44140625" customWidth="1"/>
    <col min="13" max="13" width="17" customWidth="1"/>
    <col min="14" max="14" width="13.109375" hidden="1" customWidth="1"/>
    <col min="15" max="15" width="15.109375" hidden="1" customWidth="1"/>
    <col min="16" max="16" width="14" hidden="1" customWidth="1"/>
    <col min="17" max="17" width="14.5546875" hidden="1" customWidth="1"/>
    <col min="18" max="19" width="13.109375" hidden="1" customWidth="1"/>
    <col min="20" max="21" width="14.33203125" hidden="1" customWidth="1"/>
    <col min="22" max="23" width="13.109375" hidden="1" customWidth="1"/>
    <col min="24" max="24" width="9.6640625" customWidth="1"/>
    <col min="25" max="25" width="14.44140625" customWidth="1"/>
    <col min="26" max="27" width="13.6640625" customWidth="1"/>
    <col min="28" max="28" width="17" customWidth="1"/>
    <col min="29" max="29" width="84.44140625" customWidth="1"/>
    <col min="30" max="30" width="1.44140625" customWidth="1"/>
  </cols>
  <sheetData>
    <row r="1" spans="1:35" ht="19.8" x14ac:dyDescent="0.3">
      <c r="A1" s="305" t="s">
        <v>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pans="1:35" ht="19.8" x14ac:dyDescent="0.3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35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35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35" s="51" customFormat="1" ht="12.75" customHeight="1" x14ac:dyDescent="0.25">
      <c r="A5" s="47"/>
      <c r="B5" s="47"/>
      <c r="C5" s="326" t="s">
        <v>125</v>
      </c>
      <c r="D5" s="47"/>
      <c r="E5" s="47"/>
      <c r="F5" s="47"/>
      <c r="G5" s="47"/>
      <c r="H5" s="47"/>
      <c r="I5" s="48" t="s">
        <v>22</v>
      </c>
      <c r="J5" s="48" t="s">
        <v>5</v>
      </c>
      <c r="K5" s="329" t="s">
        <v>1</v>
      </c>
      <c r="L5" s="330"/>
      <c r="M5" s="331"/>
      <c r="N5" s="49" t="s">
        <v>25</v>
      </c>
      <c r="O5" s="50"/>
      <c r="P5" s="332" t="s">
        <v>8</v>
      </c>
      <c r="Q5" s="333"/>
      <c r="R5" s="333"/>
      <c r="S5" s="333"/>
      <c r="T5" s="333"/>
      <c r="U5" s="334"/>
      <c r="V5" s="49" t="s">
        <v>29</v>
      </c>
      <c r="W5" s="49" t="s">
        <v>9</v>
      </c>
      <c r="X5" s="48" t="s">
        <v>52</v>
      </c>
      <c r="Y5" s="335" t="s">
        <v>2</v>
      </c>
      <c r="Z5" s="336"/>
      <c r="AA5" s="337"/>
      <c r="AB5" s="48" t="s">
        <v>0</v>
      </c>
      <c r="AC5" s="47"/>
    </row>
    <row r="6" spans="1:35" s="51" customFormat="1" ht="24" x14ac:dyDescent="0.25">
      <c r="A6" s="52" t="s">
        <v>20</v>
      </c>
      <c r="B6" s="46" t="s">
        <v>101</v>
      </c>
      <c r="C6" s="327"/>
      <c r="D6" s="52" t="s">
        <v>21</v>
      </c>
      <c r="E6" s="52"/>
      <c r="F6" s="52"/>
      <c r="G6" s="52"/>
      <c r="H6" s="52"/>
      <c r="I6" s="53" t="s">
        <v>23</v>
      </c>
      <c r="J6" s="52" t="s">
        <v>24</v>
      </c>
      <c r="K6" s="48" t="s">
        <v>5</v>
      </c>
      <c r="L6" s="48" t="s">
        <v>58</v>
      </c>
      <c r="M6" s="48" t="s">
        <v>27</v>
      </c>
      <c r="N6" s="54" t="s">
        <v>26</v>
      </c>
      <c r="O6" s="50" t="s">
        <v>31</v>
      </c>
      <c r="P6" s="50" t="s">
        <v>11</v>
      </c>
      <c r="Q6" s="50" t="s">
        <v>33</v>
      </c>
      <c r="R6" s="50" t="s">
        <v>35</v>
      </c>
      <c r="S6" s="50" t="s">
        <v>36</v>
      </c>
      <c r="T6" s="50" t="s">
        <v>13</v>
      </c>
      <c r="U6" s="50" t="s">
        <v>9</v>
      </c>
      <c r="V6" s="54" t="s">
        <v>39</v>
      </c>
      <c r="W6" s="54" t="s">
        <v>40</v>
      </c>
      <c r="X6" s="52" t="s">
        <v>30</v>
      </c>
      <c r="Y6" s="48" t="s">
        <v>433</v>
      </c>
      <c r="Z6" s="48" t="s">
        <v>56</v>
      </c>
      <c r="AA6" s="48" t="s">
        <v>6</v>
      </c>
      <c r="AB6" s="52" t="s">
        <v>3</v>
      </c>
      <c r="AC6" s="52" t="s">
        <v>57</v>
      </c>
    </row>
    <row r="7" spans="1:35" s="51" customFormat="1" ht="12" x14ac:dyDescent="0.25">
      <c r="A7" s="60"/>
      <c r="B7" s="60"/>
      <c r="C7" s="328"/>
      <c r="D7" s="60"/>
      <c r="E7" s="60"/>
      <c r="F7" s="60"/>
      <c r="G7" s="60"/>
      <c r="H7" s="60"/>
      <c r="I7" s="60"/>
      <c r="J7" s="60"/>
      <c r="K7" s="60" t="s">
        <v>46</v>
      </c>
      <c r="L7" s="60" t="s">
        <v>59</v>
      </c>
      <c r="M7" s="60" t="s">
        <v>28</v>
      </c>
      <c r="N7" s="61" t="s">
        <v>42</v>
      </c>
      <c r="O7" s="49" t="s">
        <v>32</v>
      </c>
      <c r="P7" s="49" t="s">
        <v>12</v>
      </c>
      <c r="Q7" s="49" t="s">
        <v>34</v>
      </c>
      <c r="R7" s="49" t="s">
        <v>34</v>
      </c>
      <c r="S7" s="49" t="s">
        <v>37</v>
      </c>
      <c r="T7" s="49" t="s">
        <v>14</v>
      </c>
      <c r="U7" s="49" t="s">
        <v>38</v>
      </c>
      <c r="V7" s="54" t="s">
        <v>18</v>
      </c>
      <c r="W7" s="55" t="s">
        <v>134</v>
      </c>
      <c r="X7" s="60" t="s">
        <v>51</v>
      </c>
      <c r="Y7" s="60"/>
      <c r="Z7" s="60"/>
      <c r="AA7" s="60" t="s">
        <v>43</v>
      </c>
      <c r="AB7" s="60" t="s">
        <v>4</v>
      </c>
      <c r="AC7" s="57"/>
    </row>
    <row r="8" spans="1:35" s="51" customFormat="1" ht="35.25" customHeight="1" x14ac:dyDescent="0.3">
      <c r="A8" s="62"/>
      <c r="B8" s="132"/>
      <c r="C8" s="132"/>
      <c r="D8" s="131" t="s">
        <v>68</v>
      </c>
      <c r="E8" s="132" t="s">
        <v>102</v>
      </c>
      <c r="F8" s="132" t="s">
        <v>326</v>
      </c>
      <c r="G8" s="130" t="s">
        <v>468</v>
      </c>
      <c r="H8" s="132" t="s">
        <v>61</v>
      </c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  <c r="X8" s="132"/>
      <c r="Y8" s="132"/>
      <c r="Z8" s="132"/>
      <c r="AA8" s="132"/>
      <c r="AB8" s="132"/>
      <c r="AC8" s="63"/>
    </row>
    <row r="9" spans="1:35" s="93" customFormat="1" ht="173.25" customHeight="1" x14ac:dyDescent="0.35">
      <c r="A9" s="109" t="s">
        <v>85</v>
      </c>
      <c r="B9" s="152" t="s">
        <v>203</v>
      </c>
      <c r="C9" s="153" t="s">
        <v>124</v>
      </c>
      <c r="D9" s="227" t="s">
        <v>195</v>
      </c>
      <c r="E9" s="154" t="s">
        <v>201</v>
      </c>
      <c r="F9" s="154" t="s">
        <v>353</v>
      </c>
      <c r="G9" s="232">
        <v>43512</v>
      </c>
      <c r="H9" s="155" t="s">
        <v>469</v>
      </c>
      <c r="I9" s="156">
        <v>15</v>
      </c>
      <c r="J9" s="157">
        <f t="shared" ref="J9:J10" si="0">K9/I9</f>
        <v>757.26666666666665</v>
      </c>
      <c r="K9" s="158">
        <v>11359</v>
      </c>
      <c r="L9" s="159">
        <v>0</v>
      </c>
      <c r="M9" s="160">
        <f>SUM(K9:L9)</f>
        <v>11359</v>
      </c>
      <c r="N9" s="161">
        <f>IF(K9/15&lt;=SMG,0,L9/2)</f>
        <v>0</v>
      </c>
      <c r="O9" s="161">
        <f t="shared" ref="O9" si="1">K9+N9</f>
        <v>11359</v>
      </c>
      <c r="P9" s="161">
        <f t="shared" ref="P9" si="2">VLOOKUP(O9,Tarifa1,1)</f>
        <v>7641.91</v>
      </c>
      <c r="Q9" s="161">
        <f t="shared" ref="Q9" si="3">O9-P9</f>
        <v>3717.09</v>
      </c>
      <c r="R9" s="162">
        <f t="shared" ref="R9" si="4">VLOOKUP(O9,Tarifa1,3)</f>
        <v>0.21360000000000001</v>
      </c>
      <c r="S9" s="161">
        <f t="shared" ref="S9" si="5">Q9*R9</f>
        <v>793.97042400000009</v>
      </c>
      <c r="T9" s="163">
        <f t="shared" ref="T9" si="6">VLOOKUP(O9,Tarifa1,2)</f>
        <v>809.25</v>
      </c>
      <c r="U9" s="161">
        <f t="shared" ref="U9" si="7">S9+T9</f>
        <v>1603.2204240000001</v>
      </c>
      <c r="V9" s="161">
        <f t="shared" ref="V9" si="8">VLOOKUP(O9,Credito1,2)</f>
        <v>0</v>
      </c>
      <c r="W9" s="161">
        <f t="shared" ref="W9" si="9">ROUND(U9-V9,2)</f>
        <v>1603.22</v>
      </c>
      <c r="X9" s="160">
        <f t="shared" ref="X9" si="10">-IF(W9&gt;0,0,W9)</f>
        <v>0</v>
      </c>
      <c r="Y9" s="160">
        <f t="shared" ref="Y9" si="11">IF(K9/15&lt;=SMG,0,IF(W9&lt;0,0,W9))</f>
        <v>1603.22</v>
      </c>
      <c r="Z9" s="164">
        <v>0</v>
      </c>
      <c r="AA9" s="160">
        <f t="shared" ref="AA9:AA14" si="12">SUM(Y9:Z9)</f>
        <v>1603.22</v>
      </c>
      <c r="AB9" s="160">
        <f t="shared" ref="AB9" si="13">M9+X9-AA9</f>
        <v>9755.7800000000007</v>
      </c>
      <c r="AC9" s="110"/>
      <c r="AD9" s="95"/>
      <c r="AI9" s="96"/>
    </row>
    <row r="10" spans="1:35" s="93" customFormat="1" ht="173.25" customHeight="1" x14ac:dyDescent="0.35">
      <c r="A10" s="109"/>
      <c r="B10" s="153" t="s">
        <v>232</v>
      </c>
      <c r="C10" s="153" t="s">
        <v>124</v>
      </c>
      <c r="D10" s="227" t="s">
        <v>233</v>
      </c>
      <c r="E10" s="154" t="s">
        <v>234</v>
      </c>
      <c r="F10" s="154" t="s">
        <v>364</v>
      </c>
      <c r="G10" s="232">
        <v>43983</v>
      </c>
      <c r="H10" s="155" t="s">
        <v>386</v>
      </c>
      <c r="I10" s="156">
        <v>15</v>
      </c>
      <c r="J10" s="157">
        <f t="shared" si="0"/>
        <v>757.26666666666665</v>
      </c>
      <c r="K10" s="158">
        <v>11359</v>
      </c>
      <c r="L10" s="159">
        <v>0</v>
      </c>
      <c r="M10" s="160">
        <f>SUM(K10:L10)</f>
        <v>11359</v>
      </c>
      <c r="N10" s="161">
        <f>IF(K10/15&lt;=SMG,0,L10/2)</f>
        <v>0</v>
      </c>
      <c r="O10" s="161">
        <f t="shared" ref="O10:O15" si="14">K10+N10</f>
        <v>11359</v>
      </c>
      <c r="P10" s="161">
        <f t="shared" ref="P10:P15" si="15">VLOOKUP(O10,Tarifa1,1)</f>
        <v>7641.91</v>
      </c>
      <c r="Q10" s="161">
        <f t="shared" ref="Q10:Q15" si="16">O10-P10</f>
        <v>3717.09</v>
      </c>
      <c r="R10" s="162">
        <f t="shared" ref="R10:R15" si="17">VLOOKUP(O10,Tarifa1,3)</f>
        <v>0.21360000000000001</v>
      </c>
      <c r="S10" s="161">
        <f t="shared" ref="S10:S15" si="18">Q10*R10</f>
        <v>793.97042400000009</v>
      </c>
      <c r="T10" s="163">
        <f t="shared" ref="T10:T15" si="19">VLOOKUP(O10,Tarifa1,2)</f>
        <v>809.25</v>
      </c>
      <c r="U10" s="161">
        <f t="shared" ref="U10:U15" si="20">S10+T10</f>
        <v>1603.2204240000001</v>
      </c>
      <c r="V10" s="161">
        <f t="shared" ref="V10:V15" si="21">VLOOKUP(O10,Credito1,2)</f>
        <v>0</v>
      </c>
      <c r="W10" s="161">
        <f t="shared" ref="W10:W15" si="22">ROUND(U10-V10,2)</f>
        <v>1603.22</v>
      </c>
      <c r="X10" s="160">
        <f t="shared" ref="X10:X15" si="23">-IF(W10&gt;0,0,W10)</f>
        <v>0</v>
      </c>
      <c r="Y10" s="160">
        <f t="shared" ref="Y10:Y15" si="24">IF(K10/15&lt;=SMG,0,IF(W10&lt;0,0,W10))</f>
        <v>1603.22</v>
      </c>
      <c r="Z10" s="164">
        <v>0</v>
      </c>
      <c r="AA10" s="160">
        <f t="shared" si="12"/>
        <v>1603.22</v>
      </c>
      <c r="AB10" s="160">
        <f t="shared" ref="AB10" si="25">M10+X10-AA10</f>
        <v>9755.7800000000007</v>
      </c>
      <c r="AC10" s="110"/>
      <c r="AD10" s="95"/>
      <c r="AI10" s="96"/>
    </row>
    <row r="11" spans="1:35" s="93" customFormat="1" ht="173.25" customHeight="1" x14ac:dyDescent="0.35">
      <c r="A11" s="109"/>
      <c r="B11" s="153" t="s">
        <v>424</v>
      </c>
      <c r="C11" s="153" t="s">
        <v>124</v>
      </c>
      <c r="D11" s="227" t="s">
        <v>428</v>
      </c>
      <c r="E11" s="154" t="s">
        <v>427</v>
      </c>
      <c r="F11" s="154" t="s">
        <v>425</v>
      </c>
      <c r="G11" s="232">
        <v>44866</v>
      </c>
      <c r="H11" s="155" t="s">
        <v>426</v>
      </c>
      <c r="I11" s="156"/>
      <c r="J11" s="157"/>
      <c r="K11" s="158">
        <v>4467</v>
      </c>
      <c r="L11" s="159">
        <v>0</v>
      </c>
      <c r="M11" s="160">
        <f>SUM(K11:L11)</f>
        <v>4467</v>
      </c>
      <c r="N11" s="161">
        <f>IF(K11/15&lt;=SMG,0,L11/2)</f>
        <v>0</v>
      </c>
      <c r="O11" s="161">
        <f t="shared" si="14"/>
        <v>4467</v>
      </c>
      <c r="P11" s="161">
        <f t="shared" si="15"/>
        <v>3124.36</v>
      </c>
      <c r="Q11" s="161">
        <f t="shared" si="16"/>
        <v>1342.6399999999999</v>
      </c>
      <c r="R11" s="162">
        <f t="shared" si="17"/>
        <v>0.10879999999999999</v>
      </c>
      <c r="S11" s="161">
        <f t="shared" si="18"/>
        <v>146.07923199999999</v>
      </c>
      <c r="T11" s="163">
        <f t="shared" si="19"/>
        <v>183.45</v>
      </c>
      <c r="U11" s="161">
        <f t="shared" si="20"/>
        <v>329.52923199999998</v>
      </c>
      <c r="V11" s="161">
        <f t="shared" si="21"/>
        <v>0</v>
      </c>
      <c r="W11" s="161">
        <f t="shared" si="22"/>
        <v>329.53</v>
      </c>
      <c r="X11" s="160">
        <f t="shared" si="23"/>
        <v>0</v>
      </c>
      <c r="Y11" s="160">
        <f t="shared" si="24"/>
        <v>329.53</v>
      </c>
      <c r="Z11" s="164">
        <v>0</v>
      </c>
      <c r="AA11" s="160">
        <f t="shared" si="12"/>
        <v>329.53</v>
      </c>
      <c r="AB11" s="160">
        <f>M11+X11-AA11</f>
        <v>4137.47</v>
      </c>
      <c r="AC11" s="110"/>
      <c r="AD11" s="95"/>
      <c r="AI11" s="96"/>
    </row>
    <row r="12" spans="1:35" s="93" customFormat="1" ht="173.25" customHeight="1" x14ac:dyDescent="0.35">
      <c r="A12" s="109"/>
      <c r="B12" s="152" t="s">
        <v>239</v>
      </c>
      <c r="C12" s="152" t="s">
        <v>124</v>
      </c>
      <c r="D12" s="229" t="s">
        <v>238</v>
      </c>
      <c r="E12" s="170" t="s">
        <v>242</v>
      </c>
      <c r="F12" s="170" t="s">
        <v>366</v>
      </c>
      <c r="G12" s="236">
        <v>44470</v>
      </c>
      <c r="H12" s="155" t="s">
        <v>67</v>
      </c>
      <c r="I12" s="156">
        <v>15</v>
      </c>
      <c r="J12" s="157"/>
      <c r="K12" s="158">
        <v>6253</v>
      </c>
      <c r="L12" s="159">
        <v>1250.6099999999999</v>
      </c>
      <c r="M12" s="158">
        <f>K12</f>
        <v>6253</v>
      </c>
      <c r="N12" s="161">
        <f t="shared" ref="N12" si="26">IF(K12/15&lt;=SMG,0,L12/2)</f>
        <v>625.30499999999995</v>
      </c>
      <c r="O12" s="161">
        <f t="shared" si="14"/>
        <v>6878.3050000000003</v>
      </c>
      <c r="P12" s="161">
        <f t="shared" si="15"/>
        <v>6382.81</v>
      </c>
      <c r="Q12" s="161">
        <f t="shared" si="16"/>
        <v>495.49499999999989</v>
      </c>
      <c r="R12" s="162">
        <f t="shared" si="17"/>
        <v>0.1792</v>
      </c>
      <c r="S12" s="161">
        <f t="shared" si="18"/>
        <v>88.792703999999986</v>
      </c>
      <c r="T12" s="163">
        <f t="shared" si="19"/>
        <v>583.65</v>
      </c>
      <c r="U12" s="161">
        <f t="shared" si="20"/>
        <v>672.44270399999994</v>
      </c>
      <c r="V12" s="161">
        <f t="shared" si="21"/>
        <v>0</v>
      </c>
      <c r="W12" s="161">
        <f t="shared" si="22"/>
        <v>672.44</v>
      </c>
      <c r="X12" s="160">
        <f t="shared" si="23"/>
        <v>0</v>
      </c>
      <c r="Y12" s="160">
        <f t="shared" si="24"/>
        <v>672.44</v>
      </c>
      <c r="Z12" s="164">
        <v>0</v>
      </c>
      <c r="AA12" s="160">
        <f t="shared" si="12"/>
        <v>672.44</v>
      </c>
      <c r="AB12" s="160">
        <f>M12+X12-AA12+L12</f>
        <v>6831.1699999999992</v>
      </c>
      <c r="AC12" s="110"/>
      <c r="AI12" s="96"/>
    </row>
    <row r="13" spans="1:35" s="93" customFormat="1" ht="173.25" customHeight="1" x14ac:dyDescent="0.35">
      <c r="A13" s="109"/>
      <c r="B13" s="152" t="s">
        <v>429</v>
      </c>
      <c r="C13" s="152" t="s">
        <v>124</v>
      </c>
      <c r="D13" s="229" t="s">
        <v>430</v>
      </c>
      <c r="E13" s="170" t="s">
        <v>431</v>
      </c>
      <c r="F13" s="290" t="s">
        <v>432</v>
      </c>
      <c r="G13" s="240">
        <v>44866</v>
      </c>
      <c r="H13" s="155" t="s">
        <v>67</v>
      </c>
      <c r="I13" s="156"/>
      <c r="J13" s="157"/>
      <c r="K13" s="158">
        <v>6253</v>
      </c>
      <c r="L13" s="159">
        <v>0</v>
      </c>
      <c r="M13" s="158">
        <f>K13</f>
        <v>6253</v>
      </c>
      <c r="N13" s="161">
        <f t="shared" ref="N13" si="27">IF(K13/15&lt;=SMG,0,L13/2)</f>
        <v>0</v>
      </c>
      <c r="O13" s="161">
        <f t="shared" si="14"/>
        <v>6253</v>
      </c>
      <c r="P13" s="161">
        <f t="shared" si="15"/>
        <v>5490.76</v>
      </c>
      <c r="Q13" s="161">
        <f t="shared" si="16"/>
        <v>762.23999999999978</v>
      </c>
      <c r="R13" s="162">
        <f t="shared" si="17"/>
        <v>0.16</v>
      </c>
      <c r="S13" s="161">
        <f t="shared" si="18"/>
        <v>121.95839999999997</v>
      </c>
      <c r="T13" s="163">
        <f t="shared" si="19"/>
        <v>441</v>
      </c>
      <c r="U13" s="161">
        <f t="shared" si="20"/>
        <v>562.95839999999998</v>
      </c>
      <c r="V13" s="161">
        <f t="shared" si="21"/>
        <v>0</v>
      </c>
      <c r="W13" s="161">
        <f t="shared" si="22"/>
        <v>562.96</v>
      </c>
      <c r="X13" s="160">
        <f t="shared" si="23"/>
        <v>0</v>
      </c>
      <c r="Y13" s="160">
        <f t="shared" si="24"/>
        <v>562.96</v>
      </c>
      <c r="Z13" s="164">
        <v>0</v>
      </c>
      <c r="AA13" s="160">
        <f t="shared" si="12"/>
        <v>562.96</v>
      </c>
      <c r="AB13" s="160">
        <f>M13+X13-AA13+L13</f>
        <v>5690.04</v>
      </c>
      <c r="AC13" s="110"/>
      <c r="AI13" s="96"/>
    </row>
    <row r="14" spans="1:35" s="93" customFormat="1" ht="173.25" customHeight="1" x14ac:dyDescent="0.35">
      <c r="A14" s="109"/>
      <c r="B14" s="152" t="s">
        <v>483</v>
      </c>
      <c r="C14" s="152" t="s">
        <v>124</v>
      </c>
      <c r="D14" s="229" t="s">
        <v>481</v>
      </c>
      <c r="E14" s="292" t="s">
        <v>484</v>
      </c>
      <c r="F14" s="291" t="s">
        <v>482</v>
      </c>
      <c r="G14" s="238">
        <v>45042</v>
      </c>
      <c r="H14" s="155" t="s">
        <v>67</v>
      </c>
      <c r="I14" s="156"/>
      <c r="J14" s="157"/>
      <c r="K14" s="158">
        <v>2084.35</v>
      </c>
      <c r="L14" s="159">
        <v>0</v>
      </c>
      <c r="M14" s="158">
        <f>K14</f>
        <v>2084.35</v>
      </c>
      <c r="N14" s="161">
        <f t="shared" ref="N14" si="28">IF(K14/15&lt;=SMG,0,L14/2)</f>
        <v>0</v>
      </c>
      <c r="O14" s="161">
        <f t="shared" ref="O14" si="29">K14+N14</f>
        <v>2084.35</v>
      </c>
      <c r="P14" s="161">
        <f t="shared" ref="P14" si="30">VLOOKUP(O14,Tarifa1,1)</f>
        <v>368.11</v>
      </c>
      <c r="Q14" s="161">
        <f t="shared" ref="Q14" si="31">O14-P14</f>
        <v>1716.2399999999998</v>
      </c>
      <c r="R14" s="162">
        <f t="shared" ref="R14" si="32">VLOOKUP(O14,Tarifa1,3)</f>
        <v>6.4000000000000001E-2</v>
      </c>
      <c r="S14" s="161">
        <f t="shared" ref="S14" si="33">Q14*R14</f>
        <v>109.83935999999999</v>
      </c>
      <c r="T14" s="163">
        <f t="shared" ref="T14" si="34">VLOOKUP(O14,Tarifa1,2)</f>
        <v>7.05</v>
      </c>
      <c r="U14" s="161">
        <f t="shared" ref="U14" si="35">S14+T14</f>
        <v>116.88935999999998</v>
      </c>
      <c r="V14" s="161">
        <f t="shared" ref="V14" si="36">VLOOKUP(O14,Credito1,2)</f>
        <v>188.7</v>
      </c>
      <c r="W14" s="161">
        <f t="shared" ref="W14" si="37">ROUND(U14-V14,2)</f>
        <v>-71.81</v>
      </c>
      <c r="X14" s="160">
        <v>0</v>
      </c>
      <c r="Y14" s="160">
        <f t="shared" ref="Y14" si="38">IF(K14/15&lt;=SMG,0,IF(W14&lt;0,0,W14))</f>
        <v>0</v>
      </c>
      <c r="Z14" s="164">
        <v>0</v>
      </c>
      <c r="AA14" s="160">
        <f t="shared" si="12"/>
        <v>0</v>
      </c>
      <c r="AB14" s="160">
        <f>M14+X14-AA14+L14</f>
        <v>2084.35</v>
      </c>
      <c r="AC14" s="110"/>
      <c r="AI14" s="96"/>
    </row>
    <row r="15" spans="1:35" s="93" customFormat="1" ht="173.25" customHeight="1" x14ac:dyDescent="0.35">
      <c r="A15" s="109"/>
      <c r="B15" s="153" t="s">
        <v>224</v>
      </c>
      <c r="C15" s="153" t="s">
        <v>124</v>
      </c>
      <c r="D15" s="225" t="s">
        <v>225</v>
      </c>
      <c r="E15" s="166" t="s">
        <v>226</v>
      </c>
      <c r="F15" s="166" t="s">
        <v>362</v>
      </c>
      <c r="G15" s="232">
        <v>43877</v>
      </c>
      <c r="H15" s="155" t="s">
        <v>184</v>
      </c>
      <c r="I15" s="156">
        <v>15</v>
      </c>
      <c r="J15" s="157"/>
      <c r="K15" s="158">
        <v>6843</v>
      </c>
      <c r="L15" s="159">
        <v>0</v>
      </c>
      <c r="M15" s="160">
        <f>SUM(K15:L15)</f>
        <v>6843</v>
      </c>
      <c r="N15" s="161">
        <f t="shared" ref="N15" si="39">IF(K15/15&lt;=SMG,0,L15/2)</f>
        <v>0</v>
      </c>
      <c r="O15" s="161">
        <f t="shared" si="14"/>
        <v>6843</v>
      </c>
      <c r="P15" s="161">
        <f t="shared" si="15"/>
        <v>6382.81</v>
      </c>
      <c r="Q15" s="161">
        <f t="shared" si="16"/>
        <v>460.1899999999996</v>
      </c>
      <c r="R15" s="162">
        <f t="shared" si="17"/>
        <v>0.1792</v>
      </c>
      <c r="S15" s="161">
        <f t="shared" si="18"/>
        <v>82.46604799999993</v>
      </c>
      <c r="T15" s="163">
        <f t="shared" si="19"/>
        <v>583.65</v>
      </c>
      <c r="U15" s="161">
        <f t="shared" si="20"/>
        <v>666.11604799999986</v>
      </c>
      <c r="V15" s="161">
        <f t="shared" si="21"/>
        <v>0</v>
      </c>
      <c r="W15" s="161">
        <f t="shared" si="22"/>
        <v>666.12</v>
      </c>
      <c r="X15" s="160">
        <f t="shared" si="23"/>
        <v>0</v>
      </c>
      <c r="Y15" s="160">
        <f t="shared" si="24"/>
        <v>666.12</v>
      </c>
      <c r="Z15" s="164">
        <v>0</v>
      </c>
      <c r="AA15" s="160">
        <f t="shared" ref="AA15:AA27" si="40">SUM(Y15:Z15)</f>
        <v>666.12</v>
      </c>
      <c r="AB15" s="160">
        <f>M15+X15-AA15</f>
        <v>6176.88</v>
      </c>
      <c r="AC15" s="110"/>
      <c r="AI15" s="96"/>
    </row>
    <row r="16" spans="1:35" s="93" customFormat="1" ht="57" customHeight="1" x14ac:dyDescent="0.3">
      <c r="A16" s="185"/>
      <c r="B16" s="200"/>
      <c r="C16" s="200"/>
      <c r="D16" s="207"/>
      <c r="E16" s="208"/>
      <c r="F16" s="208"/>
      <c r="G16" s="208"/>
      <c r="H16" s="209"/>
      <c r="I16" s="210"/>
      <c r="J16" s="211"/>
      <c r="K16" s="212"/>
      <c r="L16" s="213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111"/>
      <c r="AI16" s="96"/>
    </row>
    <row r="17" spans="1:35" s="93" customFormat="1" ht="29.25" customHeight="1" x14ac:dyDescent="0.3">
      <c r="A17" s="185"/>
      <c r="B17" s="305" t="s">
        <v>78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I17" s="96"/>
    </row>
    <row r="18" spans="1:35" s="93" customFormat="1" ht="28.5" customHeight="1" x14ac:dyDescent="0.3">
      <c r="A18" s="185"/>
      <c r="B18" s="305" t="s">
        <v>64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I18" s="96"/>
    </row>
    <row r="19" spans="1:35" s="93" customFormat="1" ht="28.5" customHeight="1" x14ac:dyDescent="0.3">
      <c r="A19" s="185"/>
      <c r="B19" s="306" t="s">
        <v>477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I19" s="96"/>
    </row>
    <row r="20" spans="1:35" s="93" customFormat="1" ht="20.25" customHeight="1" x14ac:dyDescent="0.3">
      <c r="A20" s="185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I20" s="96"/>
    </row>
    <row r="21" spans="1:35" s="93" customFormat="1" ht="158.25" customHeight="1" x14ac:dyDescent="0.35">
      <c r="A21" s="185"/>
      <c r="B21" s="153" t="s">
        <v>202</v>
      </c>
      <c r="C21" s="153" t="s">
        <v>124</v>
      </c>
      <c r="D21" s="225" t="s">
        <v>189</v>
      </c>
      <c r="E21" s="165" t="s">
        <v>196</v>
      </c>
      <c r="F21" s="165" t="s">
        <v>354</v>
      </c>
      <c r="G21" s="231">
        <v>43512</v>
      </c>
      <c r="H21" s="155" t="s">
        <v>184</v>
      </c>
      <c r="I21" s="156">
        <v>15</v>
      </c>
      <c r="J21" s="157"/>
      <c r="K21" s="158">
        <v>8552</v>
      </c>
      <c r="L21" s="159">
        <v>0</v>
      </c>
      <c r="M21" s="160">
        <f t="shared" ref="M21" si="41">SUM(K21:L21)</f>
        <v>8552</v>
      </c>
      <c r="N21" s="161">
        <f t="shared" ref="N21" si="42">IF(K21/15&lt;=SMG,0,L21/2)</f>
        <v>0</v>
      </c>
      <c r="O21" s="161">
        <f t="shared" ref="O21" si="43">K21+N21</f>
        <v>8552</v>
      </c>
      <c r="P21" s="161">
        <f t="shared" ref="P21:P27" si="44">VLOOKUP(O21,Tarifa1,1)</f>
        <v>7641.91</v>
      </c>
      <c r="Q21" s="161">
        <f t="shared" ref="Q21" si="45">O21-P21</f>
        <v>910.09000000000015</v>
      </c>
      <c r="R21" s="162">
        <f t="shared" ref="R21:R27" si="46">VLOOKUP(O21,Tarifa1,3)</f>
        <v>0.21360000000000001</v>
      </c>
      <c r="S21" s="161">
        <f t="shared" ref="S21" si="47">Q21*R21</f>
        <v>194.39522400000004</v>
      </c>
      <c r="T21" s="163">
        <f t="shared" ref="T21:T27" si="48">VLOOKUP(O21,Tarifa1,2)</f>
        <v>809.25</v>
      </c>
      <c r="U21" s="161">
        <f t="shared" ref="U21" si="49">S21+T21</f>
        <v>1003.6452240000001</v>
      </c>
      <c r="V21" s="161">
        <f t="shared" ref="V21:V27" si="50">VLOOKUP(O21,Credito1,2)</f>
        <v>0</v>
      </c>
      <c r="W21" s="161">
        <f t="shared" ref="W21" si="51">ROUND(U21-V21,2)</f>
        <v>1003.65</v>
      </c>
      <c r="X21" s="160">
        <f t="shared" ref="X21:X27" si="52">-IF(W21&gt;0,0,W21)</f>
        <v>0</v>
      </c>
      <c r="Y21" s="160">
        <f t="shared" ref="Y21:Y27" si="53">IF(K21/15&lt;=SMG,0,IF(W21&lt;0,0,W21))</f>
        <v>1003.65</v>
      </c>
      <c r="Z21" s="164">
        <v>0</v>
      </c>
      <c r="AA21" s="160">
        <f t="shared" ref="AA21" si="54">SUM(Y21:Z21)</f>
        <v>1003.65</v>
      </c>
      <c r="AB21" s="160">
        <f t="shared" ref="AB21" si="55">M21+X21-AA21</f>
        <v>7548.35</v>
      </c>
      <c r="AC21" s="110"/>
      <c r="AD21" s="206"/>
      <c r="AI21" s="96"/>
    </row>
    <row r="22" spans="1:35" s="93" customFormat="1" ht="158.25" customHeight="1" x14ac:dyDescent="0.35">
      <c r="A22" s="109"/>
      <c r="B22" s="153" t="s">
        <v>209</v>
      </c>
      <c r="C22" s="153" t="s">
        <v>124</v>
      </c>
      <c r="D22" s="225" t="s">
        <v>210</v>
      </c>
      <c r="E22" s="165" t="s">
        <v>211</v>
      </c>
      <c r="F22" s="165" t="s">
        <v>359</v>
      </c>
      <c r="G22" s="231">
        <v>43632</v>
      </c>
      <c r="H22" s="155" t="s">
        <v>184</v>
      </c>
      <c r="I22" s="156">
        <v>15</v>
      </c>
      <c r="J22" s="157"/>
      <c r="K22" s="158">
        <v>8552</v>
      </c>
      <c r="L22" s="159">
        <v>0</v>
      </c>
      <c r="M22" s="160">
        <f t="shared" ref="M22" si="56">SUM(K22:L22)</f>
        <v>8552</v>
      </c>
      <c r="N22" s="161">
        <f t="shared" ref="N22:N26" si="57">IF(K22/15&lt;=SMG,0,L22/2)</f>
        <v>0</v>
      </c>
      <c r="O22" s="161">
        <f t="shared" ref="O22:O27" si="58">K22+N22</f>
        <v>8552</v>
      </c>
      <c r="P22" s="161">
        <f t="shared" si="44"/>
        <v>7641.91</v>
      </c>
      <c r="Q22" s="161">
        <f t="shared" ref="Q22:Q27" si="59">O22-P22</f>
        <v>910.09000000000015</v>
      </c>
      <c r="R22" s="162">
        <f t="shared" si="46"/>
        <v>0.21360000000000001</v>
      </c>
      <c r="S22" s="161">
        <f t="shared" ref="S22:S27" si="60">Q22*R22</f>
        <v>194.39522400000004</v>
      </c>
      <c r="T22" s="163">
        <f t="shared" si="48"/>
        <v>809.25</v>
      </c>
      <c r="U22" s="161">
        <f t="shared" ref="U22:U27" si="61">S22+T22</f>
        <v>1003.6452240000001</v>
      </c>
      <c r="V22" s="161">
        <f t="shared" si="50"/>
        <v>0</v>
      </c>
      <c r="W22" s="161">
        <f t="shared" ref="W22:W27" si="62">ROUND(U22-V22,2)</f>
        <v>1003.65</v>
      </c>
      <c r="X22" s="160">
        <f t="shared" si="52"/>
        <v>0</v>
      </c>
      <c r="Y22" s="160">
        <f t="shared" si="53"/>
        <v>1003.65</v>
      </c>
      <c r="Z22" s="164">
        <v>0</v>
      </c>
      <c r="AA22" s="160">
        <f t="shared" si="40"/>
        <v>1003.65</v>
      </c>
      <c r="AB22" s="160">
        <f t="shared" ref="AB22" si="63">M22+X22-AA22</f>
        <v>7548.35</v>
      </c>
      <c r="AC22" s="110"/>
      <c r="AI22" s="96"/>
    </row>
    <row r="23" spans="1:35" s="93" customFormat="1" ht="158.25" customHeight="1" x14ac:dyDescent="0.35">
      <c r="A23" s="109"/>
      <c r="B23" s="153" t="s">
        <v>389</v>
      </c>
      <c r="C23" s="153" t="s">
        <v>124</v>
      </c>
      <c r="D23" s="225" t="s">
        <v>390</v>
      </c>
      <c r="E23" s="165" t="s">
        <v>391</v>
      </c>
      <c r="F23" s="165" t="s">
        <v>392</v>
      </c>
      <c r="G23" s="231">
        <v>44728</v>
      </c>
      <c r="H23" s="155" t="s">
        <v>184</v>
      </c>
      <c r="I23" s="156"/>
      <c r="J23" s="157"/>
      <c r="K23" s="158">
        <v>8552</v>
      </c>
      <c r="L23" s="159">
        <v>0</v>
      </c>
      <c r="M23" s="160">
        <f>SUM(K23:L23)</f>
        <v>8552</v>
      </c>
      <c r="N23" s="161">
        <f t="shared" si="57"/>
        <v>0</v>
      </c>
      <c r="O23" s="161">
        <f t="shared" si="58"/>
        <v>8552</v>
      </c>
      <c r="P23" s="161">
        <f t="shared" si="44"/>
        <v>7641.91</v>
      </c>
      <c r="Q23" s="161">
        <f t="shared" si="59"/>
        <v>910.09000000000015</v>
      </c>
      <c r="R23" s="162">
        <f t="shared" si="46"/>
        <v>0.21360000000000001</v>
      </c>
      <c r="S23" s="161">
        <f t="shared" si="60"/>
        <v>194.39522400000004</v>
      </c>
      <c r="T23" s="163">
        <f t="shared" si="48"/>
        <v>809.25</v>
      </c>
      <c r="U23" s="161">
        <f t="shared" si="61"/>
        <v>1003.6452240000001</v>
      </c>
      <c r="V23" s="161">
        <f t="shared" si="50"/>
        <v>0</v>
      </c>
      <c r="W23" s="161">
        <f t="shared" si="62"/>
        <v>1003.65</v>
      </c>
      <c r="X23" s="160">
        <f t="shared" si="52"/>
        <v>0</v>
      </c>
      <c r="Y23" s="160">
        <f t="shared" si="53"/>
        <v>1003.65</v>
      </c>
      <c r="Z23" s="164">
        <v>0</v>
      </c>
      <c r="AA23" s="160">
        <f t="shared" ref="AA23:AA24" si="64">SUM(Y23:Z23)</f>
        <v>1003.65</v>
      </c>
      <c r="AB23" s="160">
        <f>M23+X23-AA23</f>
        <v>7548.35</v>
      </c>
      <c r="AC23" s="110"/>
      <c r="AI23" s="96"/>
    </row>
    <row r="24" spans="1:35" s="93" customFormat="1" ht="158.25" customHeight="1" x14ac:dyDescent="0.35">
      <c r="A24" s="109"/>
      <c r="B24" s="153" t="s">
        <v>229</v>
      </c>
      <c r="C24" s="153" t="s">
        <v>124</v>
      </c>
      <c r="D24" s="227" t="s">
        <v>230</v>
      </c>
      <c r="E24" s="154" t="s">
        <v>231</v>
      </c>
      <c r="F24" s="154" t="s">
        <v>363</v>
      </c>
      <c r="G24" s="232">
        <v>43967</v>
      </c>
      <c r="H24" s="155" t="s">
        <v>184</v>
      </c>
      <c r="I24" s="156"/>
      <c r="J24" s="157"/>
      <c r="K24" s="158">
        <v>6843</v>
      </c>
      <c r="L24" s="159">
        <v>456.2</v>
      </c>
      <c r="M24" s="160">
        <f>SUM(K24:L24)</f>
        <v>7299.2</v>
      </c>
      <c r="N24" s="161">
        <f t="shared" si="57"/>
        <v>228.1</v>
      </c>
      <c r="O24" s="161">
        <f t="shared" si="58"/>
        <v>7071.1</v>
      </c>
      <c r="P24" s="161">
        <f t="shared" si="44"/>
        <v>6382.81</v>
      </c>
      <c r="Q24" s="161">
        <f t="shared" si="59"/>
        <v>688.29</v>
      </c>
      <c r="R24" s="162">
        <f t="shared" si="46"/>
        <v>0.1792</v>
      </c>
      <c r="S24" s="161">
        <f t="shared" si="60"/>
        <v>123.341568</v>
      </c>
      <c r="T24" s="163">
        <f t="shared" si="48"/>
        <v>583.65</v>
      </c>
      <c r="U24" s="161">
        <f t="shared" si="61"/>
        <v>706.99156799999992</v>
      </c>
      <c r="V24" s="161">
        <f t="shared" si="50"/>
        <v>0</v>
      </c>
      <c r="W24" s="161">
        <f t="shared" si="62"/>
        <v>706.99</v>
      </c>
      <c r="X24" s="160">
        <f t="shared" si="52"/>
        <v>0</v>
      </c>
      <c r="Y24" s="160">
        <f t="shared" si="53"/>
        <v>706.99</v>
      </c>
      <c r="Z24" s="164">
        <v>0</v>
      </c>
      <c r="AA24" s="160">
        <f t="shared" si="64"/>
        <v>706.99</v>
      </c>
      <c r="AB24" s="160">
        <f>M24+X24-AA24</f>
        <v>6592.21</v>
      </c>
      <c r="AC24" s="110"/>
      <c r="AI24" s="96"/>
    </row>
    <row r="25" spans="1:35" s="93" customFormat="1" ht="158.25" customHeight="1" x14ac:dyDescent="0.35">
      <c r="A25" s="109"/>
      <c r="B25" s="153" t="s">
        <v>479</v>
      </c>
      <c r="C25" s="153" t="s">
        <v>124</v>
      </c>
      <c r="D25" s="227" t="s">
        <v>476</v>
      </c>
      <c r="E25" s="154" t="s">
        <v>478</v>
      </c>
      <c r="F25" s="289" t="s">
        <v>480</v>
      </c>
      <c r="G25" s="232">
        <v>45033</v>
      </c>
      <c r="H25" s="155" t="s">
        <v>184</v>
      </c>
      <c r="I25" s="156"/>
      <c r="J25" s="157"/>
      <c r="K25" s="158">
        <v>6386.8</v>
      </c>
      <c r="L25" s="159">
        <v>456.2</v>
      </c>
      <c r="M25" s="160">
        <f>SUM(K25:L25)</f>
        <v>6843</v>
      </c>
      <c r="N25" s="161">
        <f t="shared" ref="N25" si="65">IF(K25/15&lt;=SMG,0,L25/2)</f>
        <v>228.1</v>
      </c>
      <c r="O25" s="161">
        <f t="shared" ref="O25" si="66">K25+N25</f>
        <v>6614.9000000000005</v>
      </c>
      <c r="P25" s="161">
        <f t="shared" ref="P25" si="67">VLOOKUP(O25,Tarifa1,1)</f>
        <v>6382.81</v>
      </c>
      <c r="Q25" s="161">
        <f t="shared" ref="Q25" si="68">O25-P25</f>
        <v>232.09000000000015</v>
      </c>
      <c r="R25" s="162">
        <f t="shared" ref="R25" si="69">VLOOKUP(O25,Tarifa1,3)</f>
        <v>0.1792</v>
      </c>
      <c r="S25" s="161">
        <f t="shared" ref="S25" si="70">Q25*R25</f>
        <v>41.590528000000027</v>
      </c>
      <c r="T25" s="163">
        <f t="shared" ref="T25" si="71">VLOOKUP(O25,Tarifa1,2)</f>
        <v>583.65</v>
      </c>
      <c r="U25" s="161">
        <f t="shared" ref="U25" si="72">S25+T25</f>
        <v>625.24052800000004</v>
      </c>
      <c r="V25" s="161">
        <f t="shared" ref="V25" si="73">VLOOKUP(O25,Credito1,2)</f>
        <v>0</v>
      </c>
      <c r="W25" s="161">
        <f t="shared" ref="W25" si="74">ROUND(U25-V25,2)</f>
        <v>625.24</v>
      </c>
      <c r="X25" s="160">
        <f t="shared" ref="X25" si="75">-IF(W25&gt;0,0,W25)</f>
        <v>0</v>
      </c>
      <c r="Y25" s="160">
        <f t="shared" ref="Y25" si="76">IF(K25/15&lt;=SMG,0,IF(W25&lt;0,0,W25))</f>
        <v>625.24</v>
      </c>
      <c r="Z25" s="164">
        <v>0</v>
      </c>
      <c r="AA25" s="160">
        <f t="shared" ref="AA25" si="77">SUM(Y25:Z25)</f>
        <v>625.24</v>
      </c>
      <c r="AB25" s="160">
        <f>M25+X25-AA25</f>
        <v>6217.76</v>
      </c>
      <c r="AC25" s="110"/>
      <c r="AI25" s="96"/>
    </row>
    <row r="26" spans="1:35" s="93" customFormat="1" ht="158.25" customHeight="1" x14ac:dyDescent="0.35">
      <c r="A26" s="109"/>
      <c r="B26" s="153" t="s">
        <v>397</v>
      </c>
      <c r="C26" s="153" t="s">
        <v>124</v>
      </c>
      <c r="D26" s="225" t="s">
        <v>395</v>
      </c>
      <c r="E26" s="165" t="s">
        <v>393</v>
      </c>
      <c r="F26" s="165" t="s">
        <v>394</v>
      </c>
      <c r="G26" s="232">
        <v>44728</v>
      </c>
      <c r="H26" s="155" t="s">
        <v>396</v>
      </c>
      <c r="I26" s="156"/>
      <c r="J26" s="157"/>
      <c r="K26" s="158">
        <v>6253</v>
      </c>
      <c r="L26" s="159">
        <v>1138.02</v>
      </c>
      <c r="M26" s="158">
        <f>K26</f>
        <v>6253</v>
      </c>
      <c r="N26" s="161">
        <f t="shared" si="57"/>
        <v>569.01</v>
      </c>
      <c r="O26" s="161">
        <f t="shared" si="58"/>
        <v>6822.01</v>
      </c>
      <c r="P26" s="161">
        <f t="shared" si="44"/>
        <v>6382.81</v>
      </c>
      <c r="Q26" s="161">
        <f t="shared" si="59"/>
        <v>439.19999999999982</v>
      </c>
      <c r="R26" s="162">
        <f t="shared" si="46"/>
        <v>0.1792</v>
      </c>
      <c r="S26" s="161">
        <f t="shared" si="60"/>
        <v>78.704639999999969</v>
      </c>
      <c r="T26" s="163">
        <f t="shared" si="48"/>
        <v>583.65</v>
      </c>
      <c r="U26" s="161">
        <f t="shared" si="61"/>
        <v>662.3546399999999</v>
      </c>
      <c r="V26" s="161">
        <f t="shared" si="50"/>
        <v>0</v>
      </c>
      <c r="W26" s="161">
        <f t="shared" si="62"/>
        <v>662.35</v>
      </c>
      <c r="X26" s="160">
        <f t="shared" si="52"/>
        <v>0</v>
      </c>
      <c r="Y26" s="160">
        <f t="shared" si="53"/>
        <v>662.35</v>
      </c>
      <c r="Z26" s="164">
        <v>0</v>
      </c>
      <c r="AA26" s="160">
        <f>SUM(Y26:Z26)</f>
        <v>662.35</v>
      </c>
      <c r="AB26" s="160">
        <f>M26+X26-AA26+L26</f>
        <v>6728.67</v>
      </c>
      <c r="AC26" s="110"/>
      <c r="AI26" s="96"/>
    </row>
    <row r="27" spans="1:35" s="93" customFormat="1" ht="158.25" customHeight="1" x14ac:dyDescent="0.35">
      <c r="A27" s="109"/>
      <c r="B27" s="153" t="s">
        <v>204</v>
      </c>
      <c r="C27" s="153" t="s">
        <v>124</v>
      </c>
      <c r="D27" s="225" t="s">
        <v>186</v>
      </c>
      <c r="E27" s="165" t="s">
        <v>197</v>
      </c>
      <c r="F27" s="165" t="s">
        <v>355</v>
      </c>
      <c r="G27" s="231">
        <v>43512</v>
      </c>
      <c r="H27" s="155" t="s">
        <v>387</v>
      </c>
      <c r="I27" s="156">
        <v>15</v>
      </c>
      <c r="J27" s="157">
        <f t="shared" ref="J27" si="78">K27/I27</f>
        <v>310.2</v>
      </c>
      <c r="K27" s="158">
        <v>4653</v>
      </c>
      <c r="L27" s="159">
        <v>0</v>
      </c>
      <c r="M27" s="160">
        <f t="shared" ref="M27" si="79">SUM(K27:L27)</f>
        <v>4653</v>
      </c>
      <c r="N27" s="161">
        <f t="shared" ref="N27" si="80">IF(K27/15&lt;=SMG,0,L27/2)</f>
        <v>0</v>
      </c>
      <c r="O27" s="161">
        <f t="shared" si="58"/>
        <v>4653</v>
      </c>
      <c r="P27" s="161">
        <f t="shared" si="44"/>
        <v>3124.36</v>
      </c>
      <c r="Q27" s="161">
        <f t="shared" si="59"/>
        <v>1528.6399999999999</v>
      </c>
      <c r="R27" s="162">
        <f t="shared" si="46"/>
        <v>0.10879999999999999</v>
      </c>
      <c r="S27" s="161">
        <f t="shared" si="60"/>
        <v>166.31603199999998</v>
      </c>
      <c r="T27" s="163">
        <f t="shared" si="48"/>
        <v>183.45</v>
      </c>
      <c r="U27" s="161">
        <f t="shared" si="61"/>
        <v>349.766032</v>
      </c>
      <c r="V27" s="161">
        <f t="shared" si="50"/>
        <v>0</v>
      </c>
      <c r="W27" s="161">
        <f t="shared" si="62"/>
        <v>349.77</v>
      </c>
      <c r="X27" s="160">
        <f t="shared" si="52"/>
        <v>0</v>
      </c>
      <c r="Y27" s="160">
        <f t="shared" si="53"/>
        <v>349.77</v>
      </c>
      <c r="Z27" s="164">
        <v>0</v>
      </c>
      <c r="AA27" s="160">
        <f t="shared" si="40"/>
        <v>349.77</v>
      </c>
      <c r="AB27" s="160">
        <f>M27+X27-AA27</f>
        <v>4303.2299999999996</v>
      </c>
      <c r="AC27" s="110"/>
      <c r="AI27" s="96"/>
    </row>
    <row r="28" spans="1:35" s="51" customFormat="1" ht="39" customHeight="1" thickBot="1" x14ac:dyDescent="0.35">
      <c r="A28" s="302" t="s">
        <v>44</v>
      </c>
      <c r="B28" s="303"/>
      <c r="C28" s="303"/>
      <c r="D28" s="303"/>
      <c r="E28" s="303"/>
      <c r="F28" s="303"/>
      <c r="G28" s="303"/>
      <c r="H28" s="303"/>
      <c r="I28" s="303"/>
      <c r="J28" s="304"/>
      <c r="K28" s="167">
        <f t="shared" ref="K28:AB28" si="81">SUM(K9:K27)</f>
        <v>98410.150000000009</v>
      </c>
      <c r="L28" s="167">
        <f t="shared" si="81"/>
        <v>3301.0299999999997</v>
      </c>
      <c r="M28" s="167">
        <f t="shared" si="81"/>
        <v>99322.55</v>
      </c>
      <c r="N28" s="168">
        <f t="shared" si="81"/>
        <v>1650.5149999999999</v>
      </c>
      <c r="O28" s="168">
        <f t="shared" si="81"/>
        <v>100060.66499999999</v>
      </c>
      <c r="P28" s="168">
        <f t="shared" si="81"/>
        <v>82231.19</v>
      </c>
      <c r="Q28" s="168">
        <f t="shared" si="81"/>
        <v>17829.474999999999</v>
      </c>
      <c r="R28" s="168">
        <f t="shared" si="81"/>
        <v>2.4055999999999997</v>
      </c>
      <c r="S28" s="168">
        <f t="shared" si="81"/>
        <v>3130.2150319999996</v>
      </c>
      <c r="T28" s="168">
        <f t="shared" si="81"/>
        <v>7779.4499999999989</v>
      </c>
      <c r="U28" s="168">
        <f t="shared" si="81"/>
        <v>10909.665031999999</v>
      </c>
      <c r="V28" s="168">
        <f t="shared" si="81"/>
        <v>188.7</v>
      </c>
      <c r="W28" s="168">
        <f t="shared" si="81"/>
        <v>10720.98</v>
      </c>
      <c r="X28" s="167">
        <f t="shared" si="81"/>
        <v>0</v>
      </c>
      <c r="Y28" s="167">
        <f t="shared" si="81"/>
        <v>10792.789999999999</v>
      </c>
      <c r="Z28" s="167">
        <f t="shared" si="81"/>
        <v>0</v>
      </c>
      <c r="AA28" s="167">
        <f t="shared" si="81"/>
        <v>10792.789999999999</v>
      </c>
      <c r="AB28" s="167">
        <f t="shared" si="81"/>
        <v>90918.389999999985</v>
      </c>
      <c r="AC28" s="111"/>
    </row>
    <row r="29" spans="1:35" s="51" customFormat="1" ht="39" customHeight="1" thickTop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6"/>
      <c r="L29" s="106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6"/>
      <c r="Y29" s="106"/>
      <c r="Z29" s="106"/>
      <c r="AA29" s="106"/>
      <c r="AB29" s="106"/>
    </row>
  </sheetData>
  <mergeCells count="11">
    <mergeCell ref="A28:J28"/>
    <mergeCell ref="C5:C7"/>
    <mergeCell ref="A1:AC1"/>
    <mergeCell ref="A2:AC2"/>
    <mergeCell ref="A3:AC3"/>
    <mergeCell ref="K5:M5"/>
    <mergeCell ref="P5:U5"/>
    <mergeCell ref="Y5:AA5"/>
    <mergeCell ref="B17:AD17"/>
    <mergeCell ref="B18:AD18"/>
    <mergeCell ref="B19:AD19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G27 D15:F16 G21:G25 G16 D21:E27 F21:F24 F26:F27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B29" zoomScale="69" zoomScaleNormal="69" workbookViewId="0">
      <selection activeCell="B39" sqref="A39:XFD43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24.5546875" customWidth="1"/>
    <col min="6" max="6" width="32.88671875" customWidth="1"/>
    <col min="7" max="7" width="15.44140625" customWidth="1"/>
    <col min="8" max="8" width="23.88671875" customWidth="1"/>
    <col min="9" max="9" width="7.88671875" hidden="1" customWidth="1"/>
    <col min="10" max="10" width="2.5546875" hidden="1" customWidth="1"/>
    <col min="11" max="11" width="14" customWidth="1"/>
    <col min="12" max="12" width="13.33203125" customWidth="1"/>
    <col min="13" max="13" width="13.6640625" customWidth="1"/>
    <col min="14" max="14" width="13.109375" hidden="1" customWidth="1"/>
    <col min="15" max="16" width="13" hidden="1" customWidth="1"/>
    <col min="17" max="17" width="14.5546875" hidden="1" customWidth="1"/>
    <col min="18" max="19" width="13.109375" hidden="1" customWidth="1"/>
    <col min="20" max="20" width="10.5546875" hidden="1" customWidth="1"/>
    <col min="21" max="21" width="10.44140625" hidden="1" customWidth="1"/>
    <col min="22" max="22" width="13.109375" hidden="1" customWidth="1"/>
    <col min="23" max="23" width="11.5546875" hidden="1" customWidth="1"/>
    <col min="24" max="24" width="9.6640625" customWidth="1"/>
    <col min="25" max="25" width="13.44140625" customWidth="1"/>
    <col min="26" max="26" width="13.109375" customWidth="1"/>
    <col min="27" max="27" width="13" customWidth="1"/>
    <col min="28" max="28" width="13.5546875" customWidth="1"/>
    <col min="29" max="29" width="47.3320312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s="51" customFormat="1" ht="12" x14ac:dyDescent="0.25">
      <c r="A5" s="47"/>
      <c r="B5" s="47"/>
      <c r="C5" s="47"/>
      <c r="D5" s="47"/>
      <c r="E5" s="47"/>
      <c r="F5" s="47"/>
      <c r="G5" s="47"/>
      <c r="H5" s="47"/>
      <c r="I5" s="48" t="s">
        <v>22</v>
      </c>
      <c r="J5" s="48" t="s">
        <v>5</v>
      </c>
      <c r="K5" s="329" t="s">
        <v>1</v>
      </c>
      <c r="L5" s="330"/>
      <c r="M5" s="331"/>
      <c r="N5" s="49" t="s">
        <v>25</v>
      </c>
      <c r="O5" s="50"/>
      <c r="P5" s="332" t="s">
        <v>8</v>
      </c>
      <c r="Q5" s="333"/>
      <c r="R5" s="333"/>
      <c r="S5" s="333"/>
      <c r="T5" s="333"/>
      <c r="U5" s="334"/>
      <c r="V5" s="49" t="s">
        <v>29</v>
      </c>
      <c r="W5" s="49" t="s">
        <v>9</v>
      </c>
      <c r="X5" s="48" t="s">
        <v>52</v>
      </c>
      <c r="Y5" s="335" t="s">
        <v>2</v>
      </c>
      <c r="Z5" s="336"/>
      <c r="AA5" s="337"/>
      <c r="AB5" s="48" t="s">
        <v>0</v>
      </c>
      <c r="AC5" s="47"/>
    </row>
    <row r="6" spans="1:29" s="51" customFormat="1" ht="24" x14ac:dyDescent="0.25">
      <c r="A6" s="52" t="s">
        <v>108</v>
      </c>
      <c r="B6" s="46" t="s">
        <v>101</v>
      </c>
      <c r="C6" s="46" t="s">
        <v>133</v>
      </c>
      <c r="D6" s="52" t="s">
        <v>21</v>
      </c>
      <c r="E6" s="52"/>
      <c r="F6" s="52"/>
      <c r="G6" s="52"/>
      <c r="H6" s="52"/>
      <c r="I6" s="53" t="s">
        <v>23</v>
      </c>
      <c r="J6" s="52" t="s">
        <v>24</v>
      </c>
      <c r="K6" s="48" t="s">
        <v>5</v>
      </c>
      <c r="L6" s="48" t="s">
        <v>58</v>
      </c>
      <c r="M6" s="48" t="s">
        <v>27</v>
      </c>
      <c r="N6" s="54" t="s">
        <v>26</v>
      </c>
      <c r="O6" s="50" t="s">
        <v>31</v>
      </c>
      <c r="P6" s="50" t="s">
        <v>11</v>
      </c>
      <c r="Q6" s="50" t="s">
        <v>33</v>
      </c>
      <c r="R6" s="50" t="s">
        <v>35</v>
      </c>
      <c r="S6" s="50" t="s">
        <v>36</v>
      </c>
      <c r="T6" s="85" t="s">
        <v>13</v>
      </c>
      <c r="U6" s="50" t="s">
        <v>9</v>
      </c>
      <c r="V6" s="54" t="s">
        <v>39</v>
      </c>
      <c r="W6" s="54" t="s">
        <v>40</v>
      </c>
      <c r="X6" s="52" t="s">
        <v>30</v>
      </c>
      <c r="Y6" s="48" t="s">
        <v>433</v>
      </c>
      <c r="Z6" s="48" t="s">
        <v>56</v>
      </c>
      <c r="AA6" s="48" t="s">
        <v>6</v>
      </c>
      <c r="AB6" s="52" t="s">
        <v>3</v>
      </c>
      <c r="AC6" s="52" t="s">
        <v>57</v>
      </c>
    </row>
    <row r="7" spans="1:29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 t="s">
        <v>46</v>
      </c>
      <c r="L7" s="52" t="s">
        <v>59</v>
      </c>
      <c r="M7" s="52" t="s">
        <v>28</v>
      </c>
      <c r="N7" s="54" t="s">
        <v>42</v>
      </c>
      <c r="O7" s="49" t="s">
        <v>32</v>
      </c>
      <c r="P7" s="49" t="s">
        <v>12</v>
      </c>
      <c r="Q7" s="49" t="s">
        <v>34</v>
      </c>
      <c r="R7" s="49" t="s">
        <v>34</v>
      </c>
      <c r="S7" s="49" t="s">
        <v>37</v>
      </c>
      <c r="T7" s="86" t="s">
        <v>14</v>
      </c>
      <c r="U7" s="49" t="s">
        <v>38</v>
      </c>
      <c r="V7" s="54" t="s">
        <v>18</v>
      </c>
      <c r="W7" s="55" t="s">
        <v>134</v>
      </c>
      <c r="X7" s="52" t="s">
        <v>51</v>
      </c>
      <c r="Y7" s="52"/>
      <c r="Z7" s="52"/>
      <c r="AA7" s="52" t="s">
        <v>43</v>
      </c>
      <c r="AB7" s="52" t="s">
        <v>4</v>
      </c>
      <c r="AC7" s="56"/>
    </row>
    <row r="8" spans="1:29" s="4" customFormat="1" ht="39.75" customHeight="1" x14ac:dyDescent="0.3">
      <c r="A8" s="97"/>
      <c r="B8" s="116"/>
      <c r="C8" s="116"/>
      <c r="D8" s="116" t="s">
        <v>69</v>
      </c>
      <c r="E8" s="116" t="s">
        <v>102</v>
      </c>
      <c r="F8" s="116" t="s">
        <v>326</v>
      </c>
      <c r="G8" s="135" t="s">
        <v>468</v>
      </c>
      <c r="H8" s="116" t="s">
        <v>61</v>
      </c>
      <c r="I8" s="116"/>
      <c r="J8" s="116"/>
      <c r="K8" s="117">
        <f>SUM(K9:K20)</f>
        <v>46735</v>
      </c>
      <c r="L8" s="117">
        <f>SUM(L9:L20)</f>
        <v>0</v>
      </c>
      <c r="M8" s="117">
        <f>SUM(M9:M20)</f>
        <v>46735</v>
      </c>
      <c r="N8" s="116"/>
      <c r="O8" s="116"/>
      <c r="P8" s="116"/>
      <c r="Q8" s="116"/>
      <c r="R8" s="116"/>
      <c r="S8" s="116"/>
      <c r="T8" s="118"/>
      <c r="U8" s="116"/>
      <c r="V8" s="116"/>
      <c r="W8" s="116"/>
      <c r="X8" s="117">
        <f>SUM(X9:X20)</f>
        <v>49.98</v>
      </c>
      <c r="Y8" s="117">
        <f>SUM(Y9:Y20)</f>
        <v>2660.41</v>
      </c>
      <c r="Z8" s="117">
        <f>SUM(Z9:Z20)</f>
        <v>800</v>
      </c>
      <c r="AA8" s="117">
        <f>SUM(AA9:AA20)</f>
        <v>3460.41</v>
      </c>
      <c r="AB8" s="117">
        <f>SUM(AB9:AB20)</f>
        <v>43324.569999999985</v>
      </c>
      <c r="AC8" s="98"/>
    </row>
    <row r="9" spans="1:29" s="4" customFormat="1" ht="77.25" customHeight="1" x14ac:dyDescent="0.35">
      <c r="A9" s="43"/>
      <c r="B9" s="153" t="s">
        <v>205</v>
      </c>
      <c r="C9" s="153" t="s">
        <v>124</v>
      </c>
      <c r="D9" s="227" t="s">
        <v>194</v>
      </c>
      <c r="E9" s="154" t="s">
        <v>200</v>
      </c>
      <c r="F9" s="154" t="s">
        <v>357</v>
      </c>
      <c r="G9" s="232">
        <v>43512</v>
      </c>
      <c r="H9" s="155" t="s">
        <v>193</v>
      </c>
      <c r="I9" s="156">
        <v>15</v>
      </c>
      <c r="J9" s="157">
        <f>K9/I9</f>
        <v>265.66666666666669</v>
      </c>
      <c r="K9" s="158">
        <v>3985</v>
      </c>
      <c r="L9" s="159">
        <v>0</v>
      </c>
      <c r="M9" s="160">
        <f t="shared" ref="M9" si="0">SUM(K9:L9)</f>
        <v>3985</v>
      </c>
      <c r="N9" s="161">
        <f t="shared" ref="N9:N13" si="1">IF(K9/15&lt;=SMG,0,L9/2)</f>
        <v>0</v>
      </c>
      <c r="O9" s="161">
        <f>K9+N9</f>
        <v>3985</v>
      </c>
      <c r="P9" s="161">
        <f t="shared" ref="P9:P20" si="2">VLOOKUP(O9,Tarifa1,1)</f>
        <v>3124.36</v>
      </c>
      <c r="Q9" s="161">
        <f>O9-P9</f>
        <v>860.63999999999987</v>
      </c>
      <c r="R9" s="162">
        <f t="shared" ref="R9:R20" si="3">VLOOKUP(O9,Tarifa1,3)</f>
        <v>0.10879999999999999</v>
      </c>
      <c r="S9" s="161">
        <f>Q9*R9</f>
        <v>93.637631999999982</v>
      </c>
      <c r="T9" s="163">
        <f t="shared" ref="T9:T20" si="4">VLOOKUP(O9,Tarifa1,2)</f>
        <v>183.45</v>
      </c>
      <c r="U9" s="161">
        <f>S9+T9</f>
        <v>277.08763199999999</v>
      </c>
      <c r="V9" s="161">
        <f t="shared" ref="V9:V20" si="5">VLOOKUP(O9,Credito1,2)</f>
        <v>0</v>
      </c>
      <c r="W9" s="161">
        <f>ROUND(U9-V9,2)</f>
        <v>277.08999999999997</v>
      </c>
      <c r="X9" s="160">
        <f>-IF(W9&gt;0,0,W9)</f>
        <v>0</v>
      </c>
      <c r="Y9" s="160">
        <f t="shared" ref="Y9:Y20" si="6">IF(K9/15&lt;=SMG,0,IF(W9&lt;0,0,W9))</f>
        <v>277.08999999999997</v>
      </c>
      <c r="Z9" s="164">
        <v>0</v>
      </c>
      <c r="AA9" s="160">
        <f t="shared" ref="AA9" si="7">SUM(Y9:Z9)</f>
        <v>277.08999999999997</v>
      </c>
      <c r="AB9" s="160">
        <f t="shared" ref="AB9" si="8">M9+X9-AA9</f>
        <v>3707.91</v>
      </c>
      <c r="AC9" s="89"/>
    </row>
    <row r="10" spans="1:29" s="4" customFormat="1" ht="77.25" customHeight="1" x14ac:dyDescent="0.35">
      <c r="A10" s="43"/>
      <c r="B10" s="153" t="s">
        <v>104</v>
      </c>
      <c r="C10" s="153" t="s">
        <v>124</v>
      </c>
      <c r="D10" s="227" t="s">
        <v>70</v>
      </c>
      <c r="E10" s="154" t="s">
        <v>106</v>
      </c>
      <c r="F10" s="154" t="s">
        <v>332</v>
      </c>
      <c r="G10" s="232">
        <v>39448</v>
      </c>
      <c r="H10" s="155" t="s">
        <v>71</v>
      </c>
      <c r="I10" s="156">
        <v>15</v>
      </c>
      <c r="J10" s="157">
        <f>K10/I10</f>
        <v>265.66666666666669</v>
      </c>
      <c r="K10" s="158">
        <v>3985</v>
      </c>
      <c r="L10" s="159">
        <v>0</v>
      </c>
      <c r="M10" s="160">
        <f t="shared" ref="M10" si="9">SUM(K10:L10)</f>
        <v>3985</v>
      </c>
      <c r="N10" s="161">
        <f t="shared" si="1"/>
        <v>0</v>
      </c>
      <c r="O10" s="161">
        <f t="shared" ref="O10:O20" si="10">K10+N10</f>
        <v>3985</v>
      </c>
      <c r="P10" s="161">
        <f t="shared" si="2"/>
        <v>3124.36</v>
      </c>
      <c r="Q10" s="161">
        <f t="shared" ref="Q10:Q20" si="11">O10-P10</f>
        <v>860.63999999999987</v>
      </c>
      <c r="R10" s="162">
        <f t="shared" si="3"/>
        <v>0.10879999999999999</v>
      </c>
      <c r="S10" s="161">
        <f t="shared" ref="S10:S20" si="12">Q10*R10</f>
        <v>93.637631999999982</v>
      </c>
      <c r="T10" s="163">
        <f t="shared" si="4"/>
        <v>183.45</v>
      </c>
      <c r="U10" s="161">
        <f t="shared" ref="U10:U20" si="13">S10+T10</f>
        <v>277.08763199999999</v>
      </c>
      <c r="V10" s="161">
        <f t="shared" si="5"/>
        <v>0</v>
      </c>
      <c r="W10" s="161">
        <f t="shared" ref="W10:W20" si="14">ROUND(U10-V10,2)</f>
        <v>277.08999999999997</v>
      </c>
      <c r="X10" s="160">
        <f t="shared" ref="X10:X20" si="15">-IF(W10&gt;0,0,W10)</f>
        <v>0</v>
      </c>
      <c r="Y10" s="160">
        <f t="shared" si="6"/>
        <v>277.08999999999997</v>
      </c>
      <c r="Z10" s="164">
        <v>0</v>
      </c>
      <c r="AA10" s="160">
        <f t="shared" ref="AA10:AA11" si="16">SUM(Y10:Z10)</f>
        <v>277.08999999999997</v>
      </c>
      <c r="AB10" s="160">
        <f t="shared" ref="AB10:AB11" si="17">M10+X10-AA10</f>
        <v>3707.91</v>
      </c>
      <c r="AC10" s="89"/>
    </row>
    <row r="11" spans="1:29" s="4" customFormat="1" ht="77.25" customHeight="1" x14ac:dyDescent="0.35">
      <c r="A11" s="43"/>
      <c r="B11" s="153" t="s">
        <v>400</v>
      </c>
      <c r="C11" s="153" t="s">
        <v>124</v>
      </c>
      <c r="D11" s="227" t="s">
        <v>406</v>
      </c>
      <c r="E11" s="110" t="s">
        <v>408</v>
      </c>
      <c r="F11" s="110" t="s">
        <v>409</v>
      </c>
      <c r="G11" s="238">
        <v>44743</v>
      </c>
      <c r="H11" s="155" t="s">
        <v>193</v>
      </c>
      <c r="I11" s="156">
        <v>15</v>
      </c>
      <c r="J11" s="157"/>
      <c r="K11" s="158">
        <v>3985</v>
      </c>
      <c r="L11" s="159">
        <v>0</v>
      </c>
      <c r="M11" s="160">
        <f t="shared" ref="M11" si="18">SUM(K11:L11)</f>
        <v>3985</v>
      </c>
      <c r="N11" s="161">
        <f t="shared" si="1"/>
        <v>0</v>
      </c>
      <c r="O11" s="161">
        <f t="shared" si="10"/>
        <v>3985</v>
      </c>
      <c r="P11" s="161">
        <f t="shared" si="2"/>
        <v>3124.36</v>
      </c>
      <c r="Q11" s="161">
        <f t="shared" si="11"/>
        <v>860.63999999999987</v>
      </c>
      <c r="R11" s="162">
        <f t="shared" si="3"/>
        <v>0.10879999999999999</v>
      </c>
      <c r="S11" s="161">
        <f t="shared" si="12"/>
        <v>93.637631999999982</v>
      </c>
      <c r="T11" s="163">
        <f t="shared" si="4"/>
        <v>183.45</v>
      </c>
      <c r="U11" s="161">
        <f t="shared" si="13"/>
        <v>277.08763199999999</v>
      </c>
      <c r="V11" s="161">
        <f t="shared" si="5"/>
        <v>0</v>
      </c>
      <c r="W11" s="161">
        <f t="shared" si="14"/>
        <v>277.08999999999997</v>
      </c>
      <c r="X11" s="160">
        <f t="shared" si="15"/>
        <v>0</v>
      </c>
      <c r="Y11" s="160">
        <f t="shared" si="6"/>
        <v>277.08999999999997</v>
      </c>
      <c r="Z11" s="164">
        <v>0</v>
      </c>
      <c r="AA11" s="160">
        <f t="shared" si="16"/>
        <v>277.08999999999997</v>
      </c>
      <c r="AB11" s="160">
        <f t="shared" si="17"/>
        <v>3707.91</v>
      </c>
      <c r="AC11" s="89"/>
    </row>
    <row r="12" spans="1:29" s="4" customFormat="1" ht="77.25" customHeight="1" x14ac:dyDescent="0.35">
      <c r="A12" s="43"/>
      <c r="B12" s="153" t="s">
        <v>141</v>
      </c>
      <c r="C12" s="153" t="s">
        <v>124</v>
      </c>
      <c r="D12" s="229" t="s">
        <v>140</v>
      </c>
      <c r="E12" s="170" t="s">
        <v>142</v>
      </c>
      <c r="F12" s="170" t="s">
        <v>338</v>
      </c>
      <c r="G12" s="236">
        <v>42948</v>
      </c>
      <c r="H12" s="155" t="s">
        <v>103</v>
      </c>
      <c r="I12" s="156">
        <v>15</v>
      </c>
      <c r="J12" s="157">
        <f>K12/I12</f>
        <v>297.8</v>
      </c>
      <c r="K12" s="158">
        <v>4467</v>
      </c>
      <c r="L12" s="159">
        <v>0</v>
      </c>
      <c r="M12" s="160">
        <f>SUM(K12:L12)</f>
        <v>4467</v>
      </c>
      <c r="N12" s="161">
        <f t="shared" si="1"/>
        <v>0</v>
      </c>
      <c r="O12" s="161">
        <f t="shared" si="10"/>
        <v>4467</v>
      </c>
      <c r="P12" s="161">
        <f t="shared" si="2"/>
        <v>3124.36</v>
      </c>
      <c r="Q12" s="161">
        <f t="shared" si="11"/>
        <v>1342.6399999999999</v>
      </c>
      <c r="R12" s="162">
        <f t="shared" si="3"/>
        <v>0.10879999999999999</v>
      </c>
      <c r="S12" s="161">
        <f t="shared" si="12"/>
        <v>146.07923199999999</v>
      </c>
      <c r="T12" s="163">
        <f t="shared" si="4"/>
        <v>183.45</v>
      </c>
      <c r="U12" s="161">
        <f t="shared" si="13"/>
        <v>329.52923199999998</v>
      </c>
      <c r="V12" s="161">
        <f t="shared" si="5"/>
        <v>0</v>
      </c>
      <c r="W12" s="161">
        <f t="shared" si="14"/>
        <v>329.53</v>
      </c>
      <c r="X12" s="160">
        <f t="shared" si="15"/>
        <v>0</v>
      </c>
      <c r="Y12" s="160">
        <f t="shared" si="6"/>
        <v>329.53</v>
      </c>
      <c r="Z12" s="164">
        <v>0</v>
      </c>
      <c r="AA12" s="160">
        <f>SUM(Y12:Z12)</f>
        <v>329.53</v>
      </c>
      <c r="AB12" s="160">
        <f>M12+X12-AA12</f>
        <v>4137.47</v>
      </c>
      <c r="AC12" s="89"/>
    </row>
    <row r="13" spans="1:29" s="4" customFormat="1" ht="77.25" customHeight="1" x14ac:dyDescent="0.35">
      <c r="A13" s="43"/>
      <c r="B13" s="153" t="s">
        <v>218</v>
      </c>
      <c r="C13" s="153" t="s">
        <v>124</v>
      </c>
      <c r="D13" s="229" t="s">
        <v>219</v>
      </c>
      <c r="E13" s="170" t="s">
        <v>220</v>
      </c>
      <c r="F13" s="170" t="s">
        <v>361</v>
      </c>
      <c r="G13" s="236">
        <v>43709</v>
      </c>
      <c r="H13" s="155" t="s">
        <v>308</v>
      </c>
      <c r="I13" s="156">
        <v>15</v>
      </c>
      <c r="J13" s="157"/>
      <c r="K13" s="158">
        <v>3403</v>
      </c>
      <c r="L13" s="159">
        <v>0</v>
      </c>
      <c r="M13" s="160">
        <f t="shared" ref="M13" si="19">SUM(K13:L13)</f>
        <v>3403</v>
      </c>
      <c r="N13" s="161">
        <f t="shared" si="1"/>
        <v>0</v>
      </c>
      <c r="O13" s="161">
        <f t="shared" si="10"/>
        <v>3403</v>
      </c>
      <c r="P13" s="161">
        <f t="shared" si="2"/>
        <v>3124.36</v>
      </c>
      <c r="Q13" s="161">
        <f t="shared" si="11"/>
        <v>278.63999999999987</v>
      </c>
      <c r="R13" s="162">
        <f t="shared" si="3"/>
        <v>0.10879999999999999</v>
      </c>
      <c r="S13" s="161">
        <f t="shared" si="12"/>
        <v>30.316031999999986</v>
      </c>
      <c r="T13" s="163">
        <f t="shared" si="4"/>
        <v>183.45</v>
      </c>
      <c r="U13" s="161">
        <f t="shared" si="13"/>
        <v>213.76603199999997</v>
      </c>
      <c r="V13" s="161">
        <f t="shared" si="5"/>
        <v>125.1</v>
      </c>
      <c r="W13" s="161">
        <f t="shared" si="14"/>
        <v>88.67</v>
      </c>
      <c r="X13" s="160">
        <f t="shared" si="15"/>
        <v>0</v>
      </c>
      <c r="Y13" s="160">
        <f t="shared" si="6"/>
        <v>88.67</v>
      </c>
      <c r="Z13" s="164">
        <v>0</v>
      </c>
      <c r="AA13" s="160">
        <f t="shared" ref="AA13:AA16" si="20">SUM(Y13:Z13)</f>
        <v>88.67</v>
      </c>
      <c r="AB13" s="160">
        <f t="shared" ref="AB13" si="21">M13+X13-AA13</f>
        <v>3314.33</v>
      </c>
      <c r="AC13" s="89"/>
    </row>
    <row r="14" spans="1:29" s="4" customFormat="1" ht="77.25" customHeight="1" x14ac:dyDescent="0.35">
      <c r="A14" s="43"/>
      <c r="B14" s="153" t="s">
        <v>309</v>
      </c>
      <c r="C14" s="153" t="s">
        <v>124</v>
      </c>
      <c r="D14" s="229" t="s">
        <v>311</v>
      </c>
      <c r="E14" s="170" t="s">
        <v>404</v>
      </c>
      <c r="F14" s="170" t="s">
        <v>382</v>
      </c>
      <c r="G14" s="236">
        <v>44470</v>
      </c>
      <c r="H14" s="155" t="s">
        <v>310</v>
      </c>
      <c r="I14" s="156">
        <v>15</v>
      </c>
      <c r="J14" s="157"/>
      <c r="K14" s="158">
        <v>2373</v>
      </c>
      <c r="L14" s="159">
        <v>0</v>
      </c>
      <c r="M14" s="160">
        <f>SUM(K14:L14)</f>
        <v>2373</v>
      </c>
      <c r="N14" s="161">
        <f>IF(K14/15&lt;=SMG,0,L14/2)</f>
        <v>0</v>
      </c>
      <c r="O14" s="161">
        <f t="shared" si="10"/>
        <v>2373</v>
      </c>
      <c r="P14" s="161">
        <f t="shared" si="2"/>
        <v>368.11</v>
      </c>
      <c r="Q14" s="161">
        <f t="shared" si="11"/>
        <v>2004.8899999999999</v>
      </c>
      <c r="R14" s="162">
        <f t="shared" si="3"/>
        <v>6.4000000000000001E-2</v>
      </c>
      <c r="S14" s="161">
        <f t="shared" si="12"/>
        <v>128.31296</v>
      </c>
      <c r="T14" s="163">
        <f t="shared" si="4"/>
        <v>7.05</v>
      </c>
      <c r="U14" s="161">
        <f t="shared" si="13"/>
        <v>135.36296000000002</v>
      </c>
      <c r="V14" s="161">
        <f t="shared" si="5"/>
        <v>160.35</v>
      </c>
      <c r="W14" s="161">
        <f t="shared" si="14"/>
        <v>-24.99</v>
      </c>
      <c r="X14" s="160">
        <f t="shared" si="15"/>
        <v>24.99</v>
      </c>
      <c r="Y14" s="160">
        <f t="shared" si="6"/>
        <v>0</v>
      </c>
      <c r="Z14" s="222">
        <v>0</v>
      </c>
      <c r="AA14" s="160">
        <f t="shared" si="20"/>
        <v>0</v>
      </c>
      <c r="AB14" s="160">
        <f>M14+X14-AA14</f>
        <v>2397.9899999999998</v>
      </c>
      <c r="AC14" s="89"/>
    </row>
    <row r="15" spans="1:29" s="4" customFormat="1" ht="77.25" customHeight="1" x14ac:dyDescent="0.35">
      <c r="A15" s="43"/>
      <c r="B15" s="153" t="s">
        <v>442</v>
      </c>
      <c r="C15" s="153" t="s">
        <v>124</v>
      </c>
      <c r="D15" s="229" t="s">
        <v>443</v>
      </c>
      <c r="E15" s="170" t="s">
        <v>444</v>
      </c>
      <c r="F15" s="170" t="s">
        <v>445</v>
      </c>
      <c r="G15" s="236">
        <v>44973</v>
      </c>
      <c r="H15" s="155" t="s">
        <v>446</v>
      </c>
      <c r="I15" s="156"/>
      <c r="J15" s="157"/>
      <c r="K15" s="158">
        <v>2373</v>
      </c>
      <c r="L15" s="159">
        <v>0</v>
      </c>
      <c r="M15" s="160">
        <f>SUM(K15:L15)</f>
        <v>2373</v>
      </c>
      <c r="N15" s="161">
        <f>IF(K15/15&lt;=SMG,0,L15/2)</f>
        <v>0</v>
      </c>
      <c r="O15" s="161">
        <f t="shared" ref="O15" si="22">K15+N15</f>
        <v>2373</v>
      </c>
      <c r="P15" s="161">
        <f t="shared" ref="P15" si="23">VLOOKUP(O15,Tarifa1,1)</f>
        <v>368.11</v>
      </c>
      <c r="Q15" s="161">
        <f t="shared" ref="Q15" si="24">O15-P15</f>
        <v>2004.8899999999999</v>
      </c>
      <c r="R15" s="162">
        <f t="shared" ref="R15" si="25">VLOOKUP(O15,Tarifa1,3)</f>
        <v>6.4000000000000001E-2</v>
      </c>
      <c r="S15" s="161">
        <f t="shared" ref="S15" si="26">Q15*R15</f>
        <v>128.31296</v>
      </c>
      <c r="T15" s="163">
        <f t="shared" ref="T15" si="27">VLOOKUP(O15,Tarifa1,2)</f>
        <v>7.05</v>
      </c>
      <c r="U15" s="161">
        <f t="shared" ref="U15" si="28">S15+T15</f>
        <v>135.36296000000002</v>
      </c>
      <c r="V15" s="161">
        <f t="shared" ref="V15" si="29">VLOOKUP(O15,Credito1,2)</f>
        <v>160.35</v>
      </c>
      <c r="W15" s="161">
        <f t="shared" ref="W15" si="30">ROUND(U15-V15,2)</f>
        <v>-24.99</v>
      </c>
      <c r="X15" s="160">
        <f t="shared" ref="X15" si="31">-IF(W15&gt;0,0,W15)</f>
        <v>24.99</v>
      </c>
      <c r="Y15" s="160">
        <f t="shared" ref="Y15" si="32">IF(K15/15&lt;=SMG,0,IF(W15&lt;0,0,W15))</f>
        <v>0</v>
      </c>
      <c r="Z15" s="222">
        <v>0</v>
      </c>
      <c r="AA15" s="160">
        <f t="shared" ref="AA15" si="33">SUM(Y15:Z15)</f>
        <v>0</v>
      </c>
      <c r="AB15" s="160">
        <f>M15+X15-AA15</f>
        <v>2397.9899999999998</v>
      </c>
      <c r="AC15" s="89"/>
    </row>
    <row r="16" spans="1:29" s="4" customFormat="1" ht="77.25" customHeight="1" x14ac:dyDescent="0.35">
      <c r="A16" s="43"/>
      <c r="B16" s="152" t="s">
        <v>261</v>
      </c>
      <c r="C16" s="153" t="s">
        <v>124</v>
      </c>
      <c r="D16" s="227" t="s">
        <v>292</v>
      </c>
      <c r="E16" s="154" t="s">
        <v>293</v>
      </c>
      <c r="F16" s="154" t="s">
        <v>369</v>
      </c>
      <c r="G16" s="232">
        <v>44470</v>
      </c>
      <c r="H16" s="154" t="s">
        <v>72</v>
      </c>
      <c r="I16" s="156">
        <v>15</v>
      </c>
      <c r="J16" s="157">
        <f>K16/I16</f>
        <v>497.6</v>
      </c>
      <c r="K16" s="158">
        <v>7464</v>
      </c>
      <c r="L16" s="159">
        <v>0</v>
      </c>
      <c r="M16" s="160">
        <f t="shared" ref="M16" si="34">SUM(K16:L16)</f>
        <v>7464</v>
      </c>
      <c r="N16" s="161">
        <f t="shared" ref="N16" si="35">IF(K16/15&lt;=SMG,0,L16/2)</f>
        <v>0</v>
      </c>
      <c r="O16" s="161">
        <f t="shared" si="10"/>
        <v>7464</v>
      </c>
      <c r="P16" s="161">
        <f t="shared" si="2"/>
        <v>6382.81</v>
      </c>
      <c r="Q16" s="161">
        <f t="shared" si="11"/>
        <v>1081.1899999999996</v>
      </c>
      <c r="R16" s="162">
        <f t="shared" si="3"/>
        <v>0.1792</v>
      </c>
      <c r="S16" s="161">
        <f t="shared" si="12"/>
        <v>193.74924799999994</v>
      </c>
      <c r="T16" s="163">
        <f t="shared" si="4"/>
        <v>583.65</v>
      </c>
      <c r="U16" s="161">
        <f t="shared" si="13"/>
        <v>777.39924799999994</v>
      </c>
      <c r="V16" s="161">
        <f t="shared" si="5"/>
        <v>0</v>
      </c>
      <c r="W16" s="161">
        <f t="shared" si="14"/>
        <v>777.4</v>
      </c>
      <c r="X16" s="160">
        <f t="shared" si="15"/>
        <v>0</v>
      </c>
      <c r="Y16" s="160">
        <f t="shared" si="6"/>
        <v>777.4</v>
      </c>
      <c r="Z16" s="164">
        <v>0</v>
      </c>
      <c r="AA16" s="160">
        <f t="shared" si="20"/>
        <v>777.4</v>
      </c>
      <c r="AB16" s="160">
        <f t="shared" ref="AB16" si="36">M16+X16-AA16</f>
        <v>6686.6</v>
      </c>
      <c r="AC16" s="89"/>
    </row>
    <row r="17" spans="1:35" s="4" customFormat="1" ht="77.25" customHeight="1" x14ac:dyDescent="0.35">
      <c r="A17" s="43"/>
      <c r="B17" s="152" t="s">
        <v>262</v>
      </c>
      <c r="C17" s="153" t="s">
        <v>124</v>
      </c>
      <c r="D17" s="227" t="s">
        <v>290</v>
      </c>
      <c r="E17" s="154" t="s">
        <v>291</v>
      </c>
      <c r="F17" s="154" t="s">
        <v>370</v>
      </c>
      <c r="G17" s="232">
        <v>44473</v>
      </c>
      <c r="H17" s="155" t="s">
        <v>192</v>
      </c>
      <c r="I17" s="156">
        <v>15</v>
      </c>
      <c r="J17" s="157"/>
      <c r="K17" s="158">
        <v>4241</v>
      </c>
      <c r="L17" s="159">
        <v>0</v>
      </c>
      <c r="M17" s="160">
        <f>SUM(K17:L17)</f>
        <v>4241</v>
      </c>
      <c r="N17" s="161">
        <f>IF(K17/15&lt;=SMG,0,L17/2)</f>
        <v>0</v>
      </c>
      <c r="O17" s="161">
        <f t="shared" si="10"/>
        <v>4241</v>
      </c>
      <c r="P17" s="161">
        <f t="shared" si="2"/>
        <v>3124.36</v>
      </c>
      <c r="Q17" s="161">
        <f t="shared" si="11"/>
        <v>1116.6399999999999</v>
      </c>
      <c r="R17" s="162">
        <f t="shared" si="3"/>
        <v>0.10879999999999999</v>
      </c>
      <c r="S17" s="161">
        <f t="shared" si="12"/>
        <v>121.49043199999998</v>
      </c>
      <c r="T17" s="163">
        <f t="shared" si="4"/>
        <v>183.45</v>
      </c>
      <c r="U17" s="161">
        <f t="shared" si="13"/>
        <v>304.94043199999999</v>
      </c>
      <c r="V17" s="161">
        <f t="shared" si="5"/>
        <v>0</v>
      </c>
      <c r="W17" s="161">
        <f t="shared" si="14"/>
        <v>304.94</v>
      </c>
      <c r="X17" s="160">
        <f t="shared" si="15"/>
        <v>0</v>
      </c>
      <c r="Y17" s="160">
        <f t="shared" si="6"/>
        <v>304.94</v>
      </c>
      <c r="Z17" s="164">
        <v>800</v>
      </c>
      <c r="AA17" s="160">
        <f>SUM(Y17:Z17)</f>
        <v>1104.94</v>
      </c>
      <c r="AB17" s="160">
        <f>M17+X17-AA17</f>
        <v>3136.06</v>
      </c>
      <c r="AC17" s="89"/>
    </row>
    <row r="18" spans="1:35" s="4" customFormat="1" ht="77.25" customHeight="1" x14ac:dyDescent="0.35">
      <c r="A18" s="112"/>
      <c r="B18" s="152" t="s">
        <v>227</v>
      </c>
      <c r="C18" s="153" t="s">
        <v>124</v>
      </c>
      <c r="D18" s="227" t="s">
        <v>81</v>
      </c>
      <c r="E18" s="154" t="s">
        <v>113</v>
      </c>
      <c r="F18" s="154" t="s">
        <v>330</v>
      </c>
      <c r="G18" s="232">
        <v>41410</v>
      </c>
      <c r="H18" s="155" t="s">
        <v>212</v>
      </c>
      <c r="I18" s="156">
        <v>15</v>
      </c>
      <c r="J18" s="157">
        <f>K18/I18</f>
        <v>214.73333333333332</v>
      </c>
      <c r="K18" s="158">
        <v>3221</v>
      </c>
      <c r="L18" s="159">
        <v>0</v>
      </c>
      <c r="M18" s="160">
        <f>SUM(K18:L18)</f>
        <v>3221</v>
      </c>
      <c r="N18" s="161">
        <f>IF(K18/15&lt;=SMG,0,L18/2)</f>
        <v>0</v>
      </c>
      <c r="O18" s="161">
        <f t="shared" si="10"/>
        <v>3221</v>
      </c>
      <c r="P18" s="161">
        <f t="shared" si="2"/>
        <v>3124.36</v>
      </c>
      <c r="Q18" s="161">
        <f t="shared" si="11"/>
        <v>96.639999999999873</v>
      </c>
      <c r="R18" s="162">
        <f t="shared" si="3"/>
        <v>0.10879999999999999</v>
      </c>
      <c r="S18" s="161">
        <f t="shared" si="12"/>
        <v>10.514431999999985</v>
      </c>
      <c r="T18" s="163">
        <f t="shared" si="4"/>
        <v>183.45</v>
      </c>
      <c r="U18" s="161">
        <f t="shared" si="13"/>
        <v>193.96443199999999</v>
      </c>
      <c r="V18" s="161">
        <f t="shared" si="5"/>
        <v>125.1</v>
      </c>
      <c r="W18" s="161">
        <f t="shared" si="14"/>
        <v>68.86</v>
      </c>
      <c r="X18" s="160">
        <f t="shared" si="15"/>
        <v>0</v>
      </c>
      <c r="Y18" s="160">
        <f t="shared" si="6"/>
        <v>68.86</v>
      </c>
      <c r="Z18" s="164">
        <v>0</v>
      </c>
      <c r="AA18" s="160">
        <f>SUM(Y18:Z18)</f>
        <v>68.86</v>
      </c>
      <c r="AB18" s="160">
        <f>M18+X18-AA18</f>
        <v>3152.14</v>
      </c>
      <c r="AC18" s="89"/>
      <c r="AD18" s="87"/>
    </row>
    <row r="19" spans="1:35" s="4" customFormat="1" ht="77.25" customHeight="1" x14ac:dyDescent="0.35">
      <c r="A19" s="112"/>
      <c r="B19" s="152" t="s">
        <v>263</v>
      </c>
      <c r="C19" s="153" t="s">
        <v>124</v>
      </c>
      <c r="D19" s="227" t="s">
        <v>282</v>
      </c>
      <c r="E19" s="154" t="s">
        <v>283</v>
      </c>
      <c r="F19" s="154" t="s">
        <v>371</v>
      </c>
      <c r="G19" s="232">
        <v>44470</v>
      </c>
      <c r="H19" s="155" t="s">
        <v>155</v>
      </c>
      <c r="I19" s="156">
        <v>15</v>
      </c>
      <c r="J19" s="157"/>
      <c r="K19" s="158">
        <v>3619</v>
      </c>
      <c r="L19" s="159">
        <v>0</v>
      </c>
      <c r="M19" s="160">
        <f t="shared" ref="M19" si="37">SUM(K19:L19)</f>
        <v>3619</v>
      </c>
      <c r="N19" s="161">
        <f t="shared" ref="N19" si="38">IF(K19/15&lt;=SMG,0,L19/2)</f>
        <v>0</v>
      </c>
      <c r="O19" s="161">
        <f t="shared" si="10"/>
        <v>3619</v>
      </c>
      <c r="P19" s="161">
        <f t="shared" si="2"/>
        <v>3124.36</v>
      </c>
      <c r="Q19" s="161">
        <f t="shared" si="11"/>
        <v>494.63999999999987</v>
      </c>
      <c r="R19" s="162">
        <f t="shared" si="3"/>
        <v>0.10879999999999999</v>
      </c>
      <c r="S19" s="161">
        <f t="shared" si="12"/>
        <v>53.816831999999984</v>
      </c>
      <c r="T19" s="163">
        <f t="shared" si="4"/>
        <v>183.45</v>
      </c>
      <c r="U19" s="161">
        <f t="shared" si="13"/>
        <v>237.26683199999997</v>
      </c>
      <c r="V19" s="161">
        <f t="shared" si="5"/>
        <v>107.4</v>
      </c>
      <c r="W19" s="161">
        <f t="shared" si="14"/>
        <v>129.87</v>
      </c>
      <c r="X19" s="160">
        <f t="shared" si="15"/>
        <v>0</v>
      </c>
      <c r="Y19" s="160">
        <f t="shared" si="6"/>
        <v>129.87</v>
      </c>
      <c r="Z19" s="164">
        <v>0</v>
      </c>
      <c r="AA19" s="160">
        <f t="shared" ref="AA19" si="39">SUM(Y19:Z19)</f>
        <v>129.87</v>
      </c>
      <c r="AB19" s="160">
        <f t="shared" ref="AB19" si="40">M19+X19-AA19</f>
        <v>3489.13</v>
      </c>
      <c r="AC19" s="89"/>
      <c r="AD19" s="87"/>
    </row>
    <row r="20" spans="1:35" s="4" customFormat="1" ht="77.25" customHeight="1" x14ac:dyDescent="0.35">
      <c r="A20" s="112"/>
      <c r="B20" s="152" t="s">
        <v>313</v>
      </c>
      <c r="C20" s="153" t="s">
        <v>124</v>
      </c>
      <c r="D20" s="227" t="s">
        <v>286</v>
      </c>
      <c r="E20" s="154" t="s">
        <v>287</v>
      </c>
      <c r="F20" s="154" t="s">
        <v>337</v>
      </c>
      <c r="G20" s="232">
        <v>44473</v>
      </c>
      <c r="H20" s="155" t="s">
        <v>155</v>
      </c>
      <c r="I20" s="156">
        <v>15</v>
      </c>
      <c r="J20" s="157"/>
      <c r="K20" s="158">
        <v>3619</v>
      </c>
      <c r="L20" s="159">
        <v>0</v>
      </c>
      <c r="M20" s="160">
        <f>SUM(K20:L20)</f>
        <v>3619</v>
      </c>
      <c r="N20" s="161">
        <f>IF(K20/15&lt;=SMG,0,L20/2)</f>
        <v>0</v>
      </c>
      <c r="O20" s="161">
        <f t="shared" si="10"/>
        <v>3619</v>
      </c>
      <c r="P20" s="161">
        <f t="shared" si="2"/>
        <v>3124.36</v>
      </c>
      <c r="Q20" s="161">
        <f t="shared" si="11"/>
        <v>494.63999999999987</v>
      </c>
      <c r="R20" s="162">
        <f t="shared" si="3"/>
        <v>0.10879999999999999</v>
      </c>
      <c r="S20" s="161">
        <f t="shared" si="12"/>
        <v>53.816831999999984</v>
      </c>
      <c r="T20" s="163">
        <f t="shared" si="4"/>
        <v>183.45</v>
      </c>
      <c r="U20" s="161">
        <f t="shared" si="13"/>
        <v>237.26683199999997</v>
      </c>
      <c r="V20" s="161">
        <f t="shared" si="5"/>
        <v>107.4</v>
      </c>
      <c r="W20" s="161">
        <f t="shared" si="14"/>
        <v>129.87</v>
      </c>
      <c r="X20" s="160">
        <f t="shared" si="15"/>
        <v>0</v>
      </c>
      <c r="Y20" s="160">
        <f t="shared" si="6"/>
        <v>129.87</v>
      </c>
      <c r="Z20" s="164">
        <v>0</v>
      </c>
      <c r="AA20" s="160">
        <f>SUM(Y20:Z20)</f>
        <v>129.87</v>
      </c>
      <c r="AB20" s="160">
        <f>M20+X20-AA20</f>
        <v>3489.13</v>
      </c>
      <c r="AC20" s="89"/>
      <c r="AD20" s="87"/>
    </row>
    <row r="21" spans="1:35" s="4" customFormat="1" ht="75" customHeight="1" x14ac:dyDescent="0.3">
      <c r="A21" s="112"/>
      <c r="B21" s="136"/>
      <c r="C21" s="112"/>
      <c r="D21" s="148"/>
      <c r="E21" s="148"/>
      <c r="F21" s="148"/>
      <c r="G21" s="148"/>
      <c r="H21" s="148"/>
      <c r="I21" s="137"/>
      <c r="J21" s="138"/>
      <c r="K21" s="139"/>
      <c r="L21" s="140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D21" s="87"/>
    </row>
    <row r="22" spans="1:35" s="4" customFormat="1" ht="24" customHeight="1" x14ac:dyDescent="0.3">
      <c r="A22" s="112"/>
      <c r="B22" s="316" t="s">
        <v>78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</row>
    <row r="23" spans="1:35" s="4" customFormat="1" ht="24" customHeight="1" x14ac:dyDescent="0.3">
      <c r="A23" s="112"/>
      <c r="B23" s="316" t="s">
        <v>64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</row>
    <row r="24" spans="1:35" s="4" customFormat="1" ht="25.5" customHeight="1" x14ac:dyDescent="0.3">
      <c r="A24" s="112"/>
      <c r="B24" s="306" t="s">
        <v>477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</row>
    <row r="25" spans="1:35" s="4" customFormat="1" ht="24" customHeight="1" x14ac:dyDescent="0.3">
      <c r="A25" s="112"/>
      <c r="B25" s="136"/>
      <c r="C25" s="112"/>
      <c r="D25" s="148"/>
      <c r="E25" s="148"/>
      <c r="F25" s="148"/>
      <c r="G25" s="148"/>
      <c r="H25" s="148"/>
      <c r="I25" s="137"/>
      <c r="J25" s="138"/>
      <c r="K25" s="139"/>
      <c r="L25" s="140"/>
      <c r="M25" s="141"/>
      <c r="N25" s="142"/>
      <c r="O25" s="142"/>
      <c r="P25" s="142"/>
      <c r="Q25" s="142"/>
      <c r="R25" s="143"/>
      <c r="S25" s="142"/>
      <c r="T25" s="144"/>
      <c r="U25" s="142"/>
      <c r="V25" s="145"/>
      <c r="W25" s="142"/>
      <c r="X25" s="141"/>
      <c r="Y25" s="141"/>
      <c r="Z25" s="146"/>
      <c r="AA25" s="141"/>
      <c r="AB25" s="141"/>
      <c r="AD25" s="87"/>
    </row>
    <row r="26" spans="1:35" s="4" customFormat="1" ht="21.75" customHeight="1" x14ac:dyDescent="0.3">
      <c r="A26" s="112"/>
      <c r="B26" s="136"/>
      <c r="C26" s="112"/>
      <c r="D26" s="148"/>
      <c r="E26" s="148"/>
      <c r="F26" s="148"/>
      <c r="G26" s="148"/>
      <c r="H26" s="148"/>
      <c r="I26" s="137"/>
      <c r="J26" s="138"/>
      <c r="K26" s="139"/>
      <c r="L26" s="140"/>
      <c r="M26" s="141"/>
      <c r="N26" s="142"/>
      <c r="O26" s="142"/>
      <c r="P26" s="142"/>
      <c r="Q26" s="142"/>
      <c r="R26" s="143"/>
      <c r="S26" s="142"/>
      <c r="T26" s="144"/>
      <c r="U26" s="142"/>
      <c r="V26" s="145"/>
      <c r="W26" s="142"/>
      <c r="X26" s="141"/>
      <c r="Y26" s="141"/>
      <c r="Z26" s="146"/>
      <c r="AA26" s="141"/>
      <c r="AB26" s="141"/>
      <c r="AD26" s="87"/>
    </row>
    <row r="27" spans="1:35" s="4" customFormat="1" ht="57.75" customHeight="1" x14ac:dyDescent="0.3">
      <c r="A27" s="108"/>
      <c r="B27" s="115" t="s">
        <v>101</v>
      </c>
      <c r="C27" s="115" t="s">
        <v>133</v>
      </c>
      <c r="D27" s="116" t="s">
        <v>132</v>
      </c>
      <c r="E27" s="116" t="s">
        <v>102</v>
      </c>
      <c r="F27" s="116" t="s">
        <v>326</v>
      </c>
      <c r="G27" s="135" t="s">
        <v>468</v>
      </c>
      <c r="H27" s="116" t="s">
        <v>61</v>
      </c>
      <c r="I27" s="116"/>
      <c r="J27" s="116"/>
      <c r="K27" s="117">
        <f>SUM(K28:K29)</f>
        <v>10933.51</v>
      </c>
      <c r="L27" s="117">
        <f>SUM(L28:L29)</f>
        <v>0</v>
      </c>
      <c r="M27" s="117">
        <f>SUM(M28:M29)</f>
        <v>10933.51</v>
      </c>
      <c r="N27" s="116"/>
      <c r="O27" s="116"/>
      <c r="P27" s="116"/>
      <c r="Q27" s="116"/>
      <c r="R27" s="116"/>
      <c r="S27" s="116"/>
      <c r="T27" s="118"/>
      <c r="U27" s="116"/>
      <c r="V27" s="116"/>
      <c r="W27" s="116"/>
      <c r="X27" s="117">
        <f>SUM(X28:X29)</f>
        <v>0</v>
      </c>
      <c r="Y27" s="117">
        <f>SUM(Y28:Y29)</f>
        <v>892.14</v>
      </c>
      <c r="Z27" s="117">
        <f>SUM(Z28:Z29)</f>
        <v>0</v>
      </c>
      <c r="AA27" s="117">
        <f>SUM(AA28:AA29)</f>
        <v>892.14</v>
      </c>
      <c r="AB27" s="117">
        <f>SUM(AB28:AB29)</f>
        <v>10041.370000000001</v>
      </c>
      <c r="AC27" s="98"/>
    </row>
    <row r="28" spans="1:35" s="4" customFormat="1" ht="99.75" customHeight="1" x14ac:dyDescent="0.35">
      <c r="A28" s="109" t="s">
        <v>84</v>
      </c>
      <c r="B28" s="152" t="s">
        <v>178</v>
      </c>
      <c r="C28" s="153" t="s">
        <v>124</v>
      </c>
      <c r="D28" s="227" t="s">
        <v>157</v>
      </c>
      <c r="E28" s="154" t="s">
        <v>170</v>
      </c>
      <c r="F28" s="154" t="s">
        <v>345</v>
      </c>
      <c r="G28" s="232">
        <v>43374</v>
      </c>
      <c r="H28" s="155" t="s">
        <v>156</v>
      </c>
      <c r="I28" s="156">
        <v>15</v>
      </c>
      <c r="J28" s="157">
        <f>K28/I28</f>
        <v>342.73333333333335</v>
      </c>
      <c r="K28" s="158">
        <v>5141</v>
      </c>
      <c r="L28" s="159">
        <v>0</v>
      </c>
      <c r="M28" s="160">
        <f>SUM(K28:L28)</f>
        <v>5141</v>
      </c>
      <c r="N28" s="161">
        <f>IF(K28/15&lt;=SMG,0,L28/2)</f>
        <v>0</v>
      </c>
      <c r="O28" s="161">
        <f t="shared" ref="O28:O29" si="41">K28+N28</f>
        <v>5141</v>
      </c>
      <c r="P28" s="161">
        <f>VLOOKUP(O28,Tarifa1,1)</f>
        <v>3124.36</v>
      </c>
      <c r="Q28" s="161">
        <f t="shared" ref="Q28:Q29" si="42">O28-P28</f>
        <v>2016.6399999999999</v>
      </c>
      <c r="R28" s="162">
        <f>VLOOKUP(O28,Tarifa1,3)</f>
        <v>0.10879999999999999</v>
      </c>
      <c r="S28" s="161">
        <f t="shared" ref="S28:S29" si="43">Q28*R28</f>
        <v>219.41043199999999</v>
      </c>
      <c r="T28" s="163">
        <f>VLOOKUP(O28,Tarifa1,2)</f>
        <v>183.45</v>
      </c>
      <c r="U28" s="161">
        <f t="shared" ref="U28:U29" si="44">S28+T28</f>
        <v>402.86043199999995</v>
      </c>
      <c r="V28" s="161">
        <f>VLOOKUP(O28,Credito1,2)</f>
        <v>0</v>
      </c>
      <c r="W28" s="161">
        <f t="shared" ref="W28:W29" si="45">ROUND(U28-V28,2)</f>
        <v>402.86</v>
      </c>
      <c r="X28" s="160">
        <f t="shared" ref="X28:X29" si="46">-IF(W28&gt;0,0,W28)</f>
        <v>0</v>
      </c>
      <c r="Y28" s="160">
        <f>IF(K28/15&lt;=SMG,0,IF(W28&lt;0,0,W28))</f>
        <v>402.86</v>
      </c>
      <c r="Z28" s="164">
        <v>0</v>
      </c>
      <c r="AA28" s="160">
        <f>SUM(Y28:Z28)</f>
        <v>402.86</v>
      </c>
      <c r="AB28" s="160">
        <f>M28+X28-AA28</f>
        <v>4738.1400000000003</v>
      </c>
      <c r="AC28" s="89"/>
      <c r="AI28" s="94"/>
    </row>
    <row r="29" spans="1:35" s="4" customFormat="1" ht="99.75" customHeight="1" x14ac:dyDescent="0.35">
      <c r="A29" s="109"/>
      <c r="B29" s="152" t="s">
        <v>206</v>
      </c>
      <c r="C29" s="153" t="s">
        <v>124</v>
      </c>
      <c r="D29" s="227" t="s">
        <v>190</v>
      </c>
      <c r="E29" s="154" t="s">
        <v>198</v>
      </c>
      <c r="F29" s="154" t="s">
        <v>358</v>
      </c>
      <c r="G29" s="232">
        <v>43512</v>
      </c>
      <c r="H29" s="155" t="s">
        <v>191</v>
      </c>
      <c r="I29" s="156">
        <v>15</v>
      </c>
      <c r="J29" s="157"/>
      <c r="K29" s="158">
        <v>5792.51</v>
      </c>
      <c r="L29" s="159">
        <v>0</v>
      </c>
      <c r="M29" s="158">
        <f>K29</f>
        <v>5792.51</v>
      </c>
      <c r="N29" s="161">
        <f t="shared" ref="N29" si="47">IF(K29/15&lt;=SMG,0,L29/2)</f>
        <v>0</v>
      </c>
      <c r="O29" s="161">
        <f t="shared" si="41"/>
        <v>5792.51</v>
      </c>
      <c r="P29" s="161">
        <f t="shared" ref="P29" si="48">VLOOKUP(O29,Tarifa1,1)</f>
        <v>5490.76</v>
      </c>
      <c r="Q29" s="161">
        <f t="shared" si="42"/>
        <v>301.75</v>
      </c>
      <c r="R29" s="162">
        <f t="shared" ref="R29" si="49">VLOOKUP(O29,Tarifa1,3)</f>
        <v>0.16</v>
      </c>
      <c r="S29" s="161">
        <f t="shared" si="43"/>
        <v>48.28</v>
      </c>
      <c r="T29" s="163">
        <f t="shared" ref="T29" si="50">VLOOKUP(O29,Tarifa1,2)</f>
        <v>441</v>
      </c>
      <c r="U29" s="161">
        <f t="shared" si="44"/>
        <v>489.28</v>
      </c>
      <c r="V29" s="161">
        <f t="shared" ref="V29" si="51">VLOOKUP(O29,Credito1,2)</f>
        <v>0</v>
      </c>
      <c r="W29" s="161">
        <f t="shared" si="45"/>
        <v>489.28</v>
      </c>
      <c r="X29" s="160">
        <f t="shared" si="46"/>
        <v>0</v>
      </c>
      <c r="Y29" s="160">
        <f t="shared" ref="Y29" si="52">IF(K29/15&lt;=SMG,0,IF(W29&lt;0,0,W29))</f>
        <v>489.28</v>
      </c>
      <c r="Z29" s="164">
        <v>0</v>
      </c>
      <c r="AA29" s="160">
        <f>SUM(Y29:Z29)</f>
        <v>489.28</v>
      </c>
      <c r="AB29" s="160">
        <f>M29+X29-AA29+L29</f>
        <v>5303.2300000000005</v>
      </c>
      <c r="AC29" s="89"/>
      <c r="AI29" s="94"/>
    </row>
    <row r="30" spans="1:35" s="4" customFormat="1" ht="27.75" customHeight="1" x14ac:dyDescent="0.3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6"/>
      <c r="L30" s="186"/>
      <c r="M30" s="186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</row>
    <row r="31" spans="1:35" s="4" customFormat="1" ht="75" customHeight="1" thickBot="1" x14ac:dyDescent="0.35">
      <c r="A31" s="302" t="s">
        <v>44</v>
      </c>
      <c r="B31" s="303"/>
      <c r="C31" s="303"/>
      <c r="D31" s="303"/>
      <c r="E31" s="303"/>
      <c r="F31" s="303"/>
      <c r="G31" s="303"/>
      <c r="H31" s="303"/>
      <c r="I31" s="303"/>
      <c r="J31" s="304"/>
      <c r="K31" s="167">
        <f>K8+K27</f>
        <v>57668.51</v>
      </c>
      <c r="L31" s="167">
        <f>L8+L27</f>
        <v>0</v>
      </c>
      <c r="M31" s="167">
        <f>M8+M27</f>
        <v>57668.51</v>
      </c>
      <c r="N31" s="168">
        <f t="shared" ref="N31:W31" si="53">SUM(N9:N30)</f>
        <v>0</v>
      </c>
      <c r="O31" s="168">
        <f t="shared" si="53"/>
        <v>57668.51</v>
      </c>
      <c r="P31" s="168">
        <f t="shared" si="53"/>
        <v>43853.390000000007</v>
      </c>
      <c r="Q31" s="168">
        <f t="shared" si="53"/>
        <v>13815.119999999995</v>
      </c>
      <c r="R31" s="168">
        <f t="shared" si="53"/>
        <v>1.5551999999999999</v>
      </c>
      <c r="S31" s="168">
        <f t="shared" si="53"/>
        <v>1415.0122879999997</v>
      </c>
      <c r="T31" s="168">
        <f t="shared" si="53"/>
        <v>2873.2499999999995</v>
      </c>
      <c r="U31" s="168">
        <f t="shared" si="53"/>
        <v>4288.2622879999999</v>
      </c>
      <c r="V31" s="168">
        <f t="shared" si="53"/>
        <v>785.69999999999993</v>
      </c>
      <c r="W31" s="168">
        <f t="shared" si="53"/>
        <v>3502.5699999999997</v>
      </c>
      <c r="X31" s="167">
        <f>X8+X27</f>
        <v>49.98</v>
      </c>
      <c r="Y31" s="167">
        <f>Y8+Y27</f>
        <v>3552.5499999999997</v>
      </c>
      <c r="Z31" s="167">
        <f>Z8+Z27</f>
        <v>800</v>
      </c>
      <c r="AA31" s="167">
        <f>AA8+AA27</f>
        <v>4352.55</v>
      </c>
      <c r="AB31" s="167">
        <f>AB8+AB27</f>
        <v>53365.939999999988</v>
      </c>
    </row>
    <row r="32" spans="1:35" s="4" customFormat="1" ht="18" customHeight="1" thickTop="1" x14ac:dyDescent="0.3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50"/>
      <c r="L32" s="150"/>
      <c r="M32" s="150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0"/>
      <c r="Y32" s="150"/>
      <c r="Z32" s="150"/>
      <c r="AA32" s="150"/>
      <c r="AB32" s="150"/>
    </row>
    <row r="33" spans="1:28" s="4" customFormat="1" ht="18" customHeight="1" x14ac:dyDescent="0.3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50"/>
      <c r="L33" s="150"/>
      <c r="M33" s="150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0"/>
      <c r="Y33" s="150"/>
      <c r="Z33" s="150"/>
      <c r="AA33" s="150"/>
      <c r="AB33" s="150"/>
    </row>
    <row r="34" spans="1:28" s="4" customFormat="1" ht="18" customHeight="1" x14ac:dyDescent="0.3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50"/>
      <c r="L34" s="150"/>
      <c r="M34" s="150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0"/>
      <c r="Y34" s="150"/>
      <c r="Z34" s="150"/>
      <c r="AA34" s="150"/>
      <c r="AB34" s="150"/>
    </row>
    <row r="35" spans="1:28" s="4" customFormat="1" ht="18" customHeight="1" x14ac:dyDescent="0.3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50"/>
      <c r="L35" s="150"/>
      <c r="M35" s="150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0"/>
      <c r="Y35" s="150"/>
      <c r="Z35" s="150"/>
      <c r="AA35" s="150"/>
      <c r="AB35" s="150"/>
    </row>
    <row r="36" spans="1:28" s="4" customFormat="1" ht="18" customHeight="1" x14ac:dyDescent="0.3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50"/>
      <c r="L36" s="150"/>
      <c r="M36" s="150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0"/>
      <c r="Y36" s="150"/>
      <c r="Z36" s="150"/>
      <c r="AA36" s="150"/>
      <c r="AB36" s="150"/>
    </row>
    <row r="37" spans="1:28" s="4" customFormat="1" x14ac:dyDescent="0.25"/>
    <row r="38" spans="1:28" s="4" customFormat="1" x14ac:dyDescent="0.25"/>
    <row r="39" spans="1:28" s="4" customFormat="1" x14ac:dyDescent="0.25"/>
  </sheetData>
  <mergeCells count="10">
    <mergeCell ref="A31:J31"/>
    <mergeCell ref="A1:AC1"/>
    <mergeCell ref="A2:AC2"/>
    <mergeCell ref="A3:AC3"/>
    <mergeCell ref="K5:M5"/>
    <mergeCell ref="P5:U5"/>
    <mergeCell ref="Y5:AA5"/>
    <mergeCell ref="B22:AD22"/>
    <mergeCell ref="B23:AD23"/>
    <mergeCell ref="B24:AD24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B36" zoomScale="55" zoomScaleNormal="55" workbookViewId="0">
      <selection activeCell="B47" sqref="A47:XFD53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24.88671875" customWidth="1"/>
    <col min="6" max="6" width="32.33203125" customWidth="1"/>
    <col min="7" max="7" width="17.44140625" customWidth="1"/>
    <col min="8" max="8" width="21.88671875" customWidth="1"/>
    <col min="9" max="9" width="7.44140625" hidden="1" customWidth="1"/>
    <col min="10" max="10" width="10" hidden="1" customWidth="1"/>
    <col min="11" max="11" width="18.6640625" customWidth="1"/>
    <col min="12" max="12" width="14" customWidth="1"/>
    <col min="13" max="13" width="17.33203125" customWidth="1"/>
    <col min="14" max="14" width="13.109375" hidden="1" customWidth="1"/>
    <col min="15" max="15" width="14.6640625" hidden="1" customWidth="1"/>
    <col min="16" max="16" width="15.5546875" hidden="1" customWidth="1"/>
    <col min="17" max="17" width="14.5546875" hidden="1" customWidth="1"/>
    <col min="18" max="19" width="13.109375" hidden="1" customWidth="1"/>
    <col min="20" max="20" width="10.5546875" hidden="1" customWidth="1"/>
    <col min="21" max="21" width="10.44140625" hidden="1" customWidth="1"/>
    <col min="22" max="22" width="13.109375" hidden="1" customWidth="1"/>
    <col min="23" max="23" width="11.5546875" hidden="1" customWidth="1"/>
    <col min="24" max="24" width="12.5546875" customWidth="1"/>
    <col min="25" max="25" width="16.6640625" customWidth="1"/>
    <col min="26" max="26" width="16.88671875" customWidth="1"/>
    <col min="27" max="27" width="16.109375" customWidth="1"/>
    <col min="28" max="28" width="17.44140625" customWidth="1"/>
    <col min="29" max="29" width="65.33203125" customWidth="1"/>
    <col min="30" max="30" width="1.33203125" customWidth="1"/>
  </cols>
  <sheetData>
    <row r="1" spans="1:35" ht="19.8" x14ac:dyDescent="0.3">
      <c r="A1" s="305" t="s">
        <v>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</row>
    <row r="2" spans="1:35" ht="19.8" x14ac:dyDescent="0.3">
      <c r="A2" s="305" t="s">
        <v>64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</row>
    <row r="3" spans="1:35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35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35" s="51" customFormat="1" ht="21" customHeight="1" x14ac:dyDescent="0.3">
      <c r="A5" s="47"/>
      <c r="B5" s="47"/>
      <c r="C5" s="339" t="s">
        <v>133</v>
      </c>
      <c r="D5" s="47"/>
      <c r="E5" s="47"/>
      <c r="F5" s="47"/>
      <c r="G5" s="47"/>
      <c r="H5" s="47"/>
      <c r="I5" s="48" t="s">
        <v>22</v>
      </c>
      <c r="J5" s="48" t="s">
        <v>5</v>
      </c>
      <c r="K5" s="307" t="s">
        <v>1</v>
      </c>
      <c r="L5" s="308"/>
      <c r="M5" s="309"/>
      <c r="N5" s="121" t="s">
        <v>25</v>
      </c>
      <c r="O5" s="122"/>
      <c r="P5" s="310" t="s">
        <v>8</v>
      </c>
      <c r="Q5" s="311"/>
      <c r="R5" s="311"/>
      <c r="S5" s="311"/>
      <c r="T5" s="311"/>
      <c r="U5" s="312"/>
      <c r="V5" s="121" t="s">
        <v>29</v>
      </c>
      <c r="W5" s="121" t="s">
        <v>9</v>
      </c>
      <c r="X5" s="120" t="s">
        <v>52</v>
      </c>
      <c r="Y5" s="313" t="s">
        <v>2</v>
      </c>
      <c r="Z5" s="314"/>
      <c r="AA5" s="315"/>
      <c r="AB5" s="120" t="s">
        <v>0</v>
      </c>
      <c r="AC5" s="47"/>
    </row>
    <row r="6" spans="1:35" s="51" customFormat="1" ht="31.2" x14ac:dyDescent="0.3">
      <c r="A6" s="52" t="s">
        <v>20</v>
      </c>
      <c r="B6" s="123" t="s">
        <v>101</v>
      </c>
      <c r="C6" s="340"/>
      <c r="D6" s="124" t="s">
        <v>21</v>
      </c>
      <c r="E6" s="52"/>
      <c r="F6" s="52"/>
      <c r="G6" s="52"/>
      <c r="H6" s="52"/>
      <c r="I6" s="53" t="s">
        <v>23</v>
      </c>
      <c r="J6" s="52" t="s">
        <v>24</v>
      </c>
      <c r="K6" s="120" t="s">
        <v>5</v>
      </c>
      <c r="L6" s="120" t="s">
        <v>58</v>
      </c>
      <c r="M6" s="120" t="s">
        <v>27</v>
      </c>
      <c r="N6" s="125" t="s">
        <v>26</v>
      </c>
      <c r="O6" s="122" t="s">
        <v>31</v>
      </c>
      <c r="P6" s="122" t="s">
        <v>11</v>
      </c>
      <c r="Q6" s="122" t="s">
        <v>33</v>
      </c>
      <c r="R6" s="122" t="s">
        <v>35</v>
      </c>
      <c r="S6" s="122" t="s">
        <v>36</v>
      </c>
      <c r="T6" s="118" t="s">
        <v>13</v>
      </c>
      <c r="U6" s="122" t="s">
        <v>9</v>
      </c>
      <c r="V6" s="125" t="s">
        <v>39</v>
      </c>
      <c r="W6" s="125" t="s">
        <v>40</v>
      </c>
      <c r="X6" s="124" t="s">
        <v>30</v>
      </c>
      <c r="Y6" s="120" t="s">
        <v>433</v>
      </c>
      <c r="Z6" s="120" t="s">
        <v>56</v>
      </c>
      <c r="AA6" s="120" t="s">
        <v>6</v>
      </c>
      <c r="AB6" s="124" t="s">
        <v>3</v>
      </c>
      <c r="AC6" s="124" t="s">
        <v>57</v>
      </c>
    </row>
    <row r="7" spans="1:35" s="51" customFormat="1" ht="15.6" x14ac:dyDescent="0.3">
      <c r="A7" s="52"/>
      <c r="B7" s="52"/>
      <c r="C7" s="341"/>
      <c r="D7" s="52"/>
      <c r="E7" s="52"/>
      <c r="F7" s="52"/>
      <c r="G7" s="52"/>
      <c r="H7" s="52"/>
      <c r="I7" s="52"/>
      <c r="J7" s="52"/>
      <c r="K7" s="124" t="s">
        <v>46</v>
      </c>
      <c r="L7" s="124" t="s">
        <v>59</v>
      </c>
      <c r="M7" s="124" t="s">
        <v>28</v>
      </c>
      <c r="N7" s="125" t="s">
        <v>42</v>
      </c>
      <c r="O7" s="121" t="s">
        <v>32</v>
      </c>
      <c r="P7" s="121" t="s">
        <v>12</v>
      </c>
      <c r="Q7" s="121" t="s">
        <v>34</v>
      </c>
      <c r="R7" s="121" t="s">
        <v>34</v>
      </c>
      <c r="S7" s="121" t="s">
        <v>37</v>
      </c>
      <c r="T7" s="267" t="s">
        <v>14</v>
      </c>
      <c r="U7" s="121" t="s">
        <v>38</v>
      </c>
      <c r="V7" s="125" t="s">
        <v>18</v>
      </c>
      <c r="W7" s="129" t="s">
        <v>255</v>
      </c>
      <c r="X7" s="124" t="s">
        <v>51</v>
      </c>
      <c r="Y7" s="124"/>
      <c r="Z7" s="124"/>
      <c r="AA7" s="124" t="s">
        <v>43</v>
      </c>
      <c r="AB7" s="124" t="s">
        <v>4</v>
      </c>
      <c r="AC7" s="56"/>
    </row>
    <row r="8" spans="1:35" s="51" customFormat="1" ht="84.9" customHeight="1" x14ac:dyDescent="0.3">
      <c r="A8" s="37"/>
      <c r="B8" s="204" t="s">
        <v>101</v>
      </c>
      <c r="C8" s="204" t="s">
        <v>133</v>
      </c>
      <c r="D8" s="204" t="s">
        <v>160</v>
      </c>
      <c r="E8" s="259" t="s">
        <v>102</v>
      </c>
      <c r="F8" s="259" t="s">
        <v>326</v>
      </c>
      <c r="G8" s="204" t="s">
        <v>468</v>
      </c>
      <c r="H8" s="259" t="s">
        <v>61</v>
      </c>
      <c r="I8" s="259"/>
      <c r="J8" s="259"/>
      <c r="K8" s="260">
        <f>SUM(K9:K9)</f>
        <v>7013</v>
      </c>
      <c r="L8" s="260">
        <f>SUM(L9:L9)</f>
        <v>0</v>
      </c>
      <c r="M8" s="260">
        <f>SUM(M9:M9)</f>
        <v>7013</v>
      </c>
      <c r="N8" s="259"/>
      <c r="O8" s="259"/>
      <c r="P8" s="259"/>
      <c r="Q8" s="259"/>
      <c r="R8" s="259"/>
      <c r="S8" s="259"/>
      <c r="T8" s="262"/>
      <c r="U8" s="259"/>
      <c r="V8" s="259"/>
      <c r="W8" s="259"/>
      <c r="X8" s="260">
        <f>SUM(X9:X9)</f>
        <v>0</v>
      </c>
      <c r="Y8" s="260">
        <f>SUM(Y9:Y9)</f>
        <v>696.58</v>
      </c>
      <c r="Z8" s="260">
        <f>SUM(Z9:Z9)</f>
        <v>0</v>
      </c>
      <c r="AA8" s="260">
        <f>SUM(AA9:AA9)</f>
        <v>696.58</v>
      </c>
      <c r="AB8" s="260">
        <f>SUM(AB9:AB9)</f>
        <v>6316.42</v>
      </c>
      <c r="AC8" s="99"/>
    </row>
    <row r="9" spans="1:35" s="51" customFormat="1" ht="131.25" customHeight="1" x14ac:dyDescent="0.35">
      <c r="A9" s="37"/>
      <c r="B9" s="187">
        <v>275</v>
      </c>
      <c r="C9" s="188" t="s">
        <v>124</v>
      </c>
      <c r="D9" s="276" t="s">
        <v>306</v>
      </c>
      <c r="E9" s="189" t="s">
        <v>307</v>
      </c>
      <c r="F9" s="189" t="s">
        <v>372</v>
      </c>
      <c r="G9" s="237">
        <v>44476</v>
      </c>
      <c r="H9" s="190" t="s">
        <v>258</v>
      </c>
      <c r="I9" s="174">
        <v>15</v>
      </c>
      <c r="J9" s="174"/>
      <c r="K9" s="158">
        <v>7013</v>
      </c>
      <c r="L9" s="159">
        <v>0</v>
      </c>
      <c r="M9" s="160">
        <f>SUM(K9:L9)</f>
        <v>7013</v>
      </c>
      <c r="N9" s="161">
        <f>IF(K9/15&lt;=SMG,0,L9/2)</f>
        <v>0</v>
      </c>
      <c r="O9" s="161">
        <f>K9+N9</f>
        <v>7013</v>
      </c>
      <c r="P9" s="161">
        <f>VLOOKUP(O9,Tarifa1,1)</f>
        <v>6382.81</v>
      </c>
      <c r="Q9" s="161">
        <f>O9-P9</f>
        <v>630.1899999999996</v>
      </c>
      <c r="R9" s="162">
        <f>VLOOKUP(O9,Tarifa1,3)</f>
        <v>0.1792</v>
      </c>
      <c r="S9" s="161">
        <f>Q9*R9</f>
        <v>112.93004799999993</v>
      </c>
      <c r="T9" s="163">
        <f>VLOOKUP(O9,Tarifa1,2)</f>
        <v>583.65</v>
      </c>
      <c r="U9" s="161">
        <f>S9+T9</f>
        <v>696.58004799999992</v>
      </c>
      <c r="V9" s="161">
        <f>VLOOKUP(O9,Credito1,2)</f>
        <v>0</v>
      </c>
      <c r="W9" s="161">
        <f>ROUND(U9-V9,2)</f>
        <v>696.58</v>
      </c>
      <c r="X9" s="160">
        <f>-IF(W9&gt;0,0,W9)</f>
        <v>0</v>
      </c>
      <c r="Y9" s="160">
        <f>IF(K9/15&lt;=SMG,0,IF(W9&lt;0,0,W9))</f>
        <v>696.58</v>
      </c>
      <c r="Z9" s="164">
        <v>0</v>
      </c>
      <c r="AA9" s="160">
        <f>SUM(Y9:Z9)</f>
        <v>696.58</v>
      </c>
      <c r="AB9" s="160">
        <f>M9+X9-AA9</f>
        <v>6316.42</v>
      </c>
      <c r="AC9" s="147"/>
    </row>
    <row r="10" spans="1:35" s="51" customFormat="1" ht="131.25" customHeight="1" x14ac:dyDescent="0.3">
      <c r="A10" s="37"/>
      <c r="B10" s="152" t="s">
        <v>176</v>
      </c>
      <c r="C10" s="153" t="s">
        <v>124</v>
      </c>
      <c r="D10" s="277" t="s">
        <v>153</v>
      </c>
      <c r="E10" s="166" t="s">
        <v>168</v>
      </c>
      <c r="F10" s="205" t="s">
        <v>342</v>
      </c>
      <c r="G10" s="232">
        <v>43374</v>
      </c>
      <c r="H10" s="155" t="s">
        <v>401</v>
      </c>
      <c r="I10" s="156">
        <v>15</v>
      </c>
      <c r="J10" s="157">
        <v>341.11</v>
      </c>
      <c r="K10" s="158">
        <v>4814</v>
      </c>
      <c r="L10" s="159">
        <v>0</v>
      </c>
      <c r="M10" s="160">
        <f>SUM(K10:L10)</f>
        <v>4814</v>
      </c>
      <c r="N10" s="161">
        <f>IF(K10/15&lt;=SMG,0,L10/2)</f>
        <v>0</v>
      </c>
      <c r="O10" s="161">
        <f>K10+N10</f>
        <v>4814</v>
      </c>
      <c r="P10" s="161">
        <f>VLOOKUP(O10,Tarifa1,1)</f>
        <v>3124.36</v>
      </c>
      <c r="Q10" s="161">
        <f>O10-P10</f>
        <v>1689.6399999999999</v>
      </c>
      <c r="R10" s="162">
        <f>VLOOKUP(O10,Tarifa1,3)</f>
        <v>0.10879999999999999</v>
      </c>
      <c r="S10" s="161">
        <f>Q10*R10</f>
        <v>183.83283199999997</v>
      </c>
      <c r="T10" s="163">
        <f>VLOOKUP(O10,Tarifa1,2)</f>
        <v>183.45</v>
      </c>
      <c r="U10" s="161">
        <f>S10+T10</f>
        <v>367.28283199999998</v>
      </c>
      <c r="V10" s="161">
        <f>VLOOKUP(O10,Credito1,2)</f>
        <v>0</v>
      </c>
      <c r="W10" s="161">
        <f>ROUND(U10-V10,2)</f>
        <v>367.28</v>
      </c>
      <c r="X10" s="160">
        <f>-IF(W10&gt;0,0,W10)</f>
        <v>0</v>
      </c>
      <c r="Y10" s="160">
        <f>IF(K10/15&lt;=SMG,0,IF(W10&lt;0,0,W10))</f>
        <v>367.28</v>
      </c>
      <c r="Z10" s="164">
        <v>0</v>
      </c>
      <c r="AA10" s="160">
        <f>SUM(Y10:Z10)</f>
        <v>367.28</v>
      </c>
      <c r="AB10" s="160">
        <f>M10+X10-AA10</f>
        <v>4446.72</v>
      </c>
      <c r="AC10" s="147"/>
    </row>
    <row r="11" spans="1:35" s="51" customFormat="1" ht="84.9" customHeight="1" x14ac:dyDescent="0.3">
      <c r="A11" s="45"/>
      <c r="B11" s="204" t="s">
        <v>101</v>
      </c>
      <c r="C11" s="204" t="s">
        <v>133</v>
      </c>
      <c r="D11" s="259" t="s">
        <v>136</v>
      </c>
      <c r="E11" s="259" t="s">
        <v>102</v>
      </c>
      <c r="F11" s="259" t="s">
        <v>326</v>
      </c>
      <c r="G11" s="204" t="s">
        <v>468</v>
      </c>
      <c r="H11" s="259" t="s">
        <v>61</v>
      </c>
      <c r="I11" s="259"/>
      <c r="J11" s="259"/>
      <c r="K11" s="260">
        <f>SUM(K12:K13)</f>
        <v>10858</v>
      </c>
      <c r="L11" s="260">
        <f>SUM(L12:L13)</f>
        <v>0</v>
      </c>
      <c r="M11" s="260">
        <f>SUM(M12:M13)</f>
        <v>10858</v>
      </c>
      <c r="N11" s="259"/>
      <c r="O11" s="259"/>
      <c r="P11" s="259"/>
      <c r="Q11" s="259"/>
      <c r="R11" s="259"/>
      <c r="S11" s="259"/>
      <c r="T11" s="262"/>
      <c r="U11" s="259"/>
      <c r="V11" s="259"/>
      <c r="W11" s="259"/>
      <c r="X11" s="260">
        <f>SUM(X12:X13)</f>
        <v>0</v>
      </c>
      <c r="Y11" s="260">
        <f>SUM(Y12:Y13)</f>
        <v>948.57999999999993</v>
      </c>
      <c r="Z11" s="260">
        <f>SUM(Z12:Z13)</f>
        <v>0</v>
      </c>
      <c r="AA11" s="260">
        <f>SUM(AA12:AA13)</f>
        <v>948.57999999999993</v>
      </c>
      <c r="AB11" s="260">
        <f>SUM(AB12:AB13)</f>
        <v>9909.42</v>
      </c>
      <c r="AC11" s="99"/>
      <c r="AI11" s="59"/>
    </row>
    <row r="12" spans="1:35" s="51" customFormat="1" ht="130.5" customHeight="1" x14ac:dyDescent="0.3">
      <c r="A12" s="45" t="s">
        <v>87</v>
      </c>
      <c r="B12" s="153" t="s">
        <v>122</v>
      </c>
      <c r="C12" s="153" t="s">
        <v>124</v>
      </c>
      <c r="D12" s="277" t="s">
        <v>93</v>
      </c>
      <c r="E12" s="166" t="s">
        <v>123</v>
      </c>
      <c r="F12" s="166" t="s">
        <v>336</v>
      </c>
      <c r="G12" s="235">
        <v>42278</v>
      </c>
      <c r="H12" s="155" t="s">
        <v>94</v>
      </c>
      <c r="I12" s="156">
        <v>15</v>
      </c>
      <c r="J12" s="157">
        <f t="shared" ref="J12:J34" si="0">K12/I12</f>
        <v>458.2</v>
      </c>
      <c r="K12" s="158">
        <v>6873</v>
      </c>
      <c r="L12" s="159">
        <v>0</v>
      </c>
      <c r="M12" s="160">
        <f>SUM(K12:L12)</f>
        <v>6873</v>
      </c>
      <c r="N12" s="161">
        <f>IF(K12/15&lt;=SMG,0,L12/2)</f>
        <v>0</v>
      </c>
      <c r="O12" s="161">
        <f>K12+N12</f>
        <v>6873</v>
      </c>
      <c r="P12" s="161">
        <f>VLOOKUP(O12,Tarifa1,1)</f>
        <v>6382.81</v>
      </c>
      <c r="Q12" s="161">
        <f>O12-P12</f>
        <v>490.1899999999996</v>
      </c>
      <c r="R12" s="162">
        <f>VLOOKUP(O12,Tarifa1,3)</f>
        <v>0.1792</v>
      </c>
      <c r="S12" s="161">
        <f>Q12*R12</f>
        <v>87.842047999999934</v>
      </c>
      <c r="T12" s="163">
        <f>VLOOKUP(O12,Tarifa1,2)</f>
        <v>583.65</v>
      </c>
      <c r="U12" s="161">
        <f>S12+T12</f>
        <v>671.49204799999995</v>
      </c>
      <c r="V12" s="161">
        <f>VLOOKUP(O12,Credito1,2)</f>
        <v>0</v>
      </c>
      <c r="W12" s="161">
        <f>ROUND(U12-V12,2)</f>
        <v>671.49</v>
      </c>
      <c r="X12" s="160">
        <f>-IF(W12&gt;0,0,W12)</f>
        <v>0</v>
      </c>
      <c r="Y12" s="160">
        <f>IF(K12/15&lt;=SMG,0,IF(W12&lt;0,0,W12))</f>
        <v>671.49</v>
      </c>
      <c r="Z12" s="164">
        <v>0</v>
      </c>
      <c r="AA12" s="160">
        <f>SUM(Y12:Z12)</f>
        <v>671.49</v>
      </c>
      <c r="AB12" s="160">
        <f>M12+X12-AA12</f>
        <v>6201.51</v>
      </c>
      <c r="AC12" s="92"/>
      <c r="AI12" s="64"/>
    </row>
    <row r="13" spans="1:35" s="51" customFormat="1" ht="130.5" customHeight="1" x14ac:dyDescent="0.3">
      <c r="A13" s="45"/>
      <c r="B13" s="152" t="s">
        <v>207</v>
      </c>
      <c r="C13" s="153" t="s">
        <v>124</v>
      </c>
      <c r="D13" s="277" t="s">
        <v>187</v>
      </c>
      <c r="E13" s="166" t="s">
        <v>199</v>
      </c>
      <c r="F13" s="166" t="s">
        <v>423</v>
      </c>
      <c r="G13" s="235">
        <v>43512</v>
      </c>
      <c r="H13" s="155" t="s">
        <v>188</v>
      </c>
      <c r="I13" s="156">
        <v>15</v>
      </c>
      <c r="J13" s="157"/>
      <c r="K13" s="158">
        <v>3985</v>
      </c>
      <c r="L13" s="159">
        <v>0</v>
      </c>
      <c r="M13" s="160">
        <f>SUM(K13:L13)</f>
        <v>3985</v>
      </c>
      <c r="N13" s="161">
        <f>IF(K13/15&lt;=SMG,0,L13/2)</f>
        <v>0</v>
      </c>
      <c r="O13" s="161">
        <f>K13+N13</f>
        <v>3985</v>
      </c>
      <c r="P13" s="161">
        <f>VLOOKUP(O13,Tarifa1,1)</f>
        <v>3124.36</v>
      </c>
      <c r="Q13" s="161">
        <f>O13-P13</f>
        <v>860.63999999999987</v>
      </c>
      <c r="R13" s="162">
        <f>VLOOKUP(O13,Tarifa1,3)</f>
        <v>0.10879999999999999</v>
      </c>
      <c r="S13" s="161">
        <f>Q13*R13</f>
        <v>93.637631999999982</v>
      </c>
      <c r="T13" s="163">
        <f>VLOOKUP(O13,Tarifa1,2)</f>
        <v>183.45</v>
      </c>
      <c r="U13" s="161">
        <f>S13+T13</f>
        <v>277.08763199999999</v>
      </c>
      <c r="V13" s="161">
        <f>VLOOKUP(O13,Credito1,2)</f>
        <v>0</v>
      </c>
      <c r="W13" s="161">
        <f>ROUND(U13-V13,2)</f>
        <v>277.08999999999997</v>
      </c>
      <c r="X13" s="160">
        <f>-IF(W13&gt;0,0,W13)</f>
        <v>0</v>
      </c>
      <c r="Y13" s="160">
        <f>IF(K13/15&lt;=SMG,0,IF(W13&lt;0,0,W13))</f>
        <v>277.08999999999997</v>
      </c>
      <c r="Z13" s="164">
        <v>0</v>
      </c>
      <c r="AA13" s="160">
        <f>SUM(Y13:Z13)</f>
        <v>277.08999999999997</v>
      </c>
      <c r="AB13" s="160">
        <f>M13+X13-AA13</f>
        <v>3707.91</v>
      </c>
      <c r="AC13" s="110"/>
      <c r="AI13" s="64"/>
    </row>
    <row r="14" spans="1:35" s="51" customFormat="1" ht="51.75" customHeight="1" x14ac:dyDescent="0.3">
      <c r="A14" s="45"/>
      <c r="B14" s="204" t="s">
        <v>101</v>
      </c>
      <c r="C14" s="204" t="s">
        <v>133</v>
      </c>
      <c r="D14" s="259" t="s">
        <v>137</v>
      </c>
      <c r="E14" s="259" t="s">
        <v>102</v>
      </c>
      <c r="F14" s="259" t="s">
        <v>326</v>
      </c>
      <c r="G14" s="204" t="s">
        <v>468</v>
      </c>
      <c r="H14" s="259" t="s">
        <v>61</v>
      </c>
      <c r="I14" s="259"/>
      <c r="J14" s="259"/>
      <c r="K14" s="260">
        <f>SUM(K15:K17)</f>
        <v>16828</v>
      </c>
      <c r="L14" s="260">
        <f>SUM(L15:L17)</f>
        <v>0</v>
      </c>
      <c r="M14" s="260">
        <f>SUM(M15:M17)</f>
        <v>16828</v>
      </c>
      <c r="N14" s="259"/>
      <c r="O14" s="259"/>
      <c r="P14" s="259"/>
      <c r="Q14" s="259"/>
      <c r="R14" s="259"/>
      <c r="S14" s="259"/>
      <c r="T14" s="262"/>
      <c r="U14" s="259"/>
      <c r="V14" s="259"/>
      <c r="W14" s="259"/>
      <c r="X14" s="260">
        <f>SUM(X15:X17)</f>
        <v>0</v>
      </c>
      <c r="Y14" s="260">
        <f>SUM(Y15:Y17)</f>
        <v>1483.24</v>
      </c>
      <c r="Z14" s="260">
        <f>SUM(Z15:Z17)</f>
        <v>2500</v>
      </c>
      <c r="AA14" s="260">
        <f>SUM(AA15:AA17)</f>
        <v>3983.24</v>
      </c>
      <c r="AB14" s="260">
        <f>SUM(AB15:AB17)</f>
        <v>12844.76</v>
      </c>
      <c r="AC14" s="99"/>
      <c r="AI14" s="64"/>
    </row>
    <row r="15" spans="1:35" s="51" customFormat="1" ht="130.5" customHeight="1" x14ac:dyDescent="0.35">
      <c r="A15" s="45" t="s">
        <v>88</v>
      </c>
      <c r="B15" s="191">
        <v>185</v>
      </c>
      <c r="C15" s="153" t="s">
        <v>124</v>
      </c>
      <c r="D15" s="278" t="s">
        <v>165</v>
      </c>
      <c r="E15" s="192" t="s">
        <v>175</v>
      </c>
      <c r="F15" s="192" t="s">
        <v>351</v>
      </c>
      <c r="G15" s="234">
        <v>43374</v>
      </c>
      <c r="H15" s="155" t="s">
        <v>95</v>
      </c>
      <c r="I15" s="156">
        <v>15</v>
      </c>
      <c r="J15" s="157">
        <f t="shared" si="0"/>
        <v>497.6</v>
      </c>
      <c r="K15" s="158">
        <v>7464</v>
      </c>
      <c r="L15" s="159">
        <v>0</v>
      </c>
      <c r="M15" s="160">
        <f t="shared" ref="M15" si="1">SUM(K15:L15)</f>
        <v>7464</v>
      </c>
      <c r="N15" s="161">
        <f>IF(K15/15&lt;=SMG,0,L15/2)</f>
        <v>0</v>
      </c>
      <c r="O15" s="161">
        <f>K15+N15</f>
        <v>7464</v>
      </c>
      <c r="P15" s="161">
        <f>VLOOKUP(O15,Tarifa1,1)</f>
        <v>6382.81</v>
      </c>
      <c r="Q15" s="161">
        <f>O15-P15</f>
        <v>1081.1899999999996</v>
      </c>
      <c r="R15" s="162">
        <f>VLOOKUP(O15,Tarifa1,3)</f>
        <v>0.1792</v>
      </c>
      <c r="S15" s="161">
        <f>Q15*R15</f>
        <v>193.74924799999994</v>
      </c>
      <c r="T15" s="163">
        <f>VLOOKUP(O15,Tarifa1,2)</f>
        <v>583.65</v>
      </c>
      <c r="U15" s="161">
        <f>S15+T15</f>
        <v>777.39924799999994</v>
      </c>
      <c r="V15" s="161">
        <f>VLOOKUP(O15,Credito1,2)</f>
        <v>0</v>
      </c>
      <c r="W15" s="161">
        <f>ROUND(U15-V15,2)</f>
        <v>777.4</v>
      </c>
      <c r="X15" s="160">
        <f>-IF(W15&gt;0,0,W15)</f>
        <v>0</v>
      </c>
      <c r="Y15" s="160">
        <f>IF(K15/15&lt;=SMG,0,IF(W15&lt;0,0,W15))</f>
        <v>777.4</v>
      </c>
      <c r="Z15" s="164">
        <v>1000</v>
      </c>
      <c r="AA15" s="160">
        <f t="shared" ref="AA15" si="2">SUM(Y15:Z15)</f>
        <v>1777.4</v>
      </c>
      <c r="AB15" s="160">
        <f t="shared" ref="AB15" si="3">M15+X15-AA15</f>
        <v>5686.6</v>
      </c>
      <c r="AC15" s="92"/>
      <c r="AI15" s="64"/>
    </row>
    <row r="16" spans="1:35" s="51" customFormat="1" ht="130.5" customHeight="1" x14ac:dyDescent="0.35">
      <c r="A16" s="45"/>
      <c r="B16" s="152" t="s">
        <v>441</v>
      </c>
      <c r="C16" s="153" t="s">
        <v>124</v>
      </c>
      <c r="D16" s="229" t="s">
        <v>438</v>
      </c>
      <c r="E16" s="170" t="s">
        <v>439</v>
      </c>
      <c r="F16" s="170" t="s">
        <v>440</v>
      </c>
      <c r="G16" s="236">
        <v>44958</v>
      </c>
      <c r="H16" s="155" t="s">
        <v>158</v>
      </c>
      <c r="I16" s="156">
        <v>15</v>
      </c>
      <c r="J16" s="157">
        <f>K16/I16</f>
        <v>358.6</v>
      </c>
      <c r="K16" s="158">
        <v>5379</v>
      </c>
      <c r="L16" s="159">
        <v>0</v>
      </c>
      <c r="M16" s="160">
        <f>SUM(K16:L16)</f>
        <v>5379</v>
      </c>
      <c r="N16" s="161">
        <f>IF(K16/15&lt;=SMG,0,L16/2)</f>
        <v>0</v>
      </c>
      <c r="O16" s="161">
        <f t="shared" ref="O16:O17" si="4">K16+N16</f>
        <v>5379</v>
      </c>
      <c r="P16" s="161">
        <f>VLOOKUP(O16,Tarifa1,1)</f>
        <v>3124.36</v>
      </c>
      <c r="Q16" s="161">
        <f t="shared" ref="Q16:Q17" si="5">O16-P16</f>
        <v>2254.64</v>
      </c>
      <c r="R16" s="162">
        <f>VLOOKUP(O16,Tarifa1,3)</f>
        <v>0.10879999999999999</v>
      </c>
      <c r="S16" s="161">
        <f t="shared" ref="S16:S17" si="6">Q16*R16</f>
        <v>245.30483199999998</v>
      </c>
      <c r="T16" s="163">
        <f>VLOOKUP(O16,Tarifa1,2)</f>
        <v>183.45</v>
      </c>
      <c r="U16" s="161">
        <f t="shared" ref="U16:U17" si="7">S16+T16</f>
        <v>428.75483199999996</v>
      </c>
      <c r="V16" s="161">
        <f>VLOOKUP(O16,Credito1,2)</f>
        <v>0</v>
      </c>
      <c r="W16" s="161">
        <f t="shared" ref="W16:W17" si="8">ROUND(U16-V16,2)</f>
        <v>428.75</v>
      </c>
      <c r="X16" s="160">
        <f t="shared" ref="X16:X17" si="9">-IF(W16&gt;0,0,W16)</f>
        <v>0</v>
      </c>
      <c r="Y16" s="160">
        <f>IF(K16/15&lt;=SMG,0,IF(W16&lt;0,0,W16))</f>
        <v>428.75</v>
      </c>
      <c r="Z16" s="164">
        <v>0</v>
      </c>
      <c r="AA16" s="160">
        <f>SUM(Y16:Z16)</f>
        <v>428.75</v>
      </c>
      <c r="AB16" s="160">
        <f>M16+X16-AA16</f>
        <v>4950.25</v>
      </c>
      <c r="AC16" s="92"/>
      <c r="AI16" s="64"/>
    </row>
    <row r="17" spans="1:35" s="51" customFormat="1" ht="130.5" customHeight="1" x14ac:dyDescent="0.35">
      <c r="A17" s="45"/>
      <c r="B17" s="152" t="s">
        <v>217</v>
      </c>
      <c r="C17" s="153" t="s">
        <v>124</v>
      </c>
      <c r="D17" s="279" t="s">
        <v>213</v>
      </c>
      <c r="E17" s="170" t="s">
        <v>215</v>
      </c>
      <c r="F17" s="170" t="s">
        <v>360</v>
      </c>
      <c r="G17" s="236">
        <v>43617</v>
      </c>
      <c r="H17" s="155" t="s">
        <v>214</v>
      </c>
      <c r="I17" s="156">
        <v>15</v>
      </c>
      <c r="J17" s="157"/>
      <c r="K17" s="158">
        <v>3985</v>
      </c>
      <c r="L17" s="159">
        <v>0</v>
      </c>
      <c r="M17" s="160">
        <f>SUM(K17:L17)</f>
        <v>3985</v>
      </c>
      <c r="N17" s="161">
        <f>IF(K17/15&lt;=SMG,0,L17/2)</f>
        <v>0</v>
      </c>
      <c r="O17" s="161">
        <f t="shared" si="4"/>
        <v>3985</v>
      </c>
      <c r="P17" s="161">
        <f>VLOOKUP(O17,Tarifa1,1)</f>
        <v>3124.36</v>
      </c>
      <c r="Q17" s="161">
        <f t="shared" si="5"/>
        <v>860.63999999999987</v>
      </c>
      <c r="R17" s="162">
        <f>VLOOKUP(O17,Tarifa1,3)</f>
        <v>0.10879999999999999</v>
      </c>
      <c r="S17" s="161">
        <f t="shared" si="6"/>
        <v>93.637631999999982</v>
      </c>
      <c r="T17" s="163">
        <f>VLOOKUP(O17,Tarifa1,2)</f>
        <v>183.45</v>
      </c>
      <c r="U17" s="161">
        <f t="shared" si="7"/>
        <v>277.08763199999999</v>
      </c>
      <c r="V17" s="161">
        <f>VLOOKUP(O17,Credito1,2)</f>
        <v>0</v>
      </c>
      <c r="W17" s="161">
        <f t="shared" si="8"/>
        <v>277.08999999999997</v>
      </c>
      <c r="X17" s="160">
        <f t="shared" si="9"/>
        <v>0</v>
      </c>
      <c r="Y17" s="160">
        <f>IF(K17/15&lt;=SMG,0,IF(W17&lt;0,0,W17))</f>
        <v>277.08999999999997</v>
      </c>
      <c r="Z17" s="164">
        <v>1500</v>
      </c>
      <c r="AA17" s="160">
        <f>SUM(Y17:Z17)</f>
        <v>1777.09</v>
      </c>
      <c r="AB17" s="160">
        <f>M17+X17-AA17</f>
        <v>2207.91</v>
      </c>
      <c r="AC17" s="92"/>
      <c r="AI17" s="64"/>
    </row>
    <row r="18" spans="1:35" s="51" customFormat="1" ht="24" customHeight="1" x14ac:dyDescent="0.3">
      <c r="A18" s="45"/>
      <c r="B18" s="217"/>
      <c r="C18" s="200"/>
      <c r="D18" s="218"/>
      <c r="E18" s="218"/>
      <c r="F18" s="218"/>
      <c r="G18" s="218"/>
      <c r="H18" s="209"/>
      <c r="I18" s="210"/>
      <c r="J18" s="211"/>
      <c r="K18" s="212"/>
      <c r="L18" s="213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14"/>
      <c r="AB18" s="214"/>
      <c r="AC18" s="93"/>
      <c r="AI18" s="64"/>
    </row>
    <row r="19" spans="1:35" s="51" customFormat="1" ht="24" customHeight="1" x14ac:dyDescent="0.3">
      <c r="A19" s="45"/>
      <c r="B19" s="217"/>
      <c r="C19" s="200"/>
      <c r="D19" s="218"/>
      <c r="E19" s="218"/>
      <c r="F19" s="218"/>
      <c r="G19" s="218"/>
      <c r="H19" s="209"/>
      <c r="I19" s="210"/>
      <c r="J19" s="211"/>
      <c r="K19" s="212"/>
      <c r="L19" s="213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5"/>
      <c r="AA19" s="214"/>
      <c r="AB19" s="214"/>
      <c r="AC19" s="93"/>
      <c r="AI19" s="64"/>
    </row>
    <row r="20" spans="1:35" s="51" customFormat="1" ht="24" customHeight="1" x14ac:dyDescent="0.3">
      <c r="A20" s="45"/>
      <c r="B20" s="217"/>
      <c r="C20" s="200"/>
      <c r="D20" s="218"/>
      <c r="E20" s="218"/>
      <c r="F20" s="218"/>
      <c r="G20" s="218"/>
      <c r="H20" s="209"/>
      <c r="I20" s="210"/>
      <c r="J20" s="211"/>
      <c r="K20" s="212"/>
      <c r="L20" s="213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5"/>
      <c r="AA20" s="214"/>
      <c r="AB20" s="214"/>
      <c r="AC20" s="93"/>
      <c r="AI20" s="64"/>
    </row>
    <row r="21" spans="1:35" s="51" customFormat="1" ht="24" customHeight="1" x14ac:dyDescent="0.3">
      <c r="A21" s="45"/>
      <c r="B21" s="217"/>
      <c r="C21" s="200"/>
      <c r="D21" s="218"/>
      <c r="E21" s="218"/>
      <c r="F21" s="218"/>
      <c r="G21" s="218"/>
      <c r="H21" s="209"/>
      <c r="I21" s="210"/>
      <c r="J21" s="211"/>
      <c r="K21" s="212"/>
      <c r="L21" s="213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5"/>
      <c r="AA21" s="214"/>
      <c r="AB21" s="214"/>
      <c r="AC21" s="93"/>
      <c r="AI21" s="64"/>
    </row>
    <row r="22" spans="1:35" s="51" customFormat="1" ht="24" customHeight="1" x14ac:dyDescent="0.3">
      <c r="A22" s="45"/>
      <c r="B22" s="217"/>
      <c r="C22" s="200"/>
      <c r="D22" s="218"/>
      <c r="E22" s="218"/>
      <c r="F22" s="218"/>
      <c r="G22" s="218"/>
      <c r="H22" s="209"/>
      <c r="I22" s="210"/>
      <c r="J22" s="211"/>
      <c r="K22" s="212"/>
      <c r="L22" s="213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5"/>
      <c r="AA22" s="214"/>
      <c r="AB22" s="214"/>
      <c r="AC22" s="93"/>
      <c r="AI22" s="64"/>
    </row>
    <row r="23" spans="1:35" s="51" customFormat="1" ht="24" customHeight="1" x14ac:dyDescent="0.3">
      <c r="A23" s="45"/>
      <c r="B23" s="217"/>
      <c r="C23" s="200"/>
      <c r="D23" s="218"/>
      <c r="E23" s="218"/>
      <c r="F23" s="218"/>
      <c r="G23" s="218"/>
      <c r="H23" s="209"/>
      <c r="I23" s="210"/>
      <c r="J23" s="211"/>
      <c r="K23" s="212"/>
      <c r="L23" s="213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5"/>
      <c r="AA23" s="214"/>
      <c r="AB23" s="214"/>
      <c r="AC23" s="93"/>
      <c r="AI23" s="64"/>
    </row>
    <row r="24" spans="1:35" s="51" customFormat="1" ht="24" customHeight="1" x14ac:dyDescent="0.3">
      <c r="A24" s="45"/>
      <c r="B24" s="217"/>
      <c r="C24" s="200"/>
      <c r="D24" s="218"/>
      <c r="E24" s="218"/>
      <c r="F24" s="218"/>
      <c r="G24" s="218"/>
      <c r="H24" s="209"/>
      <c r="I24" s="210"/>
      <c r="J24" s="211"/>
      <c r="K24" s="212"/>
      <c r="L24" s="213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5"/>
      <c r="AA24" s="214"/>
      <c r="AB24" s="214"/>
      <c r="AC24" s="93"/>
      <c r="AI24" s="64"/>
    </row>
    <row r="25" spans="1:35" s="51" customFormat="1" ht="24" customHeight="1" x14ac:dyDescent="0.3">
      <c r="A25" s="45"/>
      <c r="B25" s="217"/>
      <c r="C25" s="200"/>
      <c r="D25" s="218"/>
      <c r="E25" s="218"/>
      <c r="F25" s="218"/>
      <c r="G25" s="218"/>
      <c r="H25" s="209"/>
      <c r="I25" s="210"/>
      <c r="J25" s="211"/>
      <c r="K25" s="212"/>
      <c r="L25" s="213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5"/>
      <c r="AA25" s="214"/>
      <c r="AB25" s="214"/>
      <c r="AC25" s="93"/>
      <c r="AI25" s="64"/>
    </row>
    <row r="26" spans="1:35" s="51" customFormat="1" ht="26.25" customHeight="1" x14ac:dyDescent="0.3">
      <c r="A26" s="45"/>
      <c r="B26" s="316" t="s">
        <v>78</v>
      </c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I26" s="64"/>
    </row>
    <row r="27" spans="1:35" s="51" customFormat="1" ht="21.75" customHeight="1" x14ac:dyDescent="0.3">
      <c r="A27" s="45"/>
      <c r="B27" s="316" t="s">
        <v>64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I27" s="64"/>
    </row>
    <row r="28" spans="1:35" s="51" customFormat="1" ht="25.5" customHeight="1" x14ac:dyDescent="0.3">
      <c r="A28" s="45"/>
      <c r="B28" s="306" t="s">
        <v>477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I28" s="64"/>
    </row>
    <row r="29" spans="1:35" s="51" customFormat="1" ht="25.5" customHeight="1" x14ac:dyDescent="0.3">
      <c r="A29" s="21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I29" s="64"/>
    </row>
    <row r="30" spans="1:35" s="51" customFormat="1" ht="25.5" customHeight="1" x14ac:dyDescent="0.3">
      <c r="A30" s="21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I30" s="64"/>
    </row>
    <row r="31" spans="1:35" s="51" customFormat="1" ht="72.75" customHeight="1" x14ac:dyDescent="0.3">
      <c r="A31" s="216"/>
      <c r="B31" s="204" t="s">
        <v>101</v>
      </c>
      <c r="C31" s="204" t="s">
        <v>133</v>
      </c>
      <c r="D31" s="259" t="s">
        <v>422</v>
      </c>
      <c r="E31" s="259" t="s">
        <v>102</v>
      </c>
      <c r="F31" s="259" t="s">
        <v>326</v>
      </c>
      <c r="G31" s="204" t="s">
        <v>468</v>
      </c>
      <c r="H31" s="259" t="s">
        <v>61</v>
      </c>
      <c r="I31" s="259"/>
      <c r="J31" s="259"/>
      <c r="K31" s="260">
        <f>SUM(K32:K33)</f>
        <v>12448</v>
      </c>
      <c r="L31" s="260">
        <f>SUM(L32:L33)</f>
        <v>0</v>
      </c>
      <c r="M31" s="260">
        <f>SUM(M32:M33)</f>
        <v>12448</v>
      </c>
      <c r="N31" s="259"/>
      <c r="O31" s="259"/>
      <c r="P31" s="259"/>
      <c r="Q31" s="259"/>
      <c r="R31" s="259"/>
      <c r="S31" s="259"/>
      <c r="T31" s="262"/>
      <c r="U31" s="259"/>
      <c r="V31" s="259"/>
      <c r="W31" s="259"/>
      <c r="X31" s="260">
        <f>SUM(X32:X33)</f>
        <v>0</v>
      </c>
      <c r="Y31" s="260">
        <f>SUM(Y32:Y33)</f>
        <v>1131.43</v>
      </c>
      <c r="Z31" s="260">
        <f>SUM(Z32:Z33)</f>
        <v>0</v>
      </c>
      <c r="AA31" s="260">
        <f>SUM(AA32:AA33)</f>
        <v>1131.43</v>
      </c>
      <c r="AB31" s="260">
        <f>SUM(AB32:AB33)</f>
        <v>11316.57</v>
      </c>
      <c r="AC31" s="99"/>
      <c r="AD31" s="206"/>
      <c r="AI31" s="64"/>
    </row>
    <row r="32" spans="1:35" s="51" customFormat="1" ht="130.5" customHeight="1" x14ac:dyDescent="0.35">
      <c r="A32" s="216"/>
      <c r="B32" s="152" t="s">
        <v>417</v>
      </c>
      <c r="C32" s="153" t="s">
        <v>124</v>
      </c>
      <c r="D32" s="229" t="s">
        <v>418</v>
      </c>
      <c r="E32" s="170" t="s">
        <v>419</v>
      </c>
      <c r="F32" s="170" t="s">
        <v>420</v>
      </c>
      <c r="G32" s="236">
        <v>44805</v>
      </c>
      <c r="H32" s="155" t="s">
        <v>421</v>
      </c>
      <c r="I32" s="156"/>
      <c r="J32" s="157"/>
      <c r="K32" s="158">
        <v>7013</v>
      </c>
      <c r="L32" s="159">
        <v>0</v>
      </c>
      <c r="M32" s="160">
        <f>SUM(K32:L32)</f>
        <v>7013</v>
      </c>
      <c r="N32" s="161">
        <f>IF(K32/15&lt;=SMG,0,L32/2)</f>
        <v>0</v>
      </c>
      <c r="O32" s="161">
        <f t="shared" ref="O32" si="10">K32+N32</f>
        <v>7013</v>
      </c>
      <c r="P32" s="161">
        <f>VLOOKUP(O32,Tarifa1,1)</f>
        <v>6382.81</v>
      </c>
      <c r="Q32" s="161">
        <f t="shared" ref="Q32" si="11">O32-P32</f>
        <v>630.1899999999996</v>
      </c>
      <c r="R32" s="162">
        <f>VLOOKUP(O32,Tarifa1,3)</f>
        <v>0.1792</v>
      </c>
      <c r="S32" s="161">
        <f t="shared" ref="S32" si="12">Q32*R32</f>
        <v>112.93004799999993</v>
      </c>
      <c r="T32" s="163">
        <f>VLOOKUP(O32,Tarifa1,2)</f>
        <v>583.65</v>
      </c>
      <c r="U32" s="161">
        <f t="shared" ref="U32" si="13">S32+T32</f>
        <v>696.58004799999992</v>
      </c>
      <c r="V32" s="161">
        <f>VLOOKUP(O32,Credito1,2)</f>
        <v>0</v>
      </c>
      <c r="W32" s="161">
        <f t="shared" ref="W32" si="14">ROUND(U32-V32,2)</f>
        <v>696.58</v>
      </c>
      <c r="X32" s="160">
        <f t="shared" ref="X32" si="15">-IF(W32&gt;0,0,W32)</f>
        <v>0</v>
      </c>
      <c r="Y32" s="160">
        <f>IF(K32/15&lt;=SMG,0,IF(W32&lt;0,0,W32))</f>
        <v>696.58</v>
      </c>
      <c r="Z32" s="164">
        <v>0</v>
      </c>
      <c r="AA32" s="160">
        <f>SUM(Y32:Z32)</f>
        <v>696.58</v>
      </c>
      <c r="AB32" s="160">
        <f>M32+X32-AA32</f>
        <v>6316.42</v>
      </c>
      <c r="AC32" s="92"/>
      <c r="AD32" s="206"/>
      <c r="AI32" s="64"/>
    </row>
    <row r="33" spans="1:35" s="111" customFormat="1" ht="84.9" customHeight="1" x14ac:dyDescent="0.3">
      <c r="A33" s="153"/>
      <c r="B33" s="204" t="s">
        <v>101</v>
      </c>
      <c r="C33" s="204" t="s">
        <v>133</v>
      </c>
      <c r="D33" s="204" t="s">
        <v>138</v>
      </c>
      <c r="E33" s="259" t="s">
        <v>102</v>
      </c>
      <c r="F33" s="259" t="s">
        <v>326</v>
      </c>
      <c r="G33" s="204" t="s">
        <v>468</v>
      </c>
      <c r="H33" s="259" t="s">
        <v>61</v>
      </c>
      <c r="I33" s="259"/>
      <c r="J33" s="259"/>
      <c r="K33" s="260">
        <f>SUM(K34)</f>
        <v>5435</v>
      </c>
      <c r="L33" s="260">
        <f>SUM(L34)</f>
        <v>0</v>
      </c>
      <c r="M33" s="260">
        <f>SUM(M34)</f>
        <v>5435</v>
      </c>
      <c r="N33" s="259"/>
      <c r="O33" s="259"/>
      <c r="P33" s="259"/>
      <c r="Q33" s="259"/>
      <c r="R33" s="259"/>
      <c r="S33" s="259"/>
      <c r="T33" s="262"/>
      <c r="U33" s="259"/>
      <c r="V33" s="259"/>
      <c r="W33" s="259"/>
      <c r="X33" s="260">
        <f>SUM(X34)</f>
        <v>0</v>
      </c>
      <c r="Y33" s="260">
        <f>SUM(Y34)</f>
        <v>434.85</v>
      </c>
      <c r="Z33" s="260">
        <f>SUM(Z34)</f>
        <v>0</v>
      </c>
      <c r="AA33" s="260">
        <f>SUM(AA34)</f>
        <v>434.85</v>
      </c>
      <c r="AB33" s="260">
        <f>SUM(AB34)</f>
        <v>5000.1499999999996</v>
      </c>
      <c r="AC33" s="263"/>
      <c r="AI33" s="264"/>
    </row>
    <row r="34" spans="1:35" s="111" customFormat="1" ht="131.25" customHeight="1" x14ac:dyDescent="0.35">
      <c r="A34" s="153" t="s">
        <v>89</v>
      </c>
      <c r="B34" s="152" t="s">
        <v>180</v>
      </c>
      <c r="C34" s="153" t="s">
        <v>124</v>
      </c>
      <c r="D34" s="227" t="s">
        <v>254</v>
      </c>
      <c r="E34" s="154" t="s">
        <v>172</v>
      </c>
      <c r="F34" s="154" t="s">
        <v>348</v>
      </c>
      <c r="G34" s="232">
        <v>43374</v>
      </c>
      <c r="H34" s="155" t="s">
        <v>100</v>
      </c>
      <c r="I34" s="156">
        <v>15</v>
      </c>
      <c r="J34" s="157">
        <f t="shared" si="0"/>
        <v>362.33333333333331</v>
      </c>
      <c r="K34" s="158">
        <v>5435</v>
      </c>
      <c r="L34" s="159">
        <v>0</v>
      </c>
      <c r="M34" s="160">
        <f>SUM(K34:L34)</f>
        <v>5435</v>
      </c>
      <c r="N34" s="161">
        <f>IF(K34/15&lt;=SMG,0,L34/2)</f>
        <v>0</v>
      </c>
      <c r="O34" s="161">
        <f t="shared" ref="O34" si="16">K34+N34</f>
        <v>5435</v>
      </c>
      <c r="P34" s="161">
        <f>VLOOKUP(O34,Tarifa1,1)</f>
        <v>3124.36</v>
      </c>
      <c r="Q34" s="161">
        <f t="shared" ref="Q34" si="17">O34-P34</f>
        <v>2310.64</v>
      </c>
      <c r="R34" s="162">
        <f>VLOOKUP(O34,Tarifa1,3)</f>
        <v>0.10879999999999999</v>
      </c>
      <c r="S34" s="161">
        <f t="shared" ref="S34" si="18">Q34*R34</f>
        <v>251.39763199999996</v>
      </c>
      <c r="T34" s="163">
        <f>VLOOKUP(O34,Tarifa1,2)</f>
        <v>183.45</v>
      </c>
      <c r="U34" s="161">
        <f t="shared" ref="U34" si="19">S34+T34</f>
        <v>434.84763199999998</v>
      </c>
      <c r="V34" s="161">
        <f>VLOOKUP(O34,Credito1,2)</f>
        <v>0</v>
      </c>
      <c r="W34" s="161">
        <f t="shared" ref="W34" si="20">ROUND(U34-V34,2)</f>
        <v>434.85</v>
      </c>
      <c r="X34" s="160">
        <f>-IF(W34&gt;0,0,W34)</f>
        <v>0</v>
      </c>
      <c r="Y34" s="160">
        <f>IF(K34/15&lt;=SMG,0,IF(W34&lt;0,0,W34))</f>
        <v>434.85</v>
      </c>
      <c r="Z34" s="164">
        <v>0</v>
      </c>
      <c r="AA34" s="160">
        <f>SUM(Y34:Z34)</f>
        <v>434.85</v>
      </c>
      <c r="AB34" s="160">
        <f>M34+X34-AA34</f>
        <v>5000.1499999999996</v>
      </c>
      <c r="AC34" s="110"/>
      <c r="AI34" s="264"/>
    </row>
    <row r="35" spans="1:35" s="111" customFormat="1" ht="84.9" customHeight="1" x14ac:dyDescent="0.3">
      <c r="A35" s="153"/>
      <c r="B35" s="204" t="s">
        <v>101</v>
      </c>
      <c r="C35" s="204" t="s">
        <v>133</v>
      </c>
      <c r="D35" s="204" t="s">
        <v>403</v>
      </c>
      <c r="E35" s="259" t="s">
        <v>102</v>
      </c>
      <c r="F35" s="259" t="s">
        <v>326</v>
      </c>
      <c r="G35" s="204" t="s">
        <v>468</v>
      </c>
      <c r="H35" s="259" t="s">
        <v>61</v>
      </c>
      <c r="I35" s="259"/>
      <c r="J35" s="259"/>
      <c r="K35" s="260">
        <f>SUM(K36)</f>
        <v>5043</v>
      </c>
      <c r="L35" s="260">
        <f>SUM(L36)</f>
        <v>0</v>
      </c>
      <c r="M35" s="260">
        <f>SUM(M36)</f>
        <v>5043</v>
      </c>
      <c r="N35" s="259"/>
      <c r="O35" s="259"/>
      <c r="P35" s="259"/>
      <c r="Q35" s="259"/>
      <c r="R35" s="259"/>
      <c r="S35" s="259"/>
      <c r="T35" s="262"/>
      <c r="U35" s="259"/>
      <c r="V35" s="259"/>
      <c r="W35" s="259"/>
      <c r="X35" s="260">
        <f>SUM(X36)</f>
        <v>0</v>
      </c>
      <c r="Y35" s="260">
        <f>SUM(Y36)</f>
        <v>392.2</v>
      </c>
      <c r="Z35" s="260">
        <f>SUM(Z36)</f>
        <v>0</v>
      </c>
      <c r="AA35" s="260">
        <f>SUM(AA36)</f>
        <v>392.2</v>
      </c>
      <c r="AB35" s="260">
        <f>SUM(AB36)</f>
        <v>4650.8</v>
      </c>
      <c r="AC35" s="263"/>
      <c r="AI35" s="264"/>
    </row>
    <row r="36" spans="1:35" s="111" customFormat="1" ht="130.5" customHeight="1" x14ac:dyDescent="0.35">
      <c r="A36" s="153"/>
      <c r="B36" s="153" t="s">
        <v>111</v>
      </c>
      <c r="C36" s="153" t="s">
        <v>124</v>
      </c>
      <c r="D36" s="227" t="s">
        <v>98</v>
      </c>
      <c r="E36" s="154" t="s">
        <v>112</v>
      </c>
      <c r="F36" s="205" t="s">
        <v>328</v>
      </c>
      <c r="G36" s="232">
        <v>40102</v>
      </c>
      <c r="H36" s="155" t="s">
        <v>410</v>
      </c>
      <c r="I36" s="156">
        <v>15</v>
      </c>
      <c r="J36" s="157">
        <v>305.35000000000002</v>
      </c>
      <c r="K36" s="158">
        <v>5043</v>
      </c>
      <c r="L36" s="159">
        <v>0</v>
      </c>
      <c r="M36" s="160">
        <f>SUM(K36:L36)</f>
        <v>5043</v>
      </c>
      <c r="N36" s="161">
        <f>IF(K36/15&lt;=SMG,0,L36/2)</f>
        <v>0</v>
      </c>
      <c r="O36" s="161">
        <f t="shared" ref="O36" si="21">K36+N36</f>
        <v>5043</v>
      </c>
      <c r="P36" s="161">
        <f>VLOOKUP(O36,Tarifa1,1)</f>
        <v>3124.36</v>
      </c>
      <c r="Q36" s="161">
        <f t="shared" ref="Q36" si="22">O36-P36</f>
        <v>1918.6399999999999</v>
      </c>
      <c r="R36" s="162">
        <f>VLOOKUP(O36,Tarifa1,3)</f>
        <v>0.10879999999999999</v>
      </c>
      <c r="S36" s="161">
        <f t="shared" ref="S36" si="23">Q36*R36</f>
        <v>208.74803199999997</v>
      </c>
      <c r="T36" s="163">
        <f>VLOOKUP(O36,Tarifa1,2)</f>
        <v>183.45</v>
      </c>
      <c r="U36" s="161">
        <f t="shared" ref="U36" si="24">S36+T36</f>
        <v>392.19803199999996</v>
      </c>
      <c r="V36" s="161">
        <f>VLOOKUP(O36,Credito1,2)</f>
        <v>0</v>
      </c>
      <c r="W36" s="161">
        <f t="shared" ref="W36" si="25">ROUND(U36-V36,2)</f>
        <v>392.2</v>
      </c>
      <c r="X36" s="160">
        <f t="shared" ref="X36" si="26">-IF(W36&gt;0,0,W36)</f>
        <v>0</v>
      </c>
      <c r="Y36" s="160">
        <f>IF(K36/15&lt;=SMG,0,IF(W36&lt;0,0,W36))</f>
        <v>392.2</v>
      </c>
      <c r="Z36" s="164">
        <v>0</v>
      </c>
      <c r="AA36" s="160">
        <f>SUM(Y36:Z36)</f>
        <v>392.2</v>
      </c>
      <c r="AB36" s="160">
        <f>M36+X36-AA36</f>
        <v>4650.8</v>
      </c>
      <c r="AC36" s="110"/>
      <c r="AI36" s="264"/>
    </row>
    <row r="37" spans="1:35" s="111" customFormat="1" ht="84.9" customHeight="1" x14ac:dyDescent="0.3">
      <c r="A37" s="239"/>
      <c r="B37" s="204" t="s">
        <v>101</v>
      </c>
      <c r="C37" s="204" t="s">
        <v>133</v>
      </c>
      <c r="D37" s="259" t="s">
        <v>159</v>
      </c>
      <c r="E37" s="259" t="s">
        <v>102</v>
      </c>
      <c r="F37" s="259" t="s">
        <v>326</v>
      </c>
      <c r="G37" s="204" t="s">
        <v>468</v>
      </c>
      <c r="H37" s="259" t="s">
        <v>61</v>
      </c>
      <c r="I37" s="259"/>
      <c r="J37" s="259"/>
      <c r="K37" s="260">
        <f>SUM(K38)</f>
        <v>7013</v>
      </c>
      <c r="L37" s="260">
        <f>SUM(L38)</f>
        <v>0</v>
      </c>
      <c r="M37" s="260">
        <f>SUM(M38)</f>
        <v>7013</v>
      </c>
      <c r="N37" s="259"/>
      <c r="O37" s="259"/>
      <c r="P37" s="259"/>
      <c r="Q37" s="259"/>
      <c r="R37" s="259"/>
      <c r="S37" s="259"/>
      <c r="T37" s="262"/>
      <c r="U37" s="259"/>
      <c r="V37" s="259"/>
      <c r="W37" s="259"/>
      <c r="X37" s="260">
        <f>SUM(X38)</f>
        <v>0</v>
      </c>
      <c r="Y37" s="260">
        <f>SUM(Y38)</f>
        <v>696.58</v>
      </c>
      <c r="Z37" s="260">
        <f>SUM(Z38)</f>
        <v>0</v>
      </c>
      <c r="AA37" s="260">
        <f>SUM(AA38)</f>
        <v>696.58</v>
      </c>
      <c r="AB37" s="260">
        <f>SUM(AB38)</f>
        <v>6316.42</v>
      </c>
      <c r="AC37" s="263"/>
    </row>
    <row r="38" spans="1:35" s="111" customFormat="1" ht="130.5" customHeight="1" x14ac:dyDescent="0.35">
      <c r="A38" s="239"/>
      <c r="B38" s="152" t="s">
        <v>179</v>
      </c>
      <c r="C38" s="153" t="s">
        <v>124</v>
      </c>
      <c r="D38" s="227" t="s">
        <v>162</v>
      </c>
      <c r="E38" s="170" t="s">
        <v>171</v>
      </c>
      <c r="F38" s="170" t="s">
        <v>347</v>
      </c>
      <c r="G38" s="236">
        <v>43101</v>
      </c>
      <c r="H38" s="155" t="s">
        <v>163</v>
      </c>
      <c r="I38" s="156">
        <v>15</v>
      </c>
      <c r="J38" s="157">
        <f>K38/I38</f>
        <v>467.53333333333336</v>
      </c>
      <c r="K38" s="158">
        <v>7013</v>
      </c>
      <c r="L38" s="159">
        <v>0</v>
      </c>
      <c r="M38" s="160">
        <f>SUM(K38:L38)</f>
        <v>7013</v>
      </c>
      <c r="N38" s="161">
        <f>IF(K38/15&lt;=SMG,0,L38/2)</f>
        <v>0</v>
      </c>
      <c r="O38" s="161">
        <f t="shared" ref="O38" si="27">K38+N38</f>
        <v>7013</v>
      </c>
      <c r="P38" s="161">
        <f>VLOOKUP(O38,Tarifa1,1)</f>
        <v>6382.81</v>
      </c>
      <c r="Q38" s="161">
        <f t="shared" ref="Q38" si="28">O38-P38</f>
        <v>630.1899999999996</v>
      </c>
      <c r="R38" s="162">
        <f>VLOOKUP(O38,Tarifa1,3)</f>
        <v>0.1792</v>
      </c>
      <c r="S38" s="161">
        <f t="shared" ref="S38" si="29">Q38*R38</f>
        <v>112.93004799999993</v>
      </c>
      <c r="T38" s="163">
        <f>VLOOKUP(O38,Tarifa1,2)</f>
        <v>583.65</v>
      </c>
      <c r="U38" s="161">
        <f t="shared" ref="U38" si="30">S38+T38</f>
        <v>696.58004799999992</v>
      </c>
      <c r="V38" s="161">
        <f>VLOOKUP(O38,Credito1,2)</f>
        <v>0</v>
      </c>
      <c r="W38" s="161">
        <f t="shared" ref="W38" si="31">ROUND(U38-V38,2)</f>
        <v>696.58</v>
      </c>
      <c r="X38" s="160">
        <f t="shared" ref="X38" si="32">-IF(W38&gt;0,0,W38)</f>
        <v>0</v>
      </c>
      <c r="Y38" s="160">
        <f>IF(K38/15&lt;=SMG,0,IF(W38&lt;0,0,W38))</f>
        <v>696.58</v>
      </c>
      <c r="Z38" s="164">
        <v>0</v>
      </c>
      <c r="AA38" s="160">
        <f>SUM(Y38:Z38)</f>
        <v>696.58</v>
      </c>
      <c r="AB38" s="160">
        <f>M38+X38-AA38</f>
        <v>6316.42</v>
      </c>
      <c r="AC38" s="110"/>
    </row>
    <row r="39" spans="1:35" s="111" customFormat="1" ht="17.399999999999999" x14ac:dyDescent="0.3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65"/>
      <c r="L39" s="265"/>
      <c r="M39" s="265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110"/>
    </row>
    <row r="40" spans="1:35" s="111" customFormat="1" ht="39" customHeight="1" x14ac:dyDescent="0.3">
      <c r="A40" s="338" t="s">
        <v>44</v>
      </c>
      <c r="B40" s="338"/>
      <c r="C40" s="338"/>
      <c r="D40" s="338"/>
      <c r="E40" s="338"/>
      <c r="F40" s="338"/>
      <c r="G40" s="338"/>
      <c r="H40" s="338"/>
      <c r="I40" s="338"/>
      <c r="J40" s="338"/>
      <c r="K40" s="193">
        <f>SUM(K8+K11+K14+K31+K33+K35+K37)</f>
        <v>64638</v>
      </c>
      <c r="L40" s="193">
        <f>SUM(L8+L11+L14+L31+L33+L35+L37)</f>
        <v>0</v>
      </c>
      <c r="M40" s="193">
        <f>SUM(M8+M11+M14+M31+M33+M35+M37)</f>
        <v>64638</v>
      </c>
      <c r="N40" s="194">
        <f t="shared" ref="N40:W40" si="33">SUM(N11:N39)</f>
        <v>0</v>
      </c>
      <c r="O40" s="194">
        <f t="shared" si="33"/>
        <v>52190</v>
      </c>
      <c r="P40" s="194">
        <f t="shared" si="33"/>
        <v>41153.040000000001</v>
      </c>
      <c r="Q40" s="194">
        <f t="shared" si="33"/>
        <v>11036.96</v>
      </c>
      <c r="R40" s="194">
        <f t="shared" si="33"/>
        <v>1.2607999999999999</v>
      </c>
      <c r="S40" s="194">
        <f t="shared" si="33"/>
        <v>1400.1771519999995</v>
      </c>
      <c r="T40" s="194">
        <f t="shared" si="33"/>
        <v>3251.85</v>
      </c>
      <c r="U40" s="194">
        <f t="shared" si="33"/>
        <v>4652.0271519999997</v>
      </c>
      <c r="V40" s="194">
        <f t="shared" si="33"/>
        <v>0</v>
      </c>
      <c r="W40" s="194">
        <f t="shared" si="33"/>
        <v>4652.03</v>
      </c>
      <c r="X40" s="193">
        <f>SUM(X8+X11+X14+X31+X33+X35+X37)</f>
        <v>0</v>
      </c>
      <c r="Y40" s="193">
        <f>SUM(Y8+Y11+Y14+Y31+Y33+Y35+Y37)</f>
        <v>5783.46</v>
      </c>
      <c r="Z40" s="193">
        <f>SUM(Z8+Z11+Z14+Z31+Z33+Z35+Z37)</f>
        <v>2500</v>
      </c>
      <c r="AA40" s="193">
        <f>SUM(AA8+AA11+AA14+AA31+AA33+AA35+AA37)</f>
        <v>8283.4600000000009</v>
      </c>
      <c r="AB40" s="193">
        <f>SUM(AB8+AB11+AB14+AB31+AB33+AB35+AB37)</f>
        <v>56354.54</v>
      </c>
      <c r="AC40" s="110"/>
    </row>
    <row r="41" spans="1:35" s="51" customFormat="1" ht="11.4" x14ac:dyDescent="0.2"/>
    <row r="42" spans="1:35" s="51" customFormat="1" ht="11.4" x14ac:dyDescent="0.2"/>
    <row r="43" spans="1:35" s="51" customFormat="1" ht="11.4" x14ac:dyDescent="0.2"/>
    <row r="44" spans="1:35" s="51" customFormat="1" ht="11.4" x14ac:dyDescent="0.2"/>
    <row r="45" spans="1:35" s="51" customFormat="1" ht="11.4" x14ac:dyDescent="0.2"/>
    <row r="46" spans="1:35" s="51" customFormat="1" ht="11.4" x14ac:dyDescent="0.2"/>
    <row r="47" spans="1:35" s="51" customFormat="1" ht="11.4" x14ac:dyDescent="0.2"/>
  </sheetData>
  <mergeCells count="11">
    <mergeCell ref="A40:J40"/>
    <mergeCell ref="A1:AC1"/>
    <mergeCell ref="A2:AC2"/>
    <mergeCell ref="A3:AC3"/>
    <mergeCell ref="K5:M5"/>
    <mergeCell ref="P5:U5"/>
    <mergeCell ref="Y5:AA5"/>
    <mergeCell ref="C5:C7"/>
    <mergeCell ref="B26:AD26"/>
    <mergeCell ref="B27:AD27"/>
    <mergeCell ref="B28:AD28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2:G13 D10:E10"/>
  </dataValidations>
  <pageMargins left="0.27559055118110237" right="0.19685039370078741" top="0.6692913385826772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opLeftCell="B11" zoomScale="77" zoomScaleNormal="77" workbookViewId="0">
      <selection activeCell="B18" sqref="A18:XFD25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3" customWidth="1"/>
    <col min="6" max="6" width="31.33203125" customWidth="1"/>
    <col min="7" max="7" width="22.6640625" customWidth="1"/>
    <col min="8" max="8" width="23.44140625" customWidth="1"/>
    <col min="9" max="9" width="6.5546875" hidden="1" customWidth="1"/>
    <col min="10" max="10" width="10" hidden="1" customWidth="1"/>
    <col min="11" max="11" width="15.109375" customWidth="1"/>
    <col min="12" max="12" width="10.88671875" customWidth="1"/>
    <col min="13" max="13" width="13.88671875" customWidth="1"/>
    <col min="14" max="14" width="13.109375" hidden="1" customWidth="1"/>
    <col min="15" max="15" width="15.109375" hidden="1" customWidth="1"/>
    <col min="16" max="16" width="15.6640625" hidden="1" customWidth="1"/>
    <col min="17" max="17" width="12.33203125" hidden="1" customWidth="1"/>
    <col min="18" max="19" width="13.109375" hidden="1" customWidth="1"/>
    <col min="20" max="20" width="12.88671875" hidden="1" customWidth="1"/>
    <col min="21" max="21" width="12.109375" hidden="1" customWidth="1"/>
    <col min="22" max="22" width="13.109375" hidden="1" customWidth="1"/>
    <col min="23" max="23" width="13.44140625" hidden="1" customWidth="1"/>
    <col min="24" max="24" width="9.6640625" customWidth="1"/>
    <col min="25" max="25" width="13.88671875" customWidth="1"/>
    <col min="26" max="26" width="12.88671875" customWidth="1"/>
    <col min="27" max="27" width="14.33203125" customWidth="1"/>
    <col min="28" max="28" width="14.5546875" customWidth="1"/>
    <col min="29" max="29" width="64.10937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5</v>
      </c>
      <c r="K6" s="317" t="s">
        <v>1</v>
      </c>
      <c r="L6" s="318"/>
      <c r="M6" s="319"/>
      <c r="N6" s="24" t="s">
        <v>25</v>
      </c>
      <c r="O6" s="25"/>
      <c r="P6" s="320" t="s">
        <v>8</v>
      </c>
      <c r="Q6" s="321"/>
      <c r="R6" s="321"/>
      <c r="S6" s="321"/>
      <c r="T6" s="321"/>
      <c r="U6" s="322"/>
      <c r="V6" s="24" t="s">
        <v>29</v>
      </c>
      <c r="W6" s="24" t="s">
        <v>9</v>
      </c>
      <c r="X6" s="23" t="s">
        <v>52</v>
      </c>
      <c r="Y6" s="323" t="s">
        <v>2</v>
      </c>
      <c r="Z6" s="324"/>
      <c r="AA6" s="325"/>
      <c r="AB6" s="23" t="s">
        <v>0</v>
      </c>
      <c r="AC6" s="34"/>
    </row>
    <row r="7" spans="1:29" ht="21" x14ac:dyDescent="0.25">
      <c r="A7" s="26" t="s">
        <v>20</v>
      </c>
      <c r="B7" s="44" t="s">
        <v>101</v>
      </c>
      <c r="C7" s="44" t="s">
        <v>125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3" t="s">
        <v>433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 t="s">
        <v>46</v>
      </c>
      <c r="L8" s="29" t="s">
        <v>59</v>
      </c>
      <c r="M8" s="29" t="s">
        <v>28</v>
      </c>
      <c r="N8" s="30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9" t="s">
        <v>51</v>
      </c>
      <c r="Y8" s="29"/>
      <c r="Z8" s="29"/>
      <c r="AA8" s="29" t="s">
        <v>43</v>
      </c>
      <c r="AB8" s="29" t="s">
        <v>4</v>
      </c>
      <c r="AC8" s="35"/>
    </row>
    <row r="9" spans="1:29" s="4" customFormat="1" ht="54.75" customHeight="1" x14ac:dyDescent="0.3">
      <c r="A9" s="132"/>
      <c r="B9" s="132"/>
      <c r="C9" s="132"/>
      <c r="D9" s="131" t="s">
        <v>121</v>
      </c>
      <c r="E9" s="132" t="s">
        <v>102</v>
      </c>
      <c r="F9" s="132" t="s">
        <v>326</v>
      </c>
      <c r="G9" s="132" t="s">
        <v>468</v>
      </c>
      <c r="H9" s="132" t="s">
        <v>61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32"/>
      <c r="Y9" s="132"/>
      <c r="Z9" s="132"/>
      <c r="AA9" s="132"/>
      <c r="AB9" s="132"/>
      <c r="AC9" s="101"/>
    </row>
    <row r="10" spans="1:29" s="4" customFormat="1" ht="131.25" customHeight="1" x14ac:dyDescent="0.35">
      <c r="A10" s="109" t="s">
        <v>83</v>
      </c>
      <c r="B10" s="153" t="s">
        <v>116</v>
      </c>
      <c r="C10" s="153" t="s">
        <v>124</v>
      </c>
      <c r="D10" s="227" t="s">
        <v>99</v>
      </c>
      <c r="E10" s="154" t="s">
        <v>117</v>
      </c>
      <c r="F10" s="154" t="s">
        <v>334</v>
      </c>
      <c r="G10" s="230">
        <v>42278</v>
      </c>
      <c r="H10" s="155" t="s">
        <v>256</v>
      </c>
      <c r="I10" s="156">
        <v>15</v>
      </c>
      <c r="J10" s="157">
        <f>K10/I10</f>
        <v>1110.0666666666666</v>
      </c>
      <c r="K10" s="158">
        <v>16651</v>
      </c>
      <c r="L10" s="159">
        <v>0</v>
      </c>
      <c r="M10" s="160">
        <f>SUM(K10:L10)</f>
        <v>16651</v>
      </c>
      <c r="N10" s="161">
        <f>IF(K10/15&lt;=SMG,0,L10/2)</f>
        <v>0</v>
      </c>
      <c r="O10" s="161">
        <f>K10+N10</f>
        <v>16651</v>
      </c>
      <c r="P10" s="161">
        <f>VLOOKUP(O10,Tarifa1,1)</f>
        <v>15412.81</v>
      </c>
      <c r="Q10" s="161">
        <f>O10-P10</f>
        <v>1238.1900000000005</v>
      </c>
      <c r="R10" s="162">
        <f>VLOOKUP(O10,Tarifa1,3)</f>
        <v>0.23519999999999999</v>
      </c>
      <c r="S10" s="161">
        <f>Q10*R10</f>
        <v>291.22228800000011</v>
      </c>
      <c r="T10" s="163">
        <f>VLOOKUP(O10,Tarifa1,2)</f>
        <v>2469.15</v>
      </c>
      <c r="U10" s="161">
        <f>S10+T10</f>
        <v>2760.372288</v>
      </c>
      <c r="V10" s="161">
        <f>VLOOKUP(O10,Credito1,2)</f>
        <v>0</v>
      </c>
      <c r="W10" s="161">
        <f>ROUND(U10-V10,2)</f>
        <v>2760.37</v>
      </c>
      <c r="X10" s="160">
        <f>-IF(W10&gt;0,0,W10)</f>
        <v>0</v>
      </c>
      <c r="Y10" s="160">
        <f>IF(K10/15&lt;=SMG,0,IF(W10&lt;0,0,W10))</f>
        <v>2760.37</v>
      </c>
      <c r="Z10" s="164">
        <v>0</v>
      </c>
      <c r="AA10" s="160">
        <f>SUM(Y10:Z10)</f>
        <v>2760.37</v>
      </c>
      <c r="AB10" s="160">
        <f>M10+X10-AA10</f>
        <v>13890.630000000001</v>
      </c>
      <c r="AC10" s="89"/>
    </row>
    <row r="11" spans="1:29" s="4" customFormat="1" ht="131.25" customHeight="1" x14ac:dyDescent="0.35">
      <c r="A11" s="109" t="s">
        <v>85</v>
      </c>
      <c r="B11" s="153" t="s">
        <v>105</v>
      </c>
      <c r="C11" s="153" t="s">
        <v>124</v>
      </c>
      <c r="D11" s="227" t="s">
        <v>73</v>
      </c>
      <c r="E11" s="154" t="s">
        <v>118</v>
      </c>
      <c r="F11" s="154" t="s">
        <v>327</v>
      </c>
      <c r="G11" s="230">
        <v>39462</v>
      </c>
      <c r="H11" s="155" t="s">
        <v>257</v>
      </c>
      <c r="I11" s="156">
        <v>15</v>
      </c>
      <c r="J11" s="157">
        <f>K11/I11</f>
        <v>704.86666666666667</v>
      </c>
      <c r="K11" s="158">
        <v>10573</v>
      </c>
      <c r="L11" s="159">
        <v>0</v>
      </c>
      <c r="M11" s="160">
        <f>K11</f>
        <v>10573</v>
      </c>
      <c r="N11" s="161">
        <f>IF(K11/15&lt;=SMG,0,L11/2)</f>
        <v>0</v>
      </c>
      <c r="O11" s="161">
        <f t="shared" ref="O11:O12" si="0">K11+N11</f>
        <v>10573</v>
      </c>
      <c r="P11" s="161">
        <f>VLOOKUP(O11,Tarifa1,1)</f>
        <v>7641.91</v>
      </c>
      <c r="Q11" s="161">
        <f t="shared" ref="Q11:Q12" si="1">O11-P11</f>
        <v>2931.09</v>
      </c>
      <c r="R11" s="162">
        <f>VLOOKUP(O11,Tarifa1,3)</f>
        <v>0.21360000000000001</v>
      </c>
      <c r="S11" s="161">
        <f t="shared" ref="S11:S12" si="2">Q11*R11</f>
        <v>626.08082400000012</v>
      </c>
      <c r="T11" s="163">
        <f>VLOOKUP(O11,Tarifa1,2)</f>
        <v>809.25</v>
      </c>
      <c r="U11" s="161">
        <f t="shared" ref="U11:U12" si="3">S11+T11</f>
        <v>1435.3308240000001</v>
      </c>
      <c r="V11" s="161">
        <f>VLOOKUP(O11,Credito1,2)</f>
        <v>0</v>
      </c>
      <c r="W11" s="161">
        <f t="shared" ref="W11:W12" si="4">ROUND(U11-V11,2)</f>
        <v>1435.33</v>
      </c>
      <c r="X11" s="160">
        <f t="shared" ref="X11:X12" si="5">-IF(W11&gt;0,0,W11)</f>
        <v>0</v>
      </c>
      <c r="Y11" s="160">
        <f>IF(K11/15&lt;=SMG,0,IF(W11&lt;0,0,W11))</f>
        <v>1435.33</v>
      </c>
      <c r="Z11" s="164">
        <v>0</v>
      </c>
      <c r="AA11" s="160">
        <f>SUM(Y11:Z11)</f>
        <v>1435.33</v>
      </c>
      <c r="AB11" s="160">
        <f>M11+X11-AA11</f>
        <v>9137.67</v>
      </c>
      <c r="AC11" s="89"/>
    </row>
    <row r="12" spans="1:29" s="4" customFormat="1" ht="131.25" customHeight="1" x14ac:dyDescent="0.35">
      <c r="A12" s="109" t="s">
        <v>86</v>
      </c>
      <c r="B12" s="153" t="s">
        <v>119</v>
      </c>
      <c r="C12" s="153" t="s">
        <v>124</v>
      </c>
      <c r="D12" s="227" t="s">
        <v>96</v>
      </c>
      <c r="E12" s="154" t="s">
        <v>120</v>
      </c>
      <c r="F12" s="154" t="s">
        <v>335</v>
      </c>
      <c r="G12" s="230">
        <v>42278</v>
      </c>
      <c r="H12" s="155" t="s">
        <v>257</v>
      </c>
      <c r="I12" s="156">
        <v>15</v>
      </c>
      <c r="J12" s="157">
        <f>K12/I12</f>
        <v>418.33333333333331</v>
      </c>
      <c r="K12" s="158">
        <v>6275</v>
      </c>
      <c r="L12" s="159">
        <v>0</v>
      </c>
      <c r="M12" s="160">
        <f>SUM(K12:L12)</f>
        <v>6275</v>
      </c>
      <c r="N12" s="161">
        <f>IF(K12/15&lt;=SMG,0,L12/2)</f>
        <v>0</v>
      </c>
      <c r="O12" s="161">
        <f t="shared" si="0"/>
        <v>6275</v>
      </c>
      <c r="P12" s="161">
        <f>VLOOKUP(O12,Tarifa1,1)</f>
        <v>5490.76</v>
      </c>
      <c r="Q12" s="161">
        <f t="shared" si="1"/>
        <v>784.23999999999978</v>
      </c>
      <c r="R12" s="162">
        <f>VLOOKUP(O12,Tarifa1,3)</f>
        <v>0.16</v>
      </c>
      <c r="S12" s="161">
        <f t="shared" si="2"/>
        <v>125.47839999999997</v>
      </c>
      <c r="T12" s="163">
        <f>VLOOKUP(O12,Tarifa1,2)</f>
        <v>441</v>
      </c>
      <c r="U12" s="161">
        <f t="shared" si="3"/>
        <v>566.47839999999997</v>
      </c>
      <c r="V12" s="161">
        <f>VLOOKUP(O12,Credito1,2)</f>
        <v>0</v>
      </c>
      <c r="W12" s="161">
        <f t="shared" si="4"/>
        <v>566.48</v>
      </c>
      <c r="X12" s="160">
        <f t="shared" si="5"/>
        <v>0</v>
      </c>
      <c r="Y12" s="160">
        <f>IF(K12/15&lt;=SMG,0,IF(W12&lt;0,0,W12))</f>
        <v>566.48</v>
      </c>
      <c r="Z12" s="164">
        <v>0</v>
      </c>
      <c r="AA12" s="160">
        <f>SUM(Y12:Z12)</f>
        <v>566.48</v>
      </c>
      <c r="AB12" s="160">
        <f>M12+X12-AA12</f>
        <v>5708.52</v>
      </c>
      <c r="AC12" s="89"/>
    </row>
    <row r="13" spans="1:29" s="4" customFormat="1" ht="36" customHeight="1" x14ac:dyDescent="0.3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6"/>
      <c r="L13" s="186"/>
      <c r="M13" s="186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</row>
    <row r="14" spans="1:29" s="4" customFormat="1" ht="60" customHeight="1" thickBot="1" x14ac:dyDescent="0.35">
      <c r="A14" s="302" t="s">
        <v>44</v>
      </c>
      <c r="B14" s="303"/>
      <c r="C14" s="303"/>
      <c r="D14" s="303"/>
      <c r="E14" s="303"/>
      <c r="F14" s="303"/>
      <c r="G14" s="303"/>
      <c r="H14" s="303"/>
      <c r="I14" s="303"/>
      <c r="J14" s="304"/>
      <c r="K14" s="167">
        <f>SUM(K10:K13)</f>
        <v>33499</v>
      </c>
      <c r="L14" s="167">
        <f>SUM(L10:L13)</f>
        <v>0</v>
      </c>
      <c r="M14" s="167">
        <f>SUM(M10:M13)</f>
        <v>33499</v>
      </c>
      <c r="N14" s="168">
        <f t="shared" ref="N14:W14" si="6">SUM(N10:N13)</f>
        <v>0</v>
      </c>
      <c r="O14" s="168">
        <f t="shared" si="6"/>
        <v>33499</v>
      </c>
      <c r="P14" s="168">
        <f t="shared" si="6"/>
        <v>28545.480000000003</v>
      </c>
      <c r="Q14" s="168">
        <f t="shared" si="6"/>
        <v>4953.5200000000004</v>
      </c>
      <c r="R14" s="168">
        <f t="shared" si="6"/>
        <v>0.60880000000000001</v>
      </c>
      <c r="S14" s="168">
        <f t="shared" si="6"/>
        <v>1042.7815120000002</v>
      </c>
      <c r="T14" s="168">
        <f t="shared" si="6"/>
        <v>3719.4</v>
      </c>
      <c r="U14" s="168">
        <f t="shared" si="6"/>
        <v>4762.1815120000001</v>
      </c>
      <c r="V14" s="168">
        <f t="shared" si="6"/>
        <v>0</v>
      </c>
      <c r="W14" s="168">
        <f t="shared" si="6"/>
        <v>4762.18</v>
      </c>
      <c r="X14" s="167">
        <f>SUM(X10:X13)</f>
        <v>0</v>
      </c>
      <c r="Y14" s="167">
        <f>SUM(Y10:Y13)</f>
        <v>4762.18</v>
      </c>
      <c r="Z14" s="167">
        <f>SUM(Z10:Z13)</f>
        <v>0</v>
      </c>
      <c r="AA14" s="167">
        <f>SUM(AA10:AA13)</f>
        <v>4762.18</v>
      </c>
      <c r="AB14" s="167">
        <f>SUM(AB10:AB12)</f>
        <v>28736.820000000003</v>
      </c>
    </row>
    <row r="15" spans="1:29" ht="35.1" customHeight="1" thickTop="1" x14ac:dyDescent="0.25"/>
    <row r="16" spans="1:29" ht="35.1" customHeight="1" x14ac:dyDescent="0.25"/>
  </sheetData>
  <mergeCells count="7">
    <mergeCell ref="A14:J14"/>
    <mergeCell ref="A1:AC1"/>
    <mergeCell ref="A3:AC3"/>
    <mergeCell ref="K6:M6"/>
    <mergeCell ref="P6:U6"/>
    <mergeCell ref="Y6:AA6"/>
    <mergeCell ref="A2:AC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opLeftCell="B17" zoomScale="87" zoomScaleNormal="87" workbookViewId="0">
      <selection activeCell="B28" sqref="A28:XFD34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3.6640625" customWidth="1"/>
    <col min="6" max="6" width="35" customWidth="1"/>
    <col min="7" max="7" width="24.44140625" customWidth="1"/>
    <col min="8" max="8" width="20.6640625" customWidth="1"/>
    <col min="9" max="9" width="6.5546875" hidden="1" customWidth="1"/>
    <col min="10" max="10" width="8.5546875" hidden="1" customWidth="1"/>
    <col min="11" max="11" width="14.44140625" customWidth="1"/>
    <col min="12" max="12" width="14.33203125" customWidth="1"/>
    <col min="13" max="13" width="13.109375" hidden="1" customWidth="1"/>
    <col min="14" max="16" width="12.88671875" hidden="1" customWidth="1"/>
    <col min="17" max="18" width="13.109375" hidden="1" customWidth="1"/>
    <col min="19" max="19" width="10.5546875" hidden="1" customWidth="1"/>
    <col min="20" max="20" width="13" hidden="1" customWidth="1"/>
    <col min="21" max="21" width="13.109375" hidden="1" customWidth="1"/>
    <col min="22" max="22" width="13.88671875" hidden="1" customWidth="1"/>
    <col min="23" max="23" width="9.6640625" customWidth="1"/>
    <col min="24" max="25" width="14.6640625" customWidth="1"/>
    <col min="26" max="26" width="14.5546875" customWidth="1"/>
    <col min="27" max="27" width="15.44140625" customWidth="1"/>
    <col min="28" max="28" width="71.109375" customWidth="1"/>
    <col min="29" max="29" width="0.8867187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</row>
    <row r="3" spans="1:29" ht="19.8" x14ac:dyDescent="0.3">
      <c r="A3" s="306" t="s">
        <v>475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9" x14ac:dyDescent="0.25">
      <c r="A6" s="22"/>
      <c r="B6" s="22"/>
      <c r="C6" s="22"/>
      <c r="D6" s="22"/>
      <c r="E6" s="22"/>
      <c r="F6" s="22"/>
      <c r="G6" s="22"/>
      <c r="H6" s="22"/>
      <c r="I6" s="23" t="s">
        <v>22</v>
      </c>
      <c r="J6" s="23" t="s">
        <v>5</v>
      </c>
      <c r="K6" s="317" t="s">
        <v>1</v>
      </c>
      <c r="L6" s="319"/>
      <c r="M6" s="24" t="s">
        <v>25</v>
      </c>
      <c r="N6" s="25"/>
      <c r="O6" s="320" t="s">
        <v>8</v>
      </c>
      <c r="P6" s="321"/>
      <c r="Q6" s="321"/>
      <c r="R6" s="321"/>
      <c r="S6" s="321"/>
      <c r="T6" s="322"/>
      <c r="U6" s="24" t="s">
        <v>29</v>
      </c>
      <c r="V6" s="24" t="s">
        <v>9</v>
      </c>
      <c r="W6" s="23" t="s">
        <v>52</v>
      </c>
      <c r="X6" s="323" t="s">
        <v>2</v>
      </c>
      <c r="Y6" s="324"/>
      <c r="Z6" s="325"/>
      <c r="AA6" s="23" t="s">
        <v>0</v>
      </c>
      <c r="AB6" s="34"/>
    </row>
    <row r="7" spans="1:29" ht="33.75" customHeight="1" x14ac:dyDescent="0.25">
      <c r="A7" s="26" t="s">
        <v>20</v>
      </c>
      <c r="B7" s="44" t="s">
        <v>101</v>
      </c>
      <c r="C7" s="44" t="s">
        <v>125</v>
      </c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27</v>
      </c>
      <c r="M7" s="28" t="s">
        <v>26</v>
      </c>
      <c r="N7" s="25" t="s">
        <v>31</v>
      </c>
      <c r="O7" s="25" t="s">
        <v>11</v>
      </c>
      <c r="P7" s="25" t="s">
        <v>33</v>
      </c>
      <c r="Q7" s="25" t="s">
        <v>35</v>
      </c>
      <c r="R7" s="25" t="s">
        <v>36</v>
      </c>
      <c r="S7" s="25" t="s">
        <v>13</v>
      </c>
      <c r="T7" s="25" t="s">
        <v>9</v>
      </c>
      <c r="U7" s="28" t="s">
        <v>39</v>
      </c>
      <c r="V7" s="28" t="s">
        <v>40</v>
      </c>
      <c r="W7" s="26" t="s">
        <v>30</v>
      </c>
      <c r="X7" s="23" t="s">
        <v>433</v>
      </c>
      <c r="Y7" s="23" t="s">
        <v>56</v>
      </c>
      <c r="Z7" s="23" t="s">
        <v>6</v>
      </c>
      <c r="AA7" s="26" t="s">
        <v>3</v>
      </c>
      <c r="AB7" s="36" t="s">
        <v>57</v>
      </c>
    </row>
    <row r="8" spans="1:29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 t="s">
        <v>46</v>
      </c>
      <c r="L8" s="29" t="s">
        <v>28</v>
      </c>
      <c r="M8" s="30" t="s">
        <v>42</v>
      </c>
      <c r="N8" s="24" t="s">
        <v>32</v>
      </c>
      <c r="O8" s="24" t="s">
        <v>12</v>
      </c>
      <c r="P8" s="24" t="s">
        <v>34</v>
      </c>
      <c r="Q8" s="24" t="s">
        <v>34</v>
      </c>
      <c r="R8" s="24" t="s">
        <v>37</v>
      </c>
      <c r="S8" s="24" t="s">
        <v>14</v>
      </c>
      <c r="T8" s="24" t="s">
        <v>38</v>
      </c>
      <c r="U8" s="28" t="s">
        <v>18</v>
      </c>
      <c r="V8" s="31" t="s">
        <v>41</v>
      </c>
      <c r="W8" s="29" t="s">
        <v>51</v>
      </c>
      <c r="X8" s="29"/>
      <c r="Y8" s="29"/>
      <c r="Z8" s="29" t="s">
        <v>43</v>
      </c>
      <c r="AA8" s="29" t="s">
        <v>4</v>
      </c>
      <c r="AB8" s="35"/>
    </row>
    <row r="9" spans="1:29" ht="13.8" x14ac:dyDescent="0.25">
      <c r="A9" s="39"/>
      <c r="B9" s="39"/>
      <c r="C9" s="39"/>
      <c r="D9" s="90" t="s">
        <v>60</v>
      </c>
      <c r="E9" s="38" t="s">
        <v>102</v>
      </c>
      <c r="F9" s="38" t="s">
        <v>326</v>
      </c>
      <c r="G9" s="38" t="s">
        <v>468</v>
      </c>
      <c r="H9" s="38" t="s">
        <v>61</v>
      </c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  <c r="W9" s="39"/>
      <c r="X9" s="39"/>
      <c r="Y9" s="39"/>
      <c r="Z9" s="39"/>
      <c r="AA9" s="39"/>
      <c r="AB9" s="91"/>
    </row>
    <row r="10" spans="1:29" ht="93.75" customHeight="1" x14ac:dyDescent="0.35">
      <c r="A10" s="109" t="s">
        <v>83</v>
      </c>
      <c r="B10" s="152" t="s">
        <v>299</v>
      </c>
      <c r="C10" s="153" t="s">
        <v>124</v>
      </c>
      <c r="D10" s="227" t="s">
        <v>266</v>
      </c>
      <c r="E10" s="154" t="s">
        <v>281</v>
      </c>
      <c r="F10" s="154" t="s">
        <v>373</v>
      </c>
      <c r="G10" s="230">
        <v>44470</v>
      </c>
      <c r="H10" s="154" t="s">
        <v>75</v>
      </c>
      <c r="I10" s="156">
        <v>15</v>
      </c>
      <c r="J10" s="195">
        <f>K10/I10</f>
        <v>590</v>
      </c>
      <c r="K10" s="158">
        <v>8850</v>
      </c>
      <c r="L10" s="160">
        <f t="shared" ref="L10:L18" si="0">SUM(K10:K10)</f>
        <v>8850</v>
      </c>
      <c r="M10" s="161">
        <v>0</v>
      </c>
      <c r="N10" s="161">
        <f>L10+M10</f>
        <v>8850</v>
      </c>
      <c r="O10" s="161">
        <f t="shared" ref="O10:O18" si="1">VLOOKUP(N10,Tarifa1,1)</f>
        <v>7641.91</v>
      </c>
      <c r="P10" s="161">
        <f>N10-O10</f>
        <v>1208.0900000000001</v>
      </c>
      <c r="Q10" s="162">
        <f t="shared" ref="Q10" si="2">VLOOKUP(N10,Tarifa1,3)</f>
        <v>0.21360000000000001</v>
      </c>
      <c r="R10" s="161">
        <f>P10*Q10</f>
        <v>258.04802400000005</v>
      </c>
      <c r="S10" s="163">
        <f t="shared" ref="S10:S18" si="3">VLOOKUP(N10,Tarifa1,2)</f>
        <v>809.25</v>
      </c>
      <c r="T10" s="161">
        <f>R10+S10</f>
        <v>1067.2980240000002</v>
      </c>
      <c r="U10" s="161">
        <f t="shared" ref="U10" si="4">VLOOKUP(N10,Credito1,2)</f>
        <v>0</v>
      </c>
      <c r="V10" s="161">
        <f>ROUND(T10-U10,2)</f>
        <v>1067.3</v>
      </c>
      <c r="W10" s="160">
        <f t="shared" ref="W10:W18" si="5">-IF(V10&gt;0,0,V10)</f>
        <v>0</v>
      </c>
      <c r="X10" s="160">
        <f t="shared" ref="X10:X18" si="6">IF(K10/15&lt;=SMG,0,IF(V10&lt;0,0,V10))</f>
        <v>1067.3</v>
      </c>
      <c r="Y10" s="164">
        <v>0</v>
      </c>
      <c r="Z10" s="160">
        <f t="shared" ref="Z10:Z17" si="7">SUM(X10:Y10)</f>
        <v>1067.3</v>
      </c>
      <c r="AA10" s="160">
        <f t="shared" ref="AA10:AA18" si="8">L10+W10-Z10</f>
        <v>7782.7</v>
      </c>
      <c r="AB10" s="33"/>
    </row>
    <row r="11" spans="1:29" ht="93.75" customHeight="1" x14ac:dyDescent="0.35">
      <c r="A11" s="109" t="s">
        <v>84</v>
      </c>
      <c r="B11" s="152" t="s">
        <v>264</v>
      </c>
      <c r="C11" s="153" t="s">
        <v>124</v>
      </c>
      <c r="D11" s="227" t="s">
        <v>267</v>
      </c>
      <c r="E11" s="154" t="s">
        <v>278</v>
      </c>
      <c r="F11" s="154" t="s">
        <v>374</v>
      </c>
      <c r="G11" s="230">
        <v>44470</v>
      </c>
      <c r="H11" s="154" t="s">
        <v>75</v>
      </c>
      <c r="I11" s="156">
        <v>15</v>
      </c>
      <c r="J11" s="195">
        <f t="shared" ref="J11:J18" si="9">K11/I11</f>
        <v>590</v>
      </c>
      <c r="K11" s="158">
        <v>8850</v>
      </c>
      <c r="L11" s="160">
        <f t="shared" si="0"/>
        <v>8850</v>
      </c>
      <c r="M11" s="161">
        <v>0</v>
      </c>
      <c r="N11" s="161">
        <f t="shared" ref="N11:N18" si="10">L11+M11</f>
        <v>8850</v>
      </c>
      <c r="O11" s="161">
        <f t="shared" si="1"/>
        <v>7641.91</v>
      </c>
      <c r="P11" s="161">
        <f t="shared" ref="P11" si="11">N11-O11</f>
        <v>1208.0900000000001</v>
      </c>
      <c r="Q11" s="162">
        <f t="shared" ref="Q11" si="12">VLOOKUP(N11,Tarifa1,3)</f>
        <v>0.21360000000000001</v>
      </c>
      <c r="R11" s="161">
        <f t="shared" ref="R11" si="13">P11*Q11</f>
        <v>258.04802400000005</v>
      </c>
      <c r="S11" s="163">
        <f t="shared" si="3"/>
        <v>809.25</v>
      </c>
      <c r="T11" s="161">
        <f t="shared" ref="T11:T18" si="14">R11+S11</f>
        <v>1067.2980240000002</v>
      </c>
      <c r="U11" s="161">
        <f t="shared" ref="U11:U18" si="15">VLOOKUP(N11,Credito1,2)</f>
        <v>0</v>
      </c>
      <c r="V11" s="161">
        <f t="shared" ref="V11:V18" si="16">ROUND(T11-U11,2)</f>
        <v>1067.3</v>
      </c>
      <c r="W11" s="160">
        <f t="shared" si="5"/>
        <v>0</v>
      </c>
      <c r="X11" s="160">
        <f t="shared" si="6"/>
        <v>1067.3</v>
      </c>
      <c r="Y11" s="164">
        <v>0</v>
      </c>
      <c r="Z11" s="160">
        <f t="shared" si="7"/>
        <v>1067.3</v>
      </c>
      <c r="AA11" s="160">
        <f t="shared" si="8"/>
        <v>7782.7</v>
      </c>
      <c r="AB11" s="33"/>
    </row>
    <row r="12" spans="1:29" ht="93.75" customHeight="1" x14ac:dyDescent="0.35">
      <c r="A12" s="109" t="s">
        <v>85</v>
      </c>
      <c r="B12" s="152" t="s">
        <v>265</v>
      </c>
      <c r="C12" s="153" t="s">
        <v>124</v>
      </c>
      <c r="D12" s="227" t="s">
        <v>268</v>
      </c>
      <c r="E12" s="154" t="s">
        <v>280</v>
      </c>
      <c r="F12" s="154" t="s">
        <v>375</v>
      </c>
      <c r="G12" s="230">
        <v>44470</v>
      </c>
      <c r="H12" s="154" t="s">
        <v>75</v>
      </c>
      <c r="I12" s="156">
        <v>15</v>
      </c>
      <c r="J12" s="195">
        <f t="shared" si="9"/>
        <v>590</v>
      </c>
      <c r="K12" s="158">
        <v>8850</v>
      </c>
      <c r="L12" s="160">
        <f t="shared" si="0"/>
        <v>8850</v>
      </c>
      <c r="M12" s="161">
        <v>0</v>
      </c>
      <c r="N12" s="161">
        <f t="shared" si="10"/>
        <v>8850</v>
      </c>
      <c r="O12" s="161">
        <f t="shared" si="1"/>
        <v>7641.91</v>
      </c>
      <c r="P12" s="161">
        <f t="shared" ref="P12:P18" si="17">N12-O12</f>
        <v>1208.0900000000001</v>
      </c>
      <c r="Q12" s="162">
        <f t="shared" ref="Q12:Q18" si="18">VLOOKUP(N12,Tarifa1,3)</f>
        <v>0.21360000000000001</v>
      </c>
      <c r="R12" s="161">
        <f t="shared" ref="R12:R18" si="19">P12*Q12</f>
        <v>258.04802400000005</v>
      </c>
      <c r="S12" s="163">
        <f t="shared" si="3"/>
        <v>809.25</v>
      </c>
      <c r="T12" s="161">
        <f t="shared" si="14"/>
        <v>1067.2980240000002</v>
      </c>
      <c r="U12" s="161">
        <f t="shared" si="15"/>
        <v>0</v>
      </c>
      <c r="V12" s="161">
        <f t="shared" si="16"/>
        <v>1067.3</v>
      </c>
      <c r="W12" s="160">
        <f t="shared" si="5"/>
        <v>0</v>
      </c>
      <c r="X12" s="160">
        <f t="shared" si="6"/>
        <v>1067.3</v>
      </c>
      <c r="Y12" s="164">
        <v>0</v>
      </c>
      <c r="Z12" s="160">
        <f t="shared" si="7"/>
        <v>1067.3</v>
      </c>
      <c r="AA12" s="160">
        <f t="shared" si="8"/>
        <v>7782.7</v>
      </c>
      <c r="AB12" s="33"/>
    </row>
    <row r="13" spans="1:29" ht="93.75" customHeight="1" x14ac:dyDescent="0.35">
      <c r="A13" s="109" t="s">
        <v>86</v>
      </c>
      <c r="B13" s="152" t="s">
        <v>300</v>
      </c>
      <c r="C13" s="153" t="s">
        <v>124</v>
      </c>
      <c r="D13" s="228" t="s">
        <v>269</v>
      </c>
      <c r="E13" s="154" t="s">
        <v>277</v>
      </c>
      <c r="F13" s="154" t="s">
        <v>376</v>
      </c>
      <c r="G13" s="230">
        <v>44470</v>
      </c>
      <c r="H13" s="154" t="s">
        <v>75</v>
      </c>
      <c r="I13" s="156">
        <v>10</v>
      </c>
      <c r="J13" s="195">
        <f t="shared" si="9"/>
        <v>885</v>
      </c>
      <c r="K13" s="158">
        <v>8850</v>
      </c>
      <c r="L13" s="160">
        <f t="shared" ref="L13" si="20">SUM(K13:K13)</f>
        <v>8850</v>
      </c>
      <c r="M13" s="161">
        <v>0</v>
      </c>
      <c r="N13" s="161">
        <f t="shared" ref="N13" si="21">L13+M13</f>
        <v>8850</v>
      </c>
      <c r="O13" s="161">
        <f t="shared" si="1"/>
        <v>7641.91</v>
      </c>
      <c r="P13" s="161">
        <f t="shared" si="17"/>
        <v>1208.0900000000001</v>
      </c>
      <c r="Q13" s="162">
        <f t="shared" si="18"/>
        <v>0.21360000000000001</v>
      </c>
      <c r="R13" s="161">
        <f t="shared" si="19"/>
        <v>258.04802400000005</v>
      </c>
      <c r="S13" s="163">
        <f t="shared" si="3"/>
        <v>809.25</v>
      </c>
      <c r="T13" s="161">
        <f t="shared" ref="T13" si="22">R13+S13</f>
        <v>1067.2980240000002</v>
      </c>
      <c r="U13" s="161">
        <f t="shared" ref="U13" si="23">VLOOKUP(N13,Credito1,2)</f>
        <v>0</v>
      </c>
      <c r="V13" s="161">
        <f t="shared" ref="V13" si="24">ROUND(T13-U13,2)</f>
        <v>1067.3</v>
      </c>
      <c r="W13" s="160">
        <f t="shared" si="5"/>
        <v>0</v>
      </c>
      <c r="X13" s="160">
        <f t="shared" si="6"/>
        <v>1067.3</v>
      </c>
      <c r="Y13" s="164">
        <v>0</v>
      </c>
      <c r="Z13" s="160">
        <f t="shared" si="7"/>
        <v>1067.3</v>
      </c>
      <c r="AA13" s="160">
        <f t="shared" si="8"/>
        <v>7782.7</v>
      </c>
      <c r="AB13" s="33"/>
    </row>
    <row r="14" spans="1:29" ht="93.75" customHeight="1" x14ac:dyDescent="0.35">
      <c r="A14" s="109" t="s">
        <v>87</v>
      </c>
      <c r="B14" s="152" t="s">
        <v>301</v>
      </c>
      <c r="C14" s="153" t="s">
        <v>124</v>
      </c>
      <c r="D14" s="229" t="s">
        <v>270</v>
      </c>
      <c r="E14" s="170" t="s">
        <v>279</v>
      </c>
      <c r="F14" s="170" t="s">
        <v>377</v>
      </c>
      <c r="G14" s="230">
        <v>44470</v>
      </c>
      <c r="H14" s="170" t="s">
        <v>75</v>
      </c>
      <c r="I14" s="171">
        <v>15</v>
      </c>
      <c r="J14" s="196">
        <f t="shared" si="9"/>
        <v>590</v>
      </c>
      <c r="K14" s="158">
        <v>8850</v>
      </c>
      <c r="L14" s="160">
        <f t="shared" ref="L14" si="25">SUM(K14:K14)</f>
        <v>8850</v>
      </c>
      <c r="M14" s="161">
        <v>0</v>
      </c>
      <c r="N14" s="161">
        <f t="shared" si="10"/>
        <v>8850</v>
      </c>
      <c r="O14" s="161">
        <f t="shared" si="1"/>
        <v>7641.91</v>
      </c>
      <c r="P14" s="161">
        <f t="shared" si="17"/>
        <v>1208.0900000000001</v>
      </c>
      <c r="Q14" s="162">
        <f t="shared" si="18"/>
        <v>0.21360000000000001</v>
      </c>
      <c r="R14" s="161">
        <f t="shared" si="19"/>
        <v>258.04802400000005</v>
      </c>
      <c r="S14" s="163">
        <f t="shared" si="3"/>
        <v>809.25</v>
      </c>
      <c r="T14" s="161">
        <f t="shared" si="14"/>
        <v>1067.2980240000002</v>
      </c>
      <c r="U14" s="161">
        <f t="shared" si="15"/>
        <v>0</v>
      </c>
      <c r="V14" s="161">
        <f t="shared" si="16"/>
        <v>1067.3</v>
      </c>
      <c r="W14" s="160">
        <f t="shared" ref="W14" si="26">-IF(V14&gt;0,0,V14)</f>
        <v>0</v>
      </c>
      <c r="X14" s="160">
        <f t="shared" si="6"/>
        <v>1067.3</v>
      </c>
      <c r="Y14" s="164">
        <v>0</v>
      </c>
      <c r="Z14" s="160">
        <f t="shared" ref="Z14" si="27">SUM(X14:Y14)</f>
        <v>1067.3</v>
      </c>
      <c r="AA14" s="160">
        <f t="shared" ref="AA14" si="28">L14+W14-Z14</f>
        <v>7782.7</v>
      </c>
      <c r="AB14" s="33"/>
    </row>
    <row r="15" spans="1:29" ht="93.75" customHeight="1" x14ac:dyDescent="0.35">
      <c r="A15" s="109" t="s">
        <v>88</v>
      </c>
      <c r="B15" s="152" t="s">
        <v>302</v>
      </c>
      <c r="C15" s="153" t="s">
        <v>124</v>
      </c>
      <c r="D15" s="227" t="s">
        <v>271</v>
      </c>
      <c r="E15" s="154" t="s">
        <v>294</v>
      </c>
      <c r="F15" s="154" t="s">
        <v>378</v>
      </c>
      <c r="G15" s="230">
        <v>44470</v>
      </c>
      <c r="H15" s="154" t="s">
        <v>75</v>
      </c>
      <c r="I15" s="156">
        <v>15</v>
      </c>
      <c r="J15" s="195">
        <f t="shared" si="9"/>
        <v>590</v>
      </c>
      <c r="K15" s="158">
        <v>8850</v>
      </c>
      <c r="L15" s="160">
        <f t="shared" si="0"/>
        <v>8850</v>
      </c>
      <c r="M15" s="161">
        <v>0</v>
      </c>
      <c r="N15" s="161">
        <f t="shared" si="10"/>
        <v>8850</v>
      </c>
      <c r="O15" s="161">
        <f t="shared" si="1"/>
        <v>7641.91</v>
      </c>
      <c r="P15" s="161">
        <f t="shared" si="17"/>
        <v>1208.0900000000001</v>
      </c>
      <c r="Q15" s="162">
        <f t="shared" si="18"/>
        <v>0.21360000000000001</v>
      </c>
      <c r="R15" s="161">
        <f t="shared" si="19"/>
        <v>258.04802400000005</v>
      </c>
      <c r="S15" s="163">
        <f t="shared" si="3"/>
        <v>809.25</v>
      </c>
      <c r="T15" s="161">
        <f t="shared" si="14"/>
        <v>1067.2980240000002</v>
      </c>
      <c r="U15" s="161">
        <f t="shared" si="15"/>
        <v>0</v>
      </c>
      <c r="V15" s="161">
        <f t="shared" si="16"/>
        <v>1067.3</v>
      </c>
      <c r="W15" s="160">
        <f t="shared" si="5"/>
        <v>0</v>
      </c>
      <c r="X15" s="160">
        <f t="shared" si="6"/>
        <v>1067.3</v>
      </c>
      <c r="Y15" s="164">
        <v>0</v>
      </c>
      <c r="Z15" s="160">
        <f t="shared" si="7"/>
        <v>1067.3</v>
      </c>
      <c r="AA15" s="160">
        <f t="shared" si="8"/>
        <v>7782.7</v>
      </c>
      <c r="AB15" s="33"/>
    </row>
    <row r="16" spans="1:29" ht="93.75" customHeight="1" x14ac:dyDescent="0.35">
      <c r="A16" s="109" t="s">
        <v>89</v>
      </c>
      <c r="B16" s="152" t="s">
        <v>272</v>
      </c>
      <c r="C16" s="153" t="s">
        <v>124</v>
      </c>
      <c r="D16" s="227" t="s">
        <v>273</v>
      </c>
      <c r="E16" s="154" t="s">
        <v>274</v>
      </c>
      <c r="F16" s="154" t="s">
        <v>331</v>
      </c>
      <c r="G16" s="230">
        <v>44470</v>
      </c>
      <c r="H16" s="154" t="s">
        <v>75</v>
      </c>
      <c r="I16" s="156">
        <v>15</v>
      </c>
      <c r="J16" s="195">
        <f t="shared" si="9"/>
        <v>590</v>
      </c>
      <c r="K16" s="158">
        <v>8850</v>
      </c>
      <c r="L16" s="160">
        <f t="shared" si="0"/>
        <v>8850</v>
      </c>
      <c r="M16" s="161">
        <v>0</v>
      </c>
      <c r="N16" s="161">
        <f t="shared" si="10"/>
        <v>8850</v>
      </c>
      <c r="O16" s="161">
        <f t="shared" si="1"/>
        <v>7641.91</v>
      </c>
      <c r="P16" s="161">
        <f t="shared" si="17"/>
        <v>1208.0900000000001</v>
      </c>
      <c r="Q16" s="162">
        <f t="shared" si="18"/>
        <v>0.21360000000000001</v>
      </c>
      <c r="R16" s="161">
        <f t="shared" si="19"/>
        <v>258.04802400000005</v>
      </c>
      <c r="S16" s="163">
        <f t="shared" si="3"/>
        <v>809.25</v>
      </c>
      <c r="T16" s="161">
        <f t="shared" si="14"/>
        <v>1067.2980240000002</v>
      </c>
      <c r="U16" s="161">
        <f t="shared" si="15"/>
        <v>0</v>
      </c>
      <c r="V16" s="161">
        <f t="shared" si="16"/>
        <v>1067.3</v>
      </c>
      <c r="W16" s="160">
        <f t="shared" si="5"/>
        <v>0</v>
      </c>
      <c r="X16" s="160">
        <f t="shared" si="6"/>
        <v>1067.3</v>
      </c>
      <c r="Y16" s="164">
        <v>0</v>
      </c>
      <c r="Z16" s="160">
        <f t="shared" si="7"/>
        <v>1067.3</v>
      </c>
      <c r="AA16" s="160">
        <f t="shared" si="8"/>
        <v>7782.7</v>
      </c>
      <c r="AB16" s="33"/>
    </row>
    <row r="17" spans="1:28" ht="93.75" customHeight="1" x14ac:dyDescent="0.35">
      <c r="A17" s="109" t="s">
        <v>90</v>
      </c>
      <c r="B17" s="152" t="s">
        <v>303</v>
      </c>
      <c r="C17" s="153" t="s">
        <v>124</v>
      </c>
      <c r="D17" s="227" t="s">
        <v>275</v>
      </c>
      <c r="E17" s="154" t="s">
        <v>276</v>
      </c>
      <c r="F17" s="154" t="s">
        <v>379</v>
      </c>
      <c r="G17" s="230">
        <v>44470</v>
      </c>
      <c r="H17" s="154" t="s">
        <v>75</v>
      </c>
      <c r="I17" s="156">
        <v>15</v>
      </c>
      <c r="J17" s="195">
        <f t="shared" si="9"/>
        <v>590</v>
      </c>
      <c r="K17" s="158">
        <v>8850</v>
      </c>
      <c r="L17" s="160">
        <f t="shared" si="0"/>
        <v>8850</v>
      </c>
      <c r="M17" s="161">
        <v>0</v>
      </c>
      <c r="N17" s="161">
        <f t="shared" si="10"/>
        <v>8850</v>
      </c>
      <c r="O17" s="161">
        <f t="shared" si="1"/>
        <v>7641.91</v>
      </c>
      <c r="P17" s="161">
        <f t="shared" si="17"/>
        <v>1208.0900000000001</v>
      </c>
      <c r="Q17" s="162">
        <f t="shared" si="18"/>
        <v>0.21360000000000001</v>
      </c>
      <c r="R17" s="161">
        <f t="shared" si="19"/>
        <v>258.04802400000005</v>
      </c>
      <c r="S17" s="163">
        <f t="shared" si="3"/>
        <v>809.25</v>
      </c>
      <c r="T17" s="161">
        <f t="shared" si="14"/>
        <v>1067.2980240000002</v>
      </c>
      <c r="U17" s="161">
        <f t="shared" si="15"/>
        <v>0</v>
      </c>
      <c r="V17" s="161">
        <f t="shared" si="16"/>
        <v>1067.3</v>
      </c>
      <c r="W17" s="160">
        <f t="shared" si="5"/>
        <v>0</v>
      </c>
      <c r="X17" s="160">
        <f t="shared" si="6"/>
        <v>1067.3</v>
      </c>
      <c r="Y17" s="164">
        <v>0</v>
      </c>
      <c r="Z17" s="160">
        <f t="shared" si="7"/>
        <v>1067.3</v>
      </c>
      <c r="AA17" s="160">
        <f t="shared" si="8"/>
        <v>7782.7</v>
      </c>
      <c r="AB17" s="33"/>
    </row>
    <row r="18" spans="1:28" ht="93.75" customHeight="1" x14ac:dyDescent="0.35">
      <c r="A18" s="109" t="s">
        <v>91</v>
      </c>
      <c r="B18" s="152" t="s">
        <v>304</v>
      </c>
      <c r="C18" s="153" t="s">
        <v>124</v>
      </c>
      <c r="D18" s="227" t="s">
        <v>312</v>
      </c>
      <c r="E18" s="154" t="s">
        <v>295</v>
      </c>
      <c r="F18" s="154" t="s">
        <v>380</v>
      </c>
      <c r="G18" s="230">
        <v>44470</v>
      </c>
      <c r="H18" s="154" t="s">
        <v>75</v>
      </c>
      <c r="I18" s="156">
        <v>15</v>
      </c>
      <c r="J18" s="195">
        <f t="shared" si="9"/>
        <v>590</v>
      </c>
      <c r="K18" s="158">
        <v>8850</v>
      </c>
      <c r="L18" s="160">
        <f t="shared" si="0"/>
        <v>8850</v>
      </c>
      <c r="M18" s="161">
        <v>0</v>
      </c>
      <c r="N18" s="161">
        <f t="shared" si="10"/>
        <v>8850</v>
      </c>
      <c r="O18" s="161">
        <f t="shared" si="1"/>
        <v>7641.91</v>
      </c>
      <c r="P18" s="161">
        <f t="shared" si="17"/>
        <v>1208.0900000000001</v>
      </c>
      <c r="Q18" s="162">
        <f t="shared" si="18"/>
        <v>0.21360000000000001</v>
      </c>
      <c r="R18" s="161">
        <f t="shared" si="19"/>
        <v>258.04802400000005</v>
      </c>
      <c r="S18" s="163">
        <f t="shared" si="3"/>
        <v>809.25</v>
      </c>
      <c r="T18" s="161">
        <f t="shared" si="14"/>
        <v>1067.2980240000002</v>
      </c>
      <c r="U18" s="161">
        <f t="shared" si="15"/>
        <v>0</v>
      </c>
      <c r="V18" s="161">
        <f t="shared" si="16"/>
        <v>1067.3</v>
      </c>
      <c r="W18" s="160">
        <f t="shared" si="5"/>
        <v>0</v>
      </c>
      <c r="X18" s="160">
        <f t="shared" si="6"/>
        <v>1067.3</v>
      </c>
      <c r="Y18" s="164">
        <v>0</v>
      </c>
      <c r="Z18" s="160">
        <f>SUM(X18:Y18)</f>
        <v>1067.3</v>
      </c>
      <c r="AA18" s="160">
        <f t="shared" si="8"/>
        <v>7782.7</v>
      </c>
      <c r="AB18" s="33"/>
    </row>
    <row r="19" spans="1:28" ht="21.75" customHeight="1" x14ac:dyDescent="0.3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6"/>
      <c r="L19" s="186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</row>
    <row r="20" spans="1:28" ht="40.5" customHeight="1" thickBot="1" x14ac:dyDescent="0.35">
      <c r="A20" s="302" t="s">
        <v>44</v>
      </c>
      <c r="B20" s="303"/>
      <c r="C20" s="303"/>
      <c r="D20" s="303"/>
      <c r="E20" s="303"/>
      <c r="F20" s="303"/>
      <c r="G20" s="303"/>
      <c r="H20" s="303"/>
      <c r="I20" s="303"/>
      <c r="J20" s="304"/>
      <c r="K20" s="167">
        <f>SUM(K10:K19)</f>
        <v>79650</v>
      </c>
      <c r="L20" s="167">
        <f>SUM(L10:L19)</f>
        <v>79650</v>
      </c>
      <c r="M20" s="168">
        <f t="shared" ref="M20:V20" si="29">SUM(M10:M19)</f>
        <v>0</v>
      </c>
      <c r="N20" s="168">
        <f t="shared" si="29"/>
        <v>79650</v>
      </c>
      <c r="O20" s="168">
        <f t="shared" si="29"/>
        <v>68777.190000000017</v>
      </c>
      <c r="P20" s="168">
        <f t="shared" si="29"/>
        <v>10872.810000000001</v>
      </c>
      <c r="Q20" s="168">
        <f t="shared" si="29"/>
        <v>1.9224000000000001</v>
      </c>
      <c r="R20" s="168">
        <f t="shared" si="29"/>
        <v>2322.4322160000011</v>
      </c>
      <c r="S20" s="168">
        <f t="shared" si="29"/>
        <v>7283.25</v>
      </c>
      <c r="T20" s="168">
        <f t="shared" si="29"/>
        <v>9605.6822159999992</v>
      </c>
      <c r="U20" s="168">
        <f t="shared" si="29"/>
        <v>0</v>
      </c>
      <c r="V20" s="168">
        <f t="shared" si="29"/>
        <v>9605.6999999999989</v>
      </c>
      <c r="W20" s="167">
        <f>SUM(W10:W19)</f>
        <v>0</v>
      </c>
      <c r="X20" s="167">
        <f>SUM(X10:X19)</f>
        <v>9605.6999999999989</v>
      </c>
      <c r="Y20" s="167">
        <f>SUM(Y10:Y19)</f>
        <v>0</v>
      </c>
      <c r="Z20" s="167">
        <f>SUM(Z10:Z19)</f>
        <v>9605.6999999999989</v>
      </c>
      <c r="AA20" s="167">
        <f>SUM(AA10:AA19)</f>
        <v>70044.299999999988</v>
      </c>
    </row>
    <row r="21" spans="1:28" ht="13.8" thickTop="1" x14ac:dyDescent="0.25"/>
  </sheetData>
  <sortState ref="D10:F18">
    <sortCondition ref="D10"/>
  </sortState>
  <mergeCells count="7">
    <mergeCell ref="A20:J20"/>
    <mergeCell ref="A1:AB1"/>
    <mergeCell ref="A2:AB2"/>
    <mergeCell ref="K6:L6"/>
    <mergeCell ref="O6:T6"/>
    <mergeCell ref="X6:Z6"/>
    <mergeCell ref="A3:AC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11" workbookViewId="0">
      <selection activeCell="A23" sqref="A23:XFD29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22.6640625" customWidth="1"/>
    <col min="5" max="5" width="32.33203125" customWidth="1"/>
    <col min="6" max="6" width="15.6640625" customWidth="1"/>
    <col min="7" max="7" width="16.5546875" customWidth="1"/>
    <col min="8" max="9" width="0" hidden="1" customWidth="1"/>
    <col min="10" max="10" width="14.44140625" bestFit="1" customWidth="1"/>
    <col min="11" max="11" width="7.44140625" customWidth="1"/>
    <col min="12" max="12" width="14.44140625" bestFit="1" customWidth="1"/>
    <col min="13" max="13" width="11.44140625" hidden="1" customWidth="1"/>
    <col min="14" max="14" width="14.88671875" hidden="1" customWidth="1"/>
    <col min="15" max="15" width="14.6640625" hidden="1" customWidth="1"/>
    <col min="16" max="16" width="13" hidden="1" customWidth="1"/>
    <col min="17" max="17" width="11.44140625" hidden="1" customWidth="1"/>
    <col min="18" max="18" width="13.33203125" hidden="1" customWidth="1"/>
    <col min="19" max="20" width="12.5546875" hidden="1" customWidth="1"/>
    <col min="21" max="21" width="11.44140625" hidden="1" customWidth="1"/>
    <col min="22" max="22" width="12.88671875" hidden="1" customWidth="1"/>
    <col min="23" max="23" width="8.88671875" customWidth="1"/>
    <col min="24" max="24" width="12.6640625" customWidth="1"/>
    <col min="25" max="25" width="14" customWidth="1"/>
    <col min="26" max="26" width="13.109375" customWidth="1"/>
    <col min="27" max="27" width="14.44140625" bestFit="1" customWidth="1"/>
    <col min="28" max="28" width="54.554687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9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9" x14ac:dyDescent="0.25">
      <c r="A7" s="22"/>
      <c r="B7" s="22"/>
      <c r="C7" s="22"/>
      <c r="D7" s="22"/>
      <c r="E7" s="22"/>
      <c r="F7" s="22"/>
      <c r="G7" s="22"/>
      <c r="H7" s="23" t="s">
        <v>22</v>
      </c>
      <c r="I7" s="23" t="s">
        <v>5</v>
      </c>
      <c r="J7" s="317" t="s">
        <v>1</v>
      </c>
      <c r="K7" s="318"/>
      <c r="L7" s="319"/>
      <c r="M7" s="24" t="s">
        <v>25</v>
      </c>
      <c r="N7" s="25"/>
      <c r="O7" s="320" t="s">
        <v>8</v>
      </c>
      <c r="P7" s="321"/>
      <c r="Q7" s="321"/>
      <c r="R7" s="321"/>
      <c r="S7" s="321"/>
      <c r="T7" s="322"/>
      <c r="U7" s="24" t="s">
        <v>29</v>
      </c>
      <c r="V7" s="24" t="s">
        <v>9</v>
      </c>
      <c r="W7" s="23" t="s">
        <v>52</v>
      </c>
      <c r="X7" s="323" t="s">
        <v>2</v>
      </c>
      <c r="Y7" s="324"/>
      <c r="Z7" s="325"/>
      <c r="AA7" s="23" t="s">
        <v>0</v>
      </c>
      <c r="AB7" s="34"/>
    </row>
    <row r="8" spans="1:29" ht="21" x14ac:dyDescent="0.25">
      <c r="A8" s="44" t="s">
        <v>101</v>
      </c>
      <c r="B8" s="44" t="s">
        <v>125</v>
      </c>
      <c r="C8" s="26" t="s">
        <v>21</v>
      </c>
      <c r="D8" s="26"/>
      <c r="E8" s="26"/>
      <c r="F8" s="26"/>
      <c r="G8" s="26"/>
      <c r="H8" s="27" t="s">
        <v>23</v>
      </c>
      <c r="I8" s="26" t="s">
        <v>24</v>
      </c>
      <c r="J8" s="23" t="s">
        <v>5</v>
      </c>
      <c r="K8" s="23" t="s">
        <v>58</v>
      </c>
      <c r="L8" s="23" t="s">
        <v>27</v>
      </c>
      <c r="M8" s="28" t="s">
        <v>26</v>
      </c>
      <c r="N8" s="25" t="s">
        <v>31</v>
      </c>
      <c r="O8" s="25" t="s">
        <v>11</v>
      </c>
      <c r="P8" s="25" t="s">
        <v>33</v>
      </c>
      <c r="Q8" s="25" t="s">
        <v>35</v>
      </c>
      <c r="R8" s="25" t="s">
        <v>36</v>
      </c>
      <c r="S8" s="25" t="s">
        <v>13</v>
      </c>
      <c r="T8" s="25" t="s">
        <v>9</v>
      </c>
      <c r="U8" s="28" t="s">
        <v>39</v>
      </c>
      <c r="V8" s="28" t="s">
        <v>40</v>
      </c>
      <c r="W8" s="26" t="s">
        <v>30</v>
      </c>
      <c r="X8" s="23" t="s">
        <v>433</v>
      </c>
      <c r="Y8" s="23" t="s">
        <v>56</v>
      </c>
      <c r="Z8" s="23" t="s">
        <v>6</v>
      </c>
      <c r="AA8" s="26" t="s">
        <v>3</v>
      </c>
      <c r="AB8" s="36" t="s">
        <v>57</v>
      </c>
    </row>
    <row r="9" spans="1:29" x14ac:dyDescent="0.25">
      <c r="A9" s="29"/>
      <c r="B9" s="29"/>
      <c r="C9" s="29"/>
      <c r="D9" s="29"/>
      <c r="E9" s="29"/>
      <c r="F9" s="29"/>
      <c r="G9" s="29"/>
      <c r="H9" s="29"/>
      <c r="I9" s="29"/>
      <c r="J9" s="29" t="s">
        <v>46</v>
      </c>
      <c r="K9" s="29" t="s">
        <v>59</v>
      </c>
      <c r="L9" s="29" t="s">
        <v>28</v>
      </c>
      <c r="M9" s="30" t="s">
        <v>42</v>
      </c>
      <c r="N9" s="24" t="s">
        <v>32</v>
      </c>
      <c r="O9" s="24" t="s">
        <v>12</v>
      </c>
      <c r="P9" s="24" t="s">
        <v>34</v>
      </c>
      <c r="Q9" s="24" t="s">
        <v>34</v>
      </c>
      <c r="R9" s="24" t="s">
        <v>37</v>
      </c>
      <c r="S9" s="24" t="s">
        <v>14</v>
      </c>
      <c r="T9" s="24" t="s">
        <v>38</v>
      </c>
      <c r="U9" s="28" t="s">
        <v>18</v>
      </c>
      <c r="V9" s="31" t="s">
        <v>41</v>
      </c>
      <c r="W9" s="29" t="s">
        <v>51</v>
      </c>
      <c r="X9" s="29"/>
      <c r="Y9" s="29"/>
      <c r="Z9" s="29" t="s">
        <v>43</v>
      </c>
      <c r="AA9" s="29" t="s">
        <v>4</v>
      </c>
      <c r="AB9" s="35"/>
    </row>
    <row r="10" spans="1:29" ht="27.6" x14ac:dyDescent="0.25">
      <c r="A10" s="39"/>
      <c r="B10" s="39"/>
      <c r="C10" s="90" t="s">
        <v>74</v>
      </c>
      <c r="D10" s="38" t="s">
        <v>102</v>
      </c>
      <c r="E10" s="38" t="s">
        <v>326</v>
      </c>
      <c r="F10" s="288" t="s">
        <v>468</v>
      </c>
      <c r="G10" s="38" t="s">
        <v>61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39"/>
      <c r="X10" s="39"/>
      <c r="Y10" s="39"/>
      <c r="Z10" s="39"/>
      <c r="AA10" s="39"/>
      <c r="AB10" s="91"/>
    </row>
    <row r="11" spans="1:29" ht="139.5" customHeight="1" x14ac:dyDescent="0.35">
      <c r="A11" s="152" t="s">
        <v>251</v>
      </c>
      <c r="B11" s="153" t="s">
        <v>124</v>
      </c>
      <c r="C11" s="227" t="s">
        <v>252</v>
      </c>
      <c r="D11" s="154" t="s">
        <v>253</v>
      </c>
      <c r="E11" s="154" t="s">
        <v>346</v>
      </c>
      <c r="F11" s="230">
        <v>43374</v>
      </c>
      <c r="G11" s="155" t="s">
        <v>322</v>
      </c>
      <c r="H11" s="156">
        <v>15</v>
      </c>
      <c r="I11" s="157">
        <f>J11/H11</f>
        <v>990.6</v>
      </c>
      <c r="J11" s="158">
        <v>14859</v>
      </c>
      <c r="K11" s="159">
        <v>0</v>
      </c>
      <c r="L11" s="160">
        <f>SUM(J11:K11)</f>
        <v>14859</v>
      </c>
      <c r="M11" s="161">
        <f>K11/2</f>
        <v>0</v>
      </c>
      <c r="N11" s="161">
        <f>J11+M11</f>
        <v>14859</v>
      </c>
      <c r="O11" s="161">
        <f>VLOOKUP(N11,Tarifa1,1)</f>
        <v>7641.91</v>
      </c>
      <c r="P11" s="161">
        <f>N11-O11</f>
        <v>7217.09</v>
      </c>
      <c r="Q11" s="162">
        <f t="shared" ref="Q11" si="0">VLOOKUP(N11,Tarifa1,3)</f>
        <v>0.21360000000000001</v>
      </c>
      <c r="R11" s="161">
        <f>P11*Q11</f>
        <v>1541.5704240000002</v>
      </c>
      <c r="S11" s="163">
        <f>VLOOKUP(N11,Tarifa1,2)</f>
        <v>809.25</v>
      </c>
      <c r="T11" s="161">
        <f>R11+S11</f>
        <v>2350.8204240000005</v>
      </c>
      <c r="U11" s="161">
        <f t="shared" ref="U11" si="1">VLOOKUP(N11,Credito1,2)</f>
        <v>0</v>
      </c>
      <c r="V11" s="161">
        <f>ROUND(T11-U11,2)</f>
        <v>2350.8200000000002</v>
      </c>
      <c r="W11" s="160">
        <f t="shared" ref="W11" si="2">-IF(V11&gt;0,0,V11)</f>
        <v>0</v>
      </c>
      <c r="X11" s="160">
        <f>IF(J11/15&lt;=SMG,0,IF(V11&lt;0,0,V11))</f>
        <v>2350.8200000000002</v>
      </c>
      <c r="Y11" s="164">
        <v>0</v>
      </c>
      <c r="Z11" s="160">
        <f>SUM(X11:Y11)</f>
        <v>2350.8200000000002</v>
      </c>
      <c r="AA11" s="160">
        <f>L11+W11-Z11</f>
        <v>12508.18</v>
      </c>
      <c r="AB11" s="92"/>
    </row>
    <row r="12" spans="1:29" ht="17.399999999999999" x14ac:dyDescent="0.3">
      <c r="A12" s="180"/>
      <c r="B12" s="180"/>
      <c r="C12" s="180"/>
      <c r="D12" s="180"/>
      <c r="E12" s="180"/>
      <c r="F12" s="180"/>
      <c r="G12" s="180"/>
      <c r="H12" s="181"/>
      <c r="I12" s="180"/>
      <c r="J12" s="182"/>
      <c r="K12" s="182"/>
      <c r="L12" s="182"/>
      <c r="M12" s="183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</row>
    <row r="13" spans="1:29" ht="41.25" customHeight="1" thickBot="1" x14ac:dyDescent="0.35">
      <c r="A13" s="303"/>
      <c r="B13" s="303"/>
      <c r="C13" s="303"/>
      <c r="D13" s="303"/>
      <c r="E13" s="303"/>
      <c r="F13" s="303"/>
      <c r="G13" s="303"/>
      <c r="H13" s="303"/>
      <c r="I13" s="304"/>
      <c r="J13" s="167">
        <f t="shared" ref="J13:AA13" si="3">SUM(J11:J12)</f>
        <v>14859</v>
      </c>
      <c r="K13" s="167">
        <f t="shared" si="3"/>
        <v>0</v>
      </c>
      <c r="L13" s="167">
        <f t="shared" si="3"/>
        <v>14859</v>
      </c>
      <c r="M13" s="168">
        <f t="shared" si="3"/>
        <v>0</v>
      </c>
      <c r="N13" s="168">
        <f t="shared" si="3"/>
        <v>14859</v>
      </c>
      <c r="O13" s="168">
        <f t="shared" si="3"/>
        <v>7641.91</v>
      </c>
      <c r="P13" s="168">
        <f t="shared" si="3"/>
        <v>7217.09</v>
      </c>
      <c r="Q13" s="168">
        <f t="shared" si="3"/>
        <v>0.21360000000000001</v>
      </c>
      <c r="R13" s="168">
        <f t="shared" si="3"/>
        <v>1541.5704240000002</v>
      </c>
      <c r="S13" s="168">
        <f t="shared" si="3"/>
        <v>809.25</v>
      </c>
      <c r="T13" s="168">
        <f t="shared" si="3"/>
        <v>2350.8204240000005</v>
      </c>
      <c r="U13" s="168">
        <f t="shared" si="3"/>
        <v>0</v>
      </c>
      <c r="V13" s="168">
        <f t="shared" si="3"/>
        <v>2350.8200000000002</v>
      </c>
      <c r="W13" s="167">
        <f t="shared" si="3"/>
        <v>0</v>
      </c>
      <c r="X13" s="167">
        <f t="shared" si="3"/>
        <v>2350.8200000000002</v>
      </c>
      <c r="Y13" s="167">
        <f t="shared" si="3"/>
        <v>0</v>
      </c>
      <c r="Z13" s="167">
        <f t="shared" si="3"/>
        <v>2350.8200000000002</v>
      </c>
      <c r="AA13" s="167">
        <f t="shared" si="3"/>
        <v>12508.18</v>
      </c>
    </row>
    <row r="14" spans="1:29" ht="13.8" thickTop="1" x14ac:dyDescent="0.25"/>
  </sheetData>
  <mergeCells count="7">
    <mergeCell ref="A13:I13"/>
    <mergeCell ref="A1:AC1"/>
    <mergeCell ref="A2:AC2"/>
    <mergeCell ref="A3:AC3"/>
    <mergeCell ref="J7:L7"/>
    <mergeCell ref="O7:T7"/>
    <mergeCell ref="X7:Z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opLeftCell="B12" zoomScale="77" zoomScaleNormal="77" workbookViewId="0">
      <selection activeCell="B21" sqref="A21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23.5546875" customWidth="1"/>
    <col min="6" max="6" width="34" customWidth="1"/>
    <col min="7" max="7" width="16.5546875" customWidth="1"/>
    <col min="8" max="8" width="18.88671875" customWidth="1"/>
    <col min="9" max="9" width="8.33203125" hidden="1" customWidth="1"/>
    <col min="10" max="10" width="0.33203125" hidden="1" customWidth="1"/>
    <col min="11" max="11" width="14.5546875" customWidth="1"/>
    <col min="12" max="12" width="10.109375" customWidth="1"/>
    <col min="13" max="13" width="13.88671875" customWidth="1"/>
    <col min="14" max="14" width="11.44140625" hidden="1" customWidth="1"/>
    <col min="15" max="17" width="16" hidden="1" customWidth="1"/>
    <col min="18" max="23" width="11.44140625" hidden="1" customWidth="1"/>
    <col min="24" max="24" width="9" customWidth="1"/>
    <col min="25" max="25" width="13" customWidth="1"/>
    <col min="26" max="27" width="12.88671875" bestFit="1" customWidth="1"/>
    <col min="28" max="28" width="14.33203125" customWidth="1"/>
    <col min="29" max="29" width="85.5546875" customWidth="1"/>
  </cols>
  <sheetData>
    <row r="1" spans="1:29" ht="17.399999999999999" x14ac:dyDescent="0.3">
      <c r="A1" s="316" t="s">
        <v>78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</row>
    <row r="5" spans="1:29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x14ac:dyDescent="0.25">
      <c r="A6" s="22"/>
      <c r="B6" s="342" t="s">
        <v>101</v>
      </c>
      <c r="C6" s="342" t="s">
        <v>125</v>
      </c>
      <c r="D6" s="22"/>
      <c r="E6" s="22"/>
      <c r="F6" s="22"/>
      <c r="G6" s="22"/>
      <c r="H6" s="22"/>
      <c r="I6" s="23" t="s">
        <v>22</v>
      </c>
      <c r="J6" s="23" t="s">
        <v>5</v>
      </c>
      <c r="K6" s="317" t="s">
        <v>1</v>
      </c>
      <c r="L6" s="318"/>
      <c r="M6" s="319"/>
      <c r="N6" s="24" t="s">
        <v>25</v>
      </c>
      <c r="O6" s="25"/>
      <c r="P6" s="320" t="s">
        <v>8</v>
      </c>
      <c r="Q6" s="321"/>
      <c r="R6" s="321"/>
      <c r="S6" s="321"/>
      <c r="T6" s="321"/>
      <c r="U6" s="322"/>
      <c r="V6" s="24" t="s">
        <v>29</v>
      </c>
      <c r="W6" s="24" t="s">
        <v>9</v>
      </c>
      <c r="X6" s="23" t="s">
        <v>52</v>
      </c>
      <c r="Y6" s="323" t="s">
        <v>2</v>
      </c>
      <c r="Z6" s="324"/>
      <c r="AA6" s="325"/>
      <c r="AB6" s="23" t="s">
        <v>0</v>
      </c>
      <c r="AC6" s="34"/>
    </row>
    <row r="7" spans="1:29" ht="12.75" customHeight="1" x14ac:dyDescent="0.25">
      <c r="A7" s="26" t="s">
        <v>20</v>
      </c>
      <c r="B7" s="343"/>
      <c r="C7" s="343"/>
      <c r="D7" s="26" t="s">
        <v>21</v>
      </c>
      <c r="E7" s="26"/>
      <c r="F7" s="26"/>
      <c r="G7" s="26"/>
      <c r="H7" s="26"/>
      <c r="I7" s="27" t="s">
        <v>23</v>
      </c>
      <c r="J7" s="26" t="s">
        <v>24</v>
      </c>
      <c r="K7" s="23" t="s">
        <v>5</v>
      </c>
      <c r="L7" s="23" t="s">
        <v>58</v>
      </c>
      <c r="M7" s="23" t="s">
        <v>27</v>
      </c>
      <c r="N7" s="28" t="s">
        <v>26</v>
      </c>
      <c r="O7" s="25" t="s">
        <v>31</v>
      </c>
      <c r="P7" s="25" t="s">
        <v>11</v>
      </c>
      <c r="Q7" s="25" t="s">
        <v>33</v>
      </c>
      <c r="R7" s="25" t="s">
        <v>35</v>
      </c>
      <c r="S7" s="25" t="s">
        <v>36</v>
      </c>
      <c r="T7" s="25" t="s">
        <v>13</v>
      </c>
      <c r="U7" s="25" t="s">
        <v>9</v>
      </c>
      <c r="V7" s="28" t="s">
        <v>39</v>
      </c>
      <c r="W7" s="28" t="s">
        <v>40</v>
      </c>
      <c r="X7" s="26" t="s">
        <v>30</v>
      </c>
      <c r="Y7" s="23" t="s">
        <v>433</v>
      </c>
      <c r="Z7" s="23" t="s">
        <v>56</v>
      </c>
      <c r="AA7" s="23" t="s">
        <v>6</v>
      </c>
      <c r="AB7" s="26" t="s">
        <v>3</v>
      </c>
      <c r="AC7" s="36" t="s">
        <v>57</v>
      </c>
    </row>
    <row r="8" spans="1:29" x14ac:dyDescent="0.25">
      <c r="A8" s="29"/>
      <c r="B8" s="344"/>
      <c r="C8" s="344"/>
      <c r="D8" s="29"/>
      <c r="E8" s="29"/>
      <c r="F8" s="29"/>
      <c r="G8" s="29"/>
      <c r="H8" s="29"/>
      <c r="I8" s="29"/>
      <c r="J8" s="29"/>
      <c r="K8" s="29" t="s">
        <v>46</v>
      </c>
      <c r="L8" s="29" t="s">
        <v>59</v>
      </c>
      <c r="M8" s="29" t="s">
        <v>28</v>
      </c>
      <c r="N8" s="30" t="s">
        <v>42</v>
      </c>
      <c r="O8" s="24" t="s">
        <v>32</v>
      </c>
      <c r="P8" s="24" t="s">
        <v>12</v>
      </c>
      <c r="Q8" s="24" t="s">
        <v>34</v>
      </c>
      <c r="R8" s="24" t="s">
        <v>34</v>
      </c>
      <c r="S8" s="24" t="s">
        <v>37</v>
      </c>
      <c r="T8" s="24" t="s">
        <v>14</v>
      </c>
      <c r="U8" s="24" t="s">
        <v>38</v>
      </c>
      <c r="V8" s="28" t="s">
        <v>18</v>
      </c>
      <c r="W8" s="31" t="s">
        <v>41</v>
      </c>
      <c r="X8" s="29" t="s">
        <v>51</v>
      </c>
      <c r="Y8" s="29"/>
      <c r="Z8" s="29" t="s">
        <v>244</v>
      </c>
      <c r="AA8" s="29" t="s">
        <v>43</v>
      </c>
      <c r="AB8" s="29" t="s">
        <v>4</v>
      </c>
      <c r="AC8" s="35"/>
    </row>
    <row r="9" spans="1:29" ht="42" customHeight="1" x14ac:dyDescent="0.3">
      <c r="A9" s="132"/>
      <c r="B9" s="197"/>
      <c r="C9" s="116"/>
      <c r="D9" s="135" t="s">
        <v>126</v>
      </c>
      <c r="E9" s="116" t="s">
        <v>102</v>
      </c>
      <c r="F9" s="116" t="s">
        <v>326</v>
      </c>
      <c r="G9" s="135" t="s">
        <v>468</v>
      </c>
      <c r="H9" s="132" t="s">
        <v>61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  <c r="X9" s="132"/>
      <c r="Y9" s="132"/>
      <c r="Z9" s="132"/>
      <c r="AA9" s="132"/>
      <c r="AB9" s="132"/>
      <c r="AC9" s="41"/>
    </row>
    <row r="10" spans="1:29" s="93" customFormat="1" ht="126" customHeight="1" x14ac:dyDescent="0.3">
      <c r="A10" s="109" t="s">
        <v>85</v>
      </c>
      <c r="B10" s="152" t="s">
        <v>182</v>
      </c>
      <c r="C10" s="199" t="s">
        <v>124</v>
      </c>
      <c r="D10" s="224" t="s">
        <v>166</v>
      </c>
      <c r="E10" s="198" t="s">
        <v>174</v>
      </c>
      <c r="F10" s="198" t="s">
        <v>350</v>
      </c>
      <c r="G10" s="233">
        <v>43374</v>
      </c>
      <c r="H10" s="154" t="s">
        <v>127</v>
      </c>
      <c r="I10" s="156">
        <v>9</v>
      </c>
      <c r="J10" s="157"/>
      <c r="K10" s="158">
        <v>3985</v>
      </c>
      <c r="L10" s="159">
        <v>0</v>
      </c>
      <c r="M10" s="160">
        <f>SUM(K10:L10)</f>
        <v>3985</v>
      </c>
      <c r="N10" s="161">
        <f>IF(K10/15&lt;=SMG,0,L10/2)</f>
        <v>0</v>
      </c>
      <c r="O10" s="161">
        <f t="shared" ref="O10" si="0">K10+N10</f>
        <v>3985</v>
      </c>
      <c r="P10" s="161">
        <f>VLOOKUP(O10,Tarifa1,1)</f>
        <v>3124.36</v>
      </c>
      <c r="Q10" s="161">
        <f t="shared" ref="Q10" si="1">O10-P10</f>
        <v>860.63999999999987</v>
      </c>
      <c r="R10" s="162">
        <f>VLOOKUP(O10,Tarifa1,3)</f>
        <v>0.10879999999999999</v>
      </c>
      <c r="S10" s="161">
        <f t="shared" ref="S10" si="2">Q10*R10</f>
        <v>93.637631999999982</v>
      </c>
      <c r="T10" s="163">
        <f>VLOOKUP(O10,Tarifa1,2)</f>
        <v>183.45</v>
      </c>
      <c r="U10" s="161">
        <f t="shared" ref="U10" si="3">S10+T10</f>
        <v>277.08763199999999</v>
      </c>
      <c r="V10" s="161">
        <f>VLOOKUP(O10,Credito1,2)</f>
        <v>0</v>
      </c>
      <c r="W10" s="161">
        <f t="shared" ref="W10" si="4">ROUND(U10-V10,2)</f>
        <v>277.08999999999997</v>
      </c>
      <c r="X10" s="160">
        <f t="shared" ref="X10" si="5">-IF(W10&gt;0,0,W10)</f>
        <v>0</v>
      </c>
      <c r="Y10" s="160">
        <f>IF(K10/15&lt;=SMG,0,IF(W10&lt;0,0,W10))</f>
        <v>277.08999999999997</v>
      </c>
      <c r="Z10" s="164">
        <v>0</v>
      </c>
      <c r="AA10" s="160">
        <f>SUM(Y10:Z10)</f>
        <v>277.08999999999997</v>
      </c>
      <c r="AB10" s="160">
        <f>M10+X10-AA10</f>
        <v>3707.91</v>
      </c>
      <c r="AC10" s="92"/>
    </row>
    <row r="11" spans="1:29" s="93" customFormat="1" ht="126" customHeight="1" x14ac:dyDescent="0.35">
      <c r="A11" s="169"/>
      <c r="B11" s="191">
        <v>188</v>
      </c>
      <c r="C11" s="199" t="s">
        <v>124</v>
      </c>
      <c r="D11" s="278" t="s">
        <v>183</v>
      </c>
      <c r="E11" s="192" t="s">
        <v>185</v>
      </c>
      <c r="F11" s="192" t="s">
        <v>352</v>
      </c>
      <c r="G11" s="234">
        <v>43389</v>
      </c>
      <c r="H11" s="155" t="s">
        <v>323</v>
      </c>
      <c r="I11" s="156">
        <v>15</v>
      </c>
      <c r="J11" s="157"/>
      <c r="K11" s="158">
        <v>6253</v>
      </c>
      <c r="L11" s="159">
        <v>416.87</v>
      </c>
      <c r="M11" s="158">
        <f>K11</f>
        <v>6253</v>
      </c>
      <c r="N11" s="161">
        <f t="shared" ref="N11" si="6">IF(K11/15&lt;=SMG,0,L11/2)</f>
        <v>208.435</v>
      </c>
      <c r="O11" s="161">
        <f t="shared" ref="O11:O13" si="7">K11+N11</f>
        <v>6461.4350000000004</v>
      </c>
      <c r="P11" s="161">
        <f>VLOOKUP(O11,Tarifa1,1)</f>
        <v>6382.81</v>
      </c>
      <c r="Q11" s="161">
        <f t="shared" ref="Q11:Q13" si="8">O11-P11</f>
        <v>78.625</v>
      </c>
      <c r="R11" s="162">
        <f>VLOOKUP(O11,Tarifa1,3)</f>
        <v>0.1792</v>
      </c>
      <c r="S11" s="161">
        <f t="shared" ref="S11:S13" si="9">Q11*R11</f>
        <v>14.089599999999999</v>
      </c>
      <c r="T11" s="163">
        <f>VLOOKUP(O11,Tarifa1,2)</f>
        <v>583.65</v>
      </c>
      <c r="U11" s="161">
        <f t="shared" ref="U11:U13" si="10">S11+T11</f>
        <v>597.7396</v>
      </c>
      <c r="V11" s="161">
        <f>VLOOKUP(O11,Credito1,2)</f>
        <v>0</v>
      </c>
      <c r="W11" s="161">
        <f t="shared" ref="W11:W13" si="11">ROUND(U11-V11,2)</f>
        <v>597.74</v>
      </c>
      <c r="X11" s="160">
        <f t="shared" ref="X11:X13" si="12">-IF(W11&gt;0,0,W11)</f>
        <v>0</v>
      </c>
      <c r="Y11" s="160">
        <f>IF(K11/15&lt;=SMG,0,IF(W11&lt;0,0,W11))</f>
        <v>597.74</v>
      </c>
      <c r="Z11" s="164">
        <v>0</v>
      </c>
      <c r="AA11" s="160">
        <f>SUM(Y11:Z11)</f>
        <v>597.74</v>
      </c>
      <c r="AB11" s="160">
        <f>M11+X11-AA11+L11</f>
        <v>6072.13</v>
      </c>
      <c r="AC11" s="92"/>
    </row>
    <row r="12" spans="1:29" s="93" customFormat="1" ht="126" customHeight="1" x14ac:dyDescent="0.35">
      <c r="A12" s="200"/>
      <c r="B12" s="153" t="s">
        <v>296</v>
      </c>
      <c r="C12" s="153" t="s">
        <v>124</v>
      </c>
      <c r="D12" s="225" t="s">
        <v>297</v>
      </c>
      <c r="E12" s="165" t="s">
        <v>298</v>
      </c>
      <c r="F12" s="165" t="s">
        <v>356</v>
      </c>
      <c r="G12" s="231">
        <v>43512</v>
      </c>
      <c r="H12" s="154" t="s">
        <v>127</v>
      </c>
      <c r="I12" s="156">
        <v>15</v>
      </c>
      <c r="J12" s="157"/>
      <c r="K12" s="158">
        <v>3985</v>
      </c>
      <c r="L12" s="159">
        <v>0</v>
      </c>
      <c r="M12" s="160">
        <f>SUM(K12:L12)</f>
        <v>3985</v>
      </c>
      <c r="N12" s="161">
        <f>IF(K12/15&lt;=SMG,0,L12/2)</f>
        <v>0</v>
      </c>
      <c r="O12" s="161">
        <f t="shared" si="7"/>
        <v>3985</v>
      </c>
      <c r="P12" s="161">
        <f>VLOOKUP(O12,Tarifa1,1)</f>
        <v>3124.36</v>
      </c>
      <c r="Q12" s="161">
        <f t="shared" si="8"/>
        <v>860.63999999999987</v>
      </c>
      <c r="R12" s="162">
        <f>VLOOKUP(O12,Tarifa1,3)</f>
        <v>0.10879999999999999</v>
      </c>
      <c r="S12" s="161">
        <f t="shared" si="9"/>
        <v>93.637631999999982</v>
      </c>
      <c r="T12" s="163">
        <f>VLOOKUP(O12,Tarifa1,2)</f>
        <v>183.45</v>
      </c>
      <c r="U12" s="161">
        <f t="shared" si="10"/>
        <v>277.08763199999999</v>
      </c>
      <c r="V12" s="161">
        <f>VLOOKUP(O12,Credito1,2)</f>
        <v>0</v>
      </c>
      <c r="W12" s="161">
        <f t="shared" si="11"/>
        <v>277.08999999999997</v>
      </c>
      <c r="X12" s="160">
        <f t="shared" si="12"/>
        <v>0</v>
      </c>
      <c r="Y12" s="160">
        <f>IF(K12/15&lt;=SMG,0,IF(W12&lt;0,0,W12))</f>
        <v>277.08999999999997</v>
      </c>
      <c r="Z12" s="164">
        <v>0</v>
      </c>
      <c r="AA12" s="160">
        <f>SUM(Y12:Z12)</f>
        <v>277.08999999999997</v>
      </c>
      <c r="AB12" s="160">
        <f>M12+X12-AA12</f>
        <v>3707.91</v>
      </c>
      <c r="AC12" s="92"/>
    </row>
    <row r="13" spans="1:29" s="93" customFormat="1" ht="126" customHeight="1" x14ac:dyDescent="0.3">
      <c r="A13" s="200"/>
      <c r="B13" s="191">
        <v>284</v>
      </c>
      <c r="C13" s="153" t="s">
        <v>124</v>
      </c>
      <c r="D13" s="226" t="s">
        <v>288</v>
      </c>
      <c r="E13" s="198" t="s">
        <v>289</v>
      </c>
      <c r="F13" s="198" t="s">
        <v>381</v>
      </c>
      <c r="G13" s="233">
        <v>44473</v>
      </c>
      <c r="H13" s="154" t="s">
        <v>127</v>
      </c>
      <c r="I13" s="156">
        <v>15</v>
      </c>
      <c r="J13" s="157"/>
      <c r="K13" s="158">
        <v>3985</v>
      </c>
      <c r="L13" s="159">
        <v>0</v>
      </c>
      <c r="M13" s="160">
        <f>SUM(K13:L13)</f>
        <v>3985</v>
      </c>
      <c r="N13" s="161">
        <f>IF(K13/15&lt;=SMG,0,L13/2)</f>
        <v>0</v>
      </c>
      <c r="O13" s="161">
        <f t="shared" si="7"/>
        <v>3985</v>
      </c>
      <c r="P13" s="161">
        <f>VLOOKUP(O13,Tarifa1,1)</f>
        <v>3124.36</v>
      </c>
      <c r="Q13" s="161">
        <f t="shared" si="8"/>
        <v>860.63999999999987</v>
      </c>
      <c r="R13" s="162">
        <f>VLOOKUP(O13,Tarifa1,3)</f>
        <v>0.10879999999999999</v>
      </c>
      <c r="S13" s="161">
        <f t="shared" si="9"/>
        <v>93.637631999999982</v>
      </c>
      <c r="T13" s="163">
        <f>VLOOKUP(O13,Tarifa1,2)</f>
        <v>183.45</v>
      </c>
      <c r="U13" s="161">
        <f t="shared" si="10"/>
        <v>277.08763199999999</v>
      </c>
      <c r="V13" s="161">
        <f>VLOOKUP(O13,Credito1,2)</f>
        <v>0</v>
      </c>
      <c r="W13" s="161">
        <f t="shared" si="11"/>
        <v>277.08999999999997</v>
      </c>
      <c r="X13" s="160">
        <f t="shared" si="12"/>
        <v>0</v>
      </c>
      <c r="Y13" s="160">
        <f>IF(K13/15&lt;=SMG,0,IF(W13&lt;0,0,W13))</f>
        <v>277.08999999999997</v>
      </c>
      <c r="Z13" s="164">
        <v>0</v>
      </c>
      <c r="AA13" s="160">
        <f>SUM(Y13:Z13)</f>
        <v>277.08999999999997</v>
      </c>
      <c r="AB13" s="160">
        <f>M13+X13-AA13</f>
        <v>3707.91</v>
      </c>
      <c r="AC13" s="92"/>
    </row>
    <row r="14" spans="1:29" ht="17.399999999999999" x14ac:dyDescent="0.3">
      <c r="A14" s="180"/>
      <c r="B14" s="180"/>
      <c r="C14" s="180"/>
      <c r="D14" s="180"/>
      <c r="E14" s="180"/>
      <c r="F14" s="180"/>
      <c r="G14" s="180"/>
      <c r="H14" s="180"/>
      <c r="I14" s="181"/>
      <c r="J14" s="180"/>
      <c r="K14" s="182"/>
      <c r="L14" s="182"/>
      <c r="M14" s="182"/>
      <c r="N14" s="183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</row>
    <row r="15" spans="1:29" ht="45" customHeight="1" thickBot="1" x14ac:dyDescent="0.35">
      <c r="A15" s="302" t="s">
        <v>44</v>
      </c>
      <c r="B15" s="303"/>
      <c r="C15" s="303"/>
      <c r="D15" s="303"/>
      <c r="E15" s="303"/>
      <c r="F15" s="303"/>
      <c r="G15" s="303"/>
      <c r="H15" s="303"/>
      <c r="I15" s="303"/>
      <c r="J15" s="304"/>
      <c r="K15" s="167">
        <f t="shared" ref="K15:AB15" si="13">SUM(K10:K14)</f>
        <v>18208</v>
      </c>
      <c r="L15" s="167">
        <f t="shared" si="13"/>
        <v>416.87</v>
      </c>
      <c r="M15" s="167">
        <f t="shared" si="13"/>
        <v>18208</v>
      </c>
      <c r="N15" s="168">
        <f t="shared" si="13"/>
        <v>208.435</v>
      </c>
      <c r="O15" s="168">
        <f t="shared" si="13"/>
        <v>18416.435000000001</v>
      </c>
      <c r="P15" s="168">
        <f t="shared" si="13"/>
        <v>15755.890000000001</v>
      </c>
      <c r="Q15" s="168">
        <f t="shared" si="13"/>
        <v>2660.5449999999996</v>
      </c>
      <c r="R15" s="168">
        <f t="shared" si="13"/>
        <v>0.50559999999999994</v>
      </c>
      <c r="S15" s="168">
        <f t="shared" si="13"/>
        <v>295.00249599999995</v>
      </c>
      <c r="T15" s="168">
        <f t="shared" si="13"/>
        <v>1134</v>
      </c>
      <c r="U15" s="168">
        <f t="shared" si="13"/>
        <v>1429.0024959999998</v>
      </c>
      <c r="V15" s="168">
        <f t="shared" si="13"/>
        <v>0</v>
      </c>
      <c r="W15" s="168">
        <f t="shared" si="13"/>
        <v>1429.0099999999998</v>
      </c>
      <c r="X15" s="167">
        <f t="shared" si="13"/>
        <v>0</v>
      </c>
      <c r="Y15" s="167">
        <f t="shared" si="13"/>
        <v>1429.0099999999998</v>
      </c>
      <c r="Z15" s="167">
        <f t="shared" si="13"/>
        <v>0</v>
      </c>
      <c r="AA15" s="167">
        <f t="shared" si="13"/>
        <v>1429.0099999999998</v>
      </c>
      <c r="AB15" s="167">
        <f t="shared" si="13"/>
        <v>17195.86</v>
      </c>
    </row>
    <row r="16" spans="1:29" ht="13.8" thickTop="1" x14ac:dyDescent="0.25"/>
  </sheetData>
  <mergeCells count="9">
    <mergeCell ref="Y6:AA6"/>
    <mergeCell ref="A15:J15"/>
    <mergeCell ref="A1:AC1"/>
    <mergeCell ref="A2:AC2"/>
    <mergeCell ref="A3:AC3"/>
    <mergeCell ref="K6:M6"/>
    <mergeCell ref="P6:U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0:G10 D12:G13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B20" zoomScale="68" zoomScaleNormal="68" workbookViewId="0">
      <selection activeCell="B26" sqref="A26:XFD33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15.33203125" style="67" customWidth="1"/>
    <col min="5" max="5" width="22" style="67" customWidth="1"/>
    <col min="6" max="6" width="11.33203125" style="67" hidden="1" customWidth="1"/>
    <col min="7" max="7" width="17.5546875" style="67" customWidth="1"/>
    <col min="8" max="8" width="14" style="67" customWidth="1"/>
    <col min="9" max="9" width="15.44140625" style="67" customWidth="1"/>
    <col min="10" max="10" width="12.6640625" style="67" hidden="1" customWidth="1"/>
    <col min="11" max="11" width="13.109375" style="67" hidden="1" customWidth="1"/>
    <col min="12" max="12" width="14.44140625" style="67" hidden="1" customWidth="1"/>
    <col min="13" max="13" width="15" style="67" hidden="1" customWidth="1"/>
    <col min="14" max="14" width="11" style="67" hidden="1" customWidth="1"/>
    <col min="15" max="16" width="13.109375" style="67" hidden="1" customWidth="1"/>
    <col min="17" max="17" width="15.44140625" style="67" hidden="1" customWidth="1"/>
    <col min="18" max="18" width="10.44140625" style="67" hidden="1" customWidth="1"/>
    <col min="19" max="19" width="13.109375" style="67" hidden="1" customWidth="1"/>
    <col min="20" max="20" width="11.5546875" style="67" customWidth="1"/>
    <col min="21" max="21" width="15.5546875" style="67" customWidth="1"/>
    <col min="22" max="22" width="13.1093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316" t="s">
        <v>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4"/>
    </row>
    <row r="2" spans="1:27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4"/>
    </row>
    <row r="3" spans="1:27" ht="19.8" x14ac:dyDescent="0.3">
      <c r="A3" s="42" t="s">
        <v>222</v>
      </c>
      <c r="B3" s="306" t="s">
        <v>477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206"/>
      <c r="AA3" s="206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3" t="s">
        <v>22</v>
      </c>
      <c r="G5" s="317" t="s">
        <v>1</v>
      </c>
      <c r="H5" s="318"/>
      <c r="I5" s="319"/>
      <c r="J5" s="24" t="s">
        <v>25</v>
      </c>
      <c r="K5" s="25"/>
      <c r="L5" s="320" t="s">
        <v>8</v>
      </c>
      <c r="M5" s="321"/>
      <c r="N5" s="321"/>
      <c r="O5" s="321"/>
      <c r="P5" s="321"/>
      <c r="Q5" s="322"/>
      <c r="R5" s="24" t="s">
        <v>29</v>
      </c>
      <c r="S5" s="24" t="s">
        <v>9</v>
      </c>
      <c r="T5" s="23" t="s">
        <v>52</v>
      </c>
      <c r="U5" s="323" t="s">
        <v>2</v>
      </c>
      <c r="V5" s="324"/>
      <c r="W5" s="325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101</v>
      </c>
      <c r="C6" s="44" t="s">
        <v>125</v>
      </c>
      <c r="D6" s="26"/>
      <c r="E6" s="26"/>
      <c r="F6" s="27" t="s">
        <v>23</v>
      </c>
      <c r="G6" s="23" t="s">
        <v>5</v>
      </c>
      <c r="H6" s="23" t="s">
        <v>58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433</v>
      </c>
      <c r="V6" s="23" t="s">
        <v>56</v>
      </c>
      <c r="W6" s="23" t="s">
        <v>6</v>
      </c>
      <c r="X6" s="26" t="s">
        <v>3</v>
      </c>
      <c r="Y6" s="36" t="s">
        <v>57</v>
      </c>
      <c r="Z6" s="4"/>
    </row>
    <row r="7" spans="1:27" x14ac:dyDescent="0.25">
      <c r="A7" s="29"/>
      <c r="B7" s="26"/>
      <c r="C7" s="26"/>
      <c r="D7" s="26"/>
      <c r="E7" s="26"/>
      <c r="F7" s="26"/>
      <c r="G7" s="26" t="s">
        <v>46</v>
      </c>
      <c r="H7" s="26" t="s">
        <v>59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139</v>
      </c>
      <c r="T7" s="26" t="s">
        <v>51</v>
      </c>
      <c r="U7" s="26"/>
      <c r="V7" s="26"/>
      <c r="W7" s="26" t="s">
        <v>43</v>
      </c>
      <c r="X7" s="26" t="s">
        <v>4</v>
      </c>
      <c r="Y7" s="104"/>
      <c r="Z7" s="4"/>
    </row>
    <row r="8" spans="1:27" ht="28.5" customHeight="1" x14ac:dyDescent="0.25">
      <c r="A8" s="39"/>
      <c r="B8" s="102"/>
      <c r="C8" s="102"/>
      <c r="D8" s="100" t="s">
        <v>468</v>
      </c>
      <c r="E8" s="37" t="s">
        <v>61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77.099999999999994" customHeight="1" x14ac:dyDescent="0.3">
      <c r="A9" s="109" t="s">
        <v>83</v>
      </c>
      <c r="B9" s="153" t="s">
        <v>148</v>
      </c>
      <c r="C9" s="153" t="s">
        <v>124</v>
      </c>
      <c r="D9" s="237">
        <v>43101</v>
      </c>
      <c r="E9" s="154" t="s">
        <v>66</v>
      </c>
      <c r="F9" s="156">
        <v>15</v>
      </c>
      <c r="G9" s="158">
        <v>10293</v>
      </c>
      <c r="H9" s="159">
        <v>1372.4</v>
      </c>
      <c r="I9" s="160">
        <f t="shared" ref="I9:I15" si="0">SUM(G9:H9)</f>
        <v>11665.4</v>
      </c>
      <c r="J9" s="161">
        <f t="shared" ref="J9:J16" si="1">IF(G9/15&lt;=SMG,0,H9/2)</f>
        <v>686.2</v>
      </c>
      <c r="K9" s="161">
        <f t="shared" ref="K9" si="2">G9+J9</f>
        <v>10979.2</v>
      </c>
      <c r="L9" s="161">
        <f t="shared" ref="L9:L22" si="3">VLOOKUP(K9,Tarifa1,1)</f>
        <v>7641.91</v>
      </c>
      <c r="M9" s="161">
        <f>K9-L9</f>
        <v>3337.2900000000009</v>
      </c>
      <c r="N9" s="162">
        <f t="shared" ref="N9:N22" si="4">VLOOKUP(K9,Tarifa1,3)</f>
        <v>0.21360000000000001</v>
      </c>
      <c r="O9" s="161">
        <f>M9*N9</f>
        <v>712.84514400000023</v>
      </c>
      <c r="P9" s="163">
        <f t="shared" ref="P9:P22" si="5">VLOOKUP(K9,Tarifa1,2)</f>
        <v>809.25</v>
      </c>
      <c r="Q9" s="161">
        <f>O9+P9</f>
        <v>1522.0951440000003</v>
      </c>
      <c r="R9" s="161">
        <f t="shared" ref="R9:R22" si="6">VLOOKUP(K9,Credito1,2)</f>
        <v>0</v>
      </c>
      <c r="S9" s="161">
        <f>ROUND(Q9-R9,2)</f>
        <v>1522.1</v>
      </c>
      <c r="T9" s="160">
        <f>-IF(S9&gt;0,0,S9)</f>
        <v>0</v>
      </c>
      <c r="U9" s="160">
        <f t="shared" ref="U9:U22" si="7">IF(G9/15&lt;=SMG,0,IF(S9&lt;0,0,S9))</f>
        <v>1522.1</v>
      </c>
      <c r="V9" s="164">
        <v>1500</v>
      </c>
      <c r="W9" s="160">
        <f t="shared" ref="W9:W10" si="8">SUM(U9:V9)</f>
        <v>3022.1</v>
      </c>
      <c r="X9" s="160">
        <f>I9+T9-W9</f>
        <v>8643.2999999999993</v>
      </c>
      <c r="Y9" s="88"/>
      <c r="Z9" s="4"/>
    </row>
    <row r="10" spans="1:27" s="93" customFormat="1" ht="77.099999999999994" customHeight="1" x14ac:dyDescent="0.3">
      <c r="A10" s="109"/>
      <c r="B10" s="153" t="s">
        <v>221</v>
      </c>
      <c r="C10" s="153" t="s">
        <v>124</v>
      </c>
      <c r="D10" s="237">
        <v>43739</v>
      </c>
      <c r="E10" s="154" t="s">
        <v>79</v>
      </c>
      <c r="F10" s="156">
        <v>15</v>
      </c>
      <c r="G10" s="158">
        <v>8409</v>
      </c>
      <c r="H10" s="159">
        <v>0</v>
      </c>
      <c r="I10" s="160">
        <f t="shared" si="0"/>
        <v>8409</v>
      </c>
      <c r="J10" s="161">
        <f t="shared" si="1"/>
        <v>0</v>
      </c>
      <c r="K10" s="161">
        <f t="shared" ref="K10:K16" si="9">G10+J10</f>
        <v>8409</v>
      </c>
      <c r="L10" s="161">
        <f t="shared" si="3"/>
        <v>7641.91</v>
      </c>
      <c r="M10" s="161">
        <f t="shared" ref="M10:M22" si="10">K10-L10</f>
        <v>767.09000000000015</v>
      </c>
      <c r="N10" s="162">
        <f t="shared" si="4"/>
        <v>0.21360000000000001</v>
      </c>
      <c r="O10" s="161">
        <f t="shared" ref="O10:O22" si="11">M10*N10</f>
        <v>163.85042400000003</v>
      </c>
      <c r="P10" s="163">
        <f t="shared" si="5"/>
        <v>809.25</v>
      </c>
      <c r="Q10" s="161">
        <f t="shared" ref="Q10:Q22" si="12">O10+P10</f>
        <v>973.10042399999998</v>
      </c>
      <c r="R10" s="161">
        <f t="shared" si="6"/>
        <v>0</v>
      </c>
      <c r="S10" s="161">
        <f t="shared" ref="S10:S22" si="13">ROUND(Q10-R10,2)</f>
        <v>973.1</v>
      </c>
      <c r="T10" s="160">
        <f t="shared" ref="T10:T22" si="14">-IF(S10&gt;0,0,S10)</f>
        <v>0</v>
      </c>
      <c r="U10" s="160">
        <f t="shared" si="7"/>
        <v>973.1</v>
      </c>
      <c r="V10" s="164">
        <v>1500</v>
      </c>
      <c r="W10" s="160">
        <f t="shared" si="8"/>
        <v>2473.1</v>
      </c>
      <c r="X10" s="160">
        <f t="shared" ref="X10:X15" si="15">I10+T10-W10</f>
        <v>5935.9</v>
      </c>
      <c r="Y10" s="88"/>
      <c r="Z10" s="4"/>
    </row>
    <row r="11" spans="1:27" s="93" customFormat="1" ht="77.099999999999994" customHeight="1" x14ac:dyDescent="0.3">
      <c r="A11" s="200"/>
      <c r="B11" s="153" t="s">
        <v>208</v>
      </c>
      <c r="C11" s="153" t="s">
        <v>124</v>
      </c>
      <c r="D11" s="237">
        <v>43601</v>
      </c>
      <c r="E11" s="155" t="s">
        <v>79</v>
      </c>
      <c r="F11" s="156">
        <v>15</v>
      </c>
      <c r="G11" s="158">
        <v>8409</v>
      </c>
      <c r="H11" s="159">
        <v>1121.2</v>
      </c>
      <c r="I11" s="160">
        <f t="shared" ref="I11:I12" si="16">SUM(G11:H11)</f>
        <v>9530.2000000000007</v>
      </c>
      <c r="J11" s="161">
        <f t="shared" ref="J11:J12" si="17">IF(G11/15&lt;=SMG,0,H11/2)</f>
        <v>560.6</v>
      </c>
      <c r="K11" s="161">
        <f t="shared" ref="K11:K12" si="18">G11+J11</f>
        <v>8969.6</v>
      </c>
      <c r="L11" s="161">
        <f t="shared" si="3"/>
        <v>7641.91</v>
      </c>
      <c r="M11" s="161">
        <f t="shared" si="10"/>
        <v>1327.6900000000005</v>
      </c>
      <c r="N11" s="162">
        <f t="shared" si="4"/>
        <v>0.21360000000000001</v>
      </c>
      <c r="O11" s="161">
        <f t="shared" si="11"/>
        <v>283.59458400000011</v>
      </c>
      <c r="P11" s="163">
        <f t="shared" si="5"/>
        <v>809.25</v>
      </c>
      <c r="Q11" s="161">
        <f t="shared" si="12"/>
        <v>1092.8445840000002</v>
      </c>
      <c r="R11" s="161">
        <f t="shared" si="6"/>
        <v>0</v>
      </c>
      <c r="S11" s="161">
        <f t="shared" si="13"/>
        <v>1092.8399999999999</v>
      </c>
      <c r="T11" s="160">
        <f t="shared" si="14"/>
        <v>0</v>
      </c>
      <c r="U11" s="160">
        <f t="shared" si="7"/>
        <v>1092.8399999999999</v>
      </c>
      <c r="V11" s="164">
        <v>0</v>
      </c>
      <c r="W11" s="160">
        <f t="shared" ref="W11:W12" si="19">SUM(U11:V11)</f>
        <v>1092.8399999999999</v>
      </c>
      <c r="X11" s="160">
        <f t="shared" ref="X11:X12" si="20">I11+T11-W11</f>
        <v>8437.36</v>
      </c>
      <c r="Y11" s="88"/>
      <c r="Z11" s="4"/>
    </row>
    <row r="12" spans="1:27" s="93" customFormat="1" ht="77.099999999999994" customHeight="1" x14ac:dyDescent="0.3">
      <c r="A12" s="200"/>
      <c r="B12" s="153" t="s">
        <v>228</v>
      </c>
      <c r="C12" s="153" t="s">
        <v>124</v>
      </c>
      <c r="D12" s="237">
        <v>43937</v>
      </c>
      <c r="E12" s="155" t="s">
        <v>388</v>
      </c>
      <c r="F12" s="156">
        <v>15</v>
      </c>
      <c r="G12" s="158">
        <v>8016</v>
      </c>
      <c r="H12" s="159">
        <v>1068.8</v>
      </c>
      <c r="I12" s="160">
        <f t="shared" si="16"/>
        <v>9084.7999999999993</v>
      </c>
      <c r="J12" s="161">
        <f t="shared" si="17"/>
        <v>534.4</v>
      </c>
      <c r="K12" s="161">
        <f t="shared" si="18"/>
        <v>8550.4</v>
      </c>
      <c r="L12" s="161">
        <f t="shared" ref="L12" si="21">VLOOKUP(K12,Tarifa1,1)</f>
        <v>7641.91</v>
      </c>
      <c r="M12" s="161">
        <f t="shared" ref="M12" si="22">K12-L12</f>
        <v>908.48999999999978</v>
      </c>
      <c r="N12" s="162">
        <f t="shared" ref="N12" si="23">VLOOKUP(K12,Tarifa1,3)</f>
        <v>0.21360000000000001</v>
      </c>
      <c r="O12" s="161">
        <f t="shared" ref="O12" si="24">M12*N12</f>
        <v>194.05346399999996</v>
      </c>
      <c r="P12" s="163">
        <f t="shared" ref="P12" si="25">VLOOKUP(K12,Tarifa1,2)</f>
        <v>809.25</v>
      </c>
      <c r="Q12" s="161">
        <f t="shared" ref="Q12" si="26">O12+P12</f>
        <v>1003.303464</v>
      </c>
      <c r="R12" s="161">
        <f t="shared" ref="R12" si="27">VLOOKUP(K12,Credito1,2)</f>
        <v>0</v>
      </c>
      <c r="S12" s="161">
        <f t="shared" ref="S12" si="28">ROUND(Q12-R12,2)</f>
        <v>1003.3</v>
      </c>
      <c r="T12" s="160">
        <f t="shared" ref="T12" si="29">-IF(S12&gt;0,0,S12)</f>
        <v>0</v>
      </c>
      <c r="U12" s="160">
        <f t="shared" ref="U12" si="30">IF(G12/15&lt;=SMG,0,IF(S12&lt;0,0,S12))</f>
        <v>1003.3</v>
      </c>
      <c r="V12" s="164">
        <v>0</v>
      </c>
      <c r="W12" s="160">
        <f t="shared" si="19"/>
        <v>1003.3</v>
      </c>
      <c r="X12" s="160">
        <f t="shared" si="20"/>
        <v>8081.4999999999991</v>
      </c>
      <c r="Y12" s="88"/>
      <c r="Z12" s="4"/>
    </row>
    <row r="13" spans="1:27" s="93" customFormat="1" ht="77.099999999999994" customHeight="1" x14ac:dyDescent="0.3">
      <c r="A13" s="200"/>
      <c r="B13" s="153" t="s">
        <v>259</v>
      </c>
      <c r="C13" s="153" t="s">
        <v>124</v>
      </c>
      <c r="D13" s="237">
        <v>44470</v>
      </c>
      <c r="E13" s="155" t="s">
        <v>388</v>
      </c>
      <c r="F13" s="156">
        <v>15</v>
      </c>
      <c r="G13" s="158">
        <v>8016</v>
      </c>
      <c r="H13" s="159">
        <v>0</v>
      </c>
      <c r="I13" s="160">
        <f t="shared" ref="I13:I14" si="31">SUM(G13:H13)</f>
        <v>8016</v>
      </c>
      <c r="J13" s="161">
        <f t="shared" ref="J13:J14" si="32">IF(G13/15&lt;=SMG,0,H13/2)</f>
        <v>0</v>
      </c>
      <c r="K13" s="161">
        <f t="shared" ref="K13:K14" si="33">G13+J13</f>
        <v>8016</v>
      </c>
      <c r="L13" s="161">
        <f t="shared" si="3"/>
        <v>7641.91</v>
      </c>
      <c r="M13" s="161">
        <f t="shared" si="10"/>
        <v>374.09000000000015</v>
      </c>
      <c r="N13" s="162">
        <f t="shared" si="4"/>
        <v>0.21360000000000001</v>
      </c>
      <c r="O13" s="161">
        <f t="shared" si="11"/>
        <v>79.905624000000032</v>
      </c>
      <c r="P13" s="163">
        <f t="shared" si="5"/>
        <v>809.25</v>
      </c>
      <c r="Q13" s="161">
        <f t="shared" si="12"/>
        <v>889.15562399999999</v>
      </c>
      <c r="R13" s="161">
        <f t="shared" si="6"/>
        <v>0</v>
      </c>
      <c r="S13" s="161">
        <f t="shared" si="13"/>
        <v>889.16</v>
      </c>
      <c r="T13" s="160">
        <f t="shared" si="14"/>
        <v>0</v>
      </c>
      <c r="U13" s="160">
        <f t="shared" si="7"/>
        <v>889.16</v>
      </c>
      <c r="V13" s="164">
        <v>0</v>
      </c>
      <c r="W13" s="160">
        <f t="shared" ref="W13" si="34">SUM(U13:V13)</f>
        <v>889.16</v>
      </c>
      <c r="X13" s="160">
        <f t="shared" ref="X13:X14" si="35">I13+T13-W13</f>
        <v>7126.84</v>
      </c>
      <c r="Y13" s="88"/>
      <c r="Z13" s="4"/>
    </row>
    <row r="14" spans="1:27" s="93" customFormat="1" ht="77.099999999999994" customHeight="1" x14ac:dyDescent="0.3">
      <c r="A14" s="200"/>
      <c r="B14" s="153" t="s">
        <v>216</v>
      </c>
      <c r="C14" s="153" t="s">
        <v>124</v>
      </c>
      <c r="D14" s="237">
        <v>43617</v>
      </c>
      <c r="E14" s="155" t="s">
        <v>80</v>
      </c>
      <c r="F14" s="156">
        <v>15</v>
      </c>
      <c r="G14" s="158">
        <v>7623</v>
      </c>
      <c r="H14" s="159">
        <v>1016.4</v>
      </c>
      <c r="I14" s="160">
        <f t="shared" si="31"/>
        <v>8639.4</v>
      </c>
      <c r="J14" s="161">
        <f t="shared" si="32"/>
        <v>508.2</v>
      </c>
      <c r="K14" s="161">
        <f t="shared" si="33"/>
        <v>8131.2</v>
      </c>
      <c r="L14" s="161">
        <f t="shared" ref="L14" si="36">VLOOKUP(K14,Tarifa1,1)</f>
        <v>7641.91</v>
      </c>
      <c r="M14" s="161">
        <f t="shared" ref="M14" si="37">K14-L14</f>
        <v>489.28999999999996</v>
      </c>
      <c r="N14" s="162">
        <f t="shared" ref="N14" si="38">VLOOKUP(K14,Tarifa1,3)</f>
        <v>0.21360000000000001</v>
      </c>
      <c r="O14" s="161">
        <f t="shared" ref="O14" si="39">M14*N14</f>
        <v>104.512344</v>
      </c>
      <c r="P14" s="163">
        <f t="shared" ref="P14" si="40">VLOOKUP(K14,Tarifa1,2)</f>
        <v>809.25</v>
      </c>
      <c r="Q14" s="161">
        <f t="shared" ref="Q14" si="41">O14+P14</f>
        <v>913.76234399999998</v>
      </c>
      <c r="R14" s="161">
        <f t="shared" ref="R14" si="42">VLOOKUP(K14,Credito1,2)</f>
        <v>0</v>
      </c>
      <c r="S14" s="161">
        <f t="shared" ref="S14" si="43">ROUND(Q14-R14,2)</f>
        <v>913.76</v>
      </c>
      <c r="T14" s="160">
        <f t="shared" ref="T14" si="44">-IF(S14&gt;0,0,S14)</f>
        <v>0</v>
      </c>
      <c r="U14" s="160">
        <f t="shared" ref="U14" si="45">IF(G14/15&lt;=SMG,0,IF(S14&lt;0,0,S14))</f>
        <v>913.76</v>
      </c>
      <c r="V14" s="164">
        <v>0</v>
      </c>
      <c r="W14" s="160">
        <f t="shared" ref="W14" si="46">SUM(U14:V14)</f>
        <v>913.76</v>
      </c>
      <c r="X14" s="160">
        <f t="shared" si="35"/>
        <v>7725.6399999999994</v>
      </c>
      <c r="Y14" s="88"/>
      <c r="Z14" s="4"/>
    </row>
    <row r="15" spans="1:27" s="93" customFormat="1" ht="77.099999999999994" customHeight="1" x14ac:dyDescent="0.3">
      <c r="A15" s="200"/>
      <c r="B15" s="153" t="s">
        <v>107</v>
      </c>
      <c r="C15" s="153" t="s">
        <v>124</v>
      </c>
      <c r="D15" s="238">
        <v>41898</v>
      </c>
      <c r="E15" s="155" t="s">
        <v>80</v>
      </c>
      <c r="F15" s="156">
        <v>15</v>
      </c>
      <c r="G15" s="158">
        <v>7623</v>
      </c>
      <c r="H15" s="159">
        <v>1016.4</v>
      </c>
      <c r="I15" s="160">
        <f t="shared" si="0"/>
        <v>8639.4</v>
      </c>
      <c r="J15" s="161">
        <f t="shared" si="1"/>
        <v>508.2</v>
      </c>
      <c r="K15" s="161">
        <f t="shared" si="9"/>
        <v>8131.2</v>
      </c>
      <c r="L15" s="161">
        <f t="shared" si="3"/>
        <v>7641.91</v>
      </c>
      <c r="M15" s="161">
        <f t="shared" si="10"/>
        <v>489.28999999999996</v>
      </c>
      <c r="N15" s="162">
        <f t="shared" si="4"/>
        <v>0.21360000000000001</v>
      </c>
      <c r="O15" s="161">
        <f t="shared" si="11"/>
        <v>104.512344</v>
      </c>
      <c r="P15" s="163">
        <f t="shared" si="5"/>
        <v>809.25</v>
      </c>
      <c r="Q15" s="161">
        <f t="shared" si="12"/>
        <v>913.76234399999998</v>
      </c>
      <c r="R15" s="161">
        <f t="shared" si="6"/>
        <v>0</v>
      </c>
      <c r="S15" s="161">
        <f t="shared" si="13"/>
        <v>913.76</v>
      </c>
      <c r="T15" s="160">
        <f t="shared" si="14"/>
        <v>0</v>
      </c>
      <c r="U15" s="160">
        <f t="shared" si="7"/>
        <v>913.76</v>
      </c>
      <c r="V15" s="164">
        <v>0</v>
      </c>
      <c r="W15" s="160">
        <f t="shared" ref="W15" si="47">SUM(U15:V15)</f>
        <v>913.76</v>
      </c>
      <c r="X15" s="160">
        <f t="shared" si="15"/>
        <v>7725.6399999999994</v>
      </c>
      <c r="Y15" s="89"/>
      <c r="Z15" s="4"/>
    </row>
    <row r="16" spans="1:27" ht="77.099999999999994" customHeight="1" x14ac:dyDescent="0.3">
      <c r="A16" s="200"/>
      <c r="B16" s="153" t="s">
        <v>223</v>
      </c>
      <c r="C16" s="153" t="s">
        <v>124</v>
      </c>
      <c r="D16" s="237">
        <v>43831</v>
      </c>
      <c r="E16" s="155" t="s">
        <v>80</v>
      </c>
      <c r="F16" s="203">
        <v>15</v>
      </c>
      <c r="G16" s="158">
        <v>7623</v>
      </c>
      <c r="H16" s="159">
        <v>1016.4</v>
      </c>
      <c r="I16" s="160">
        <f t="shared" ref="I16" si="48">SUM(G16:H16)</f>
        <v>8639.4</v>
      </c>
      <c r="J16" s="161">
        <f t="shared" si="1"/>
        <v>508.2</v>
      </c>
      <c r="K16" s="161">
        <f t="shared" si="9"/>
        <v>8131.2</v>
      </c>
      <c r="L16" s="161">
        <f t="shared" si="3"/>
        <v>7641.91</v>
      </c>
      <c r="M16" s="161">
        <f t="shared" si="10"/>
        <v>489.28999999999996</v>
      </c>
      <c r="N16" s="162">
        <f t="shared" si="4"/>
        <v>0.21360000000000001</v>
      </c>
      <c r="O16" s="161">
        <f t="shared" si="11"/>
        <v>104.512344</v>
      </c>
      <c r="P16" s="163">
        <f t="shared" si="5"/>
        <v>809.25</v>
      </c>
      <c r="Q16" s="161">
        <f t="shared" si="12"/>
        <v>913.76234399999998</v>
      </c>
      <c r="R16" s="161">
        <f t="shared" si="6"/>
        <v>0</v>
      </c>
      <c r="S16" s="161">
        <f t="shared" si="13"/>
        <v>913.76</v>
      </c>
      <c r="T16" s="160">
        <f t="shared" si="14"/>
        <v>0</v>
      </c>
      <c r="U16" s="160">
        <f t="shared" si="7"/>
        <v>913.76</v>
      </c>
      <c r="V16" s="164">
        <v>0</v>
      </c>
      <c r="W16" s="160">
        <f t="shared" ref="W16" si="49">SUM(U16:V16)</f>
        <v>913.76</v>
      </c>
      <c r="X16" s="160">
        <f t="shared" ref="X16" si="50">I16+T16-W16</f>
        <v>7725.6399999999994</v>
      </c>
      <c r="Y16" s="89"/>
      <c r="Z16" s="4"/>
    </row>
    <row r="17" spans="1:26" ht="77.099999999999994" customHeight="1" x14ac:dyDescent="0.3">
      <c r="A17" s="200"/>
      <c r="B17" s="153" t="s">
        <v>245</v>
      </c>
      <c r="C17" s="153" t="s">
        <v>124</v>
      </c>
      <c r="D17" s="237">
        <v>44332</v>
      </c>
      <c r="E17" s="155" t="s">
        <v>80</v>
      </c>
      <c r="F17" s="156"/>
      <c r="G17" s="158">
        <v>7623</v>
      </c>
      <c r="H17" s="159">
        <v>1016.4</v>
      </c>
      <c r="I17" s="160">
        <f t="shared" ref="I17" si="51">SUM(G17:H17)</f>
        <v>8639.4</v>
      </c>
      <c r="J17" s="161">
        <f t="shared" ref="J17:J21" si="52">IF(G17/15&lt;=SMG,0,H17/2)</f>
        <v>508.2</v>
      </c>
      <c r="K17" s="161">
        <f t="shared" ref="K17" si="53">G17+J17</f>
        <v>8131.2</v>
      </c>
      <c r="L17" s="161">
        <f t="shared" si="3"/>
        <v>7641.91</v>
      </c>
      <c r="M17" s="161">
        <f t="shared" si="10"/>
        <v>489.28999999999996</v>
      </c>
      <c r="N17" s="162">
        <f t="shared" si="4"/>
        <v>0.21360000000000001</v>
      </c>
      <c r="O17" s="161">
        <f t="shared" si="11"/>
        <v>104.512344</v>
      </c>
      <c r="P17" s="163">
        <f t="shared" si="5"/>
        <v>809.25</v>
      </c>
      <c r="Q17" s="161">
        <f t="shared" si="12"/>
        <v>913.76234399999998</v>
      </c>
      <c r="R17" s="161">
        <f t="shared" si="6"/>
        <v>0</v>
      </c>
      <c r="S17" s="161">
        <f t="shared" si="13"/>
        <v>913.76</v>
      </c>
      <c r="T17" s="160">
        <f t="shared" si="14"/>
        <v>0</v>
      </c>
      <c r="U17" s="160">
        <f t="shared" si="7"/>
        <v>913.76</v>
      </c>
      <c r="V17" s="164">
        <v>0</v>
      </c>
      <c r="W17" s="160">
        <f t="shared" ref="W17" si="54">SUM(U17:V17)</f>
        <v>913.76</v>
      </c>
      <c r="X17" s="160">
        <f t="shared" ref="X17" si="55">I17+T17-W17</f>
        <v>7725.6399999999994</v>
      </c>
      <c r="Y17" s="89"/>
      <c r="Z17" s="4"/>
    </row>
    <row r="18" spans="1:26" ht="77.099999999999994" customHeight="1" x14ac:dyDescent="0.3">
      <c r="A18" s="200"/>
      <c r="B18" s="153" t="s">
        <v>384</v>
      </c>
      <c r="C18" s="153" t="s">
        <v>124</v>
      </c>
      <c r="D18" s="237">
        <v>44608</v>
      </c>
      <c r="E18" s="155" t="s">
        <v>80</v>
      </c>
      <c r="F18" s="156"/>
      <c r="G18" s="158">
        <v>7623</v>
      </c>
      <c r="H18" s="159">
        <v>1016.4</v>
      </c>
      <c r="I18" s="160">
        <f t="shared" ref="I18:I20" si="56">SUM(G18:H18)</f>
        <v>8639.4</v>
      </c>
      <c r="J18" s="161">
        <f t="shared" si="52"/>
        <v>508.2</v>
      </c>
      <c r="K18" s="161">
        <f t="shared" ref="K18:K21" si="57">G18+J18</f>
        <v>8131.2</v>
      </c>
      <c r="L18" s="161">
        <f t="shared" si="3"/>
        <v>7641.91</v>
      </c>
      <c r="M18" s="161">
        <f t="shared" si="10"/>
        <v>489.28999999999996</v>
      </c>
      <c r="N18" s="162">
        <f t="shared" si="4"/>
        <v>0.21360000000000001</v>
      </c>
      <c r="O18" s="161">
        <f t="shared" si="11"/>
        <v>104.512344</v>
      </c>
      <c r="P18" s="163">
        <f t="shared" si="5"/>
        <v>809.25</v>
      </c>
      <c r="Q18" s="161">
        <f t="shared" si="12"/>
        <v>913.76234399999998</v>
      </c>
      <c r="R18" s="161">
        <f t="shared" si="6"/>
        <v>0</v>
      </c>
      <c r="S18" s="161">
        <f t="shared" si="13"/>
        <v>913.76</v>
      </c>
      <c r="T18" s="160">
        <f t="shared" si="14"/>
        <v>0</v>
      </c>
      <c r="U18" s="160">
        <f t="shared" si="7"/>
        <v>913.76</v>
      </c>
      <c r="V18" s="164">
        <v>0</v>
      </c>
      <c r="W18" s="160">
        <f t="shared" ref="W18:W19" si="58">SUM(U18:V18)</f>
        <v>913.76</v>
      </c>
      <c r="X18" s="160">
        <f t="shared" ref="X18:X21" si="59">I18+T18-W18</f>
        <v>7725.6399999999994</v>
      </c>
      <c r="Y18" s="89"/>
      <c r="Z18" s="4"/>
    </row>
    <row r="19" spans="1:26" ht="77.099999999999994" customHeight="1" x14ac:dyDescent="0.3">
      <c r="A19" s="200"/>
      <c r="B19" s="153" t="s">
        <v>385</v>
      </c>
      <c r="C19" s="153" t="s">
        <v>124</v>
      </c>
      <c r="D19" s="237">
        <v>44608</v>
      </c>
      <c r="E19" s="155" t="s">
        <v>80</v>
      </c>
      <c r="F19" s="156"/>
      <c r="G19" s="158">
        <v>7623</v>
      </c>
      <c r="H19" s="159">
        <v>0</v>
      </c>
      <c r="I19" s="160">
        <f t="shared" si="56"/>
        <v>7623</v>
      </c>
      <c r="J19" s="161">
        <f t="shared" si="52"/>
        <v>0</v>
      </c>
      <c r="K19" s="161">
        <f t="shared" si="57"/>
        <v>7623</v>
      </c>
      <c r="L19" s="161">
        <f t="shared" si="3"/>
        <v>6382.81</v>
      </c>
      <c r="M19" s="161">
        <f t="shared" si="10"/>
        <v>1240.1899999999996</v>
      </c>
      <c r="N19" s="162">
        <f t="shared" si="4"/>
        <v>0.1792</v>
      </c>
      <c r="O19" s="161">
        <f t="shared" si="11"/>
        <v>222.24204799999993</v>
      </c>
      <c r="P19" s="163">
        <f t="shared" si="5"/>
        <v>583.65</v>
      </c>
      <c r="Q19" s="161">
        <f t="shared" si="12"/>
        <v>805.89204799999993</v>
      </c>
      <c r="R19" s="161">
        <f t="shared" si="6"/>
        <v>0</v>
      </c>
      <c r="S19" s="161">
        <f t="shared" si="13"/>
        <v>805.89</v>
      </c>
      <c r="T19" s="160">
        <f t="shared" si="14"/>
        <v>0</v>
      </c>
      <c r="U19" s="160">
        <f t="shared" si="7"/>
        <v>805.89</v>
      </c>
      <c r="V19" s="164">
        <v>0</v>
      </c>
      <c r="W19" s="160">
        <f t="shared" si="58"/>
        <v>805.89</v>
      </c>
      <c r="X19" s="160">
        <f t="shared" si="59"/>
        <v>6817.11</v>
      </c>
      <c r="Y19" s="89"/>
      <c r="Z19" s="4"/>
    </row>
    <row r="20" spans="1:26" ht="77.099999999999994" customHeight="1" x14ac:dyDescent="0.3">
      <c r="A20" s="200"/>
      <c r="B20" s="153" t="s">
        <v>411</v>
      </c>
      <c r="C20" s="153" t="s">
        <v>124</v>
      </c>
      <c r="D20" s="238">
        <v>44745</v>
      </c>
      <c r="E20" s="155" t="s">
        <v>80</v>
      </c>
      <c r="F20" s="156"/>
      <c r="G20" s="158">
        <v>7623</v>
      </c>
      <c r="H20" s="159">
        <v>0</v>
      </c>
      <c r="I20" s="160">
        <f t="shared" si="56"/>
        <v>7623</v>
      </c>
      <c r="J20" s="161">
        <f t="shared" si="52"/>
        <v>0</v>
      </c>
      <c r="K20" s="161">
        <f t="shared" si="57"/>
        <v>7623</v>
      </c>
      <c r="L20" s="161">
        <f t="shared" ref="L20:L21" si="60">VLOOKUP(K20,Tarifa1,1)</f>
        <v>6382.81</v>
      </c>
      <c r="M20" s="161">
        <f t="shared" ref="M20:M21" si="61">K20-L20</f>
        <v>1240.1899999999996</v>
      </c>
      <c r="N20" s="162">
        <f t="shared" ref="N20:N21" si="62">VLOOKUP(K20,Tarifa1,3)</f>
        <v>0.1792</v>
      </c>
      <c r="O20" s="161">
        <f t="shared" ref="O20:O21" si="63">M20*N20</f>
        <v>222.24204799999993</v>
      </c>
      <c r="P20" s="163">
        <f t="shared" ref="P20:P21" si="64">VLOOKUP(K20,Tarifa1,2)</f>
        <v>583.65</v>
      </c>
      <c r="Q20" s="161">
        <f t="shared" ref="Q20:Q21" si="65">O20+P20</f>
        <v>805.89204799999993</v>
      </c>
      <c r="R20" s="161">
        <f t="shared" ref="R20:R21" si="66">VLOOKUP(K20,Credito1,2)</f>
        <v>0</v>
      </c>
      <c r="S20" s="161">
        <f t="shared" ref="S20:S21" si="67">ROUND(Q20-R20,2)</f>
        <v>805.89</v>
      </c>
      <c r="T20" s="160">
        <f t="shared" ref="T20:T21" si="68">-IF(S20&gt;0,0,S20)</f>
        <v>0</v>
      </c>
      <c r="U20" s="160">
        <f t="shared" ref="U20:U21" si="69">IF(G20/15&lt;=SMG,0,IF(S20&lt;0,0,S20))</f>
        <v>805.89</v>
      </c>
      <c r="V20" s="164">
        <v>0</v>
      </c>
      <c r="W20" s="160">
        <f t="shared" ref="W20:W21" si="70">SUM(U20:V20)</f>
        <v>805.89</v>
      </c>
      <c r="X20" s="160">
        <f t="shared" si="59"/>
        <v>6817.11</v>
      </c>
      <c r="Y20" s="89"/>
      <c r="Z20" s="4"/>
    </row>
    <row r="21" spans="1:26" ht="77.099999999999994" customHeight="1" x14ac:dyDescent="0.3">
      <c r="A21" s="200"/>
      <c r="B21" s="153" t="s">
        <v>437</v>
      </c>
      <c r="C21" s="153" t="s">
        <v>124</v>
      </c>
      <c r="D21" s="238">
        <v>44942</v>
      </c>
      <c r="E21" s="155" t="s">
        <v>80</v>
      </c>
      <c r="F21" s="156"/>
      <c r="G21" s="158">
        <v>7623</v>
      </c>
      <c r="H21" s="159">
        <v>0</v>
      </c>
      <c r="I21" s="160">
        <f t="shared" ref="I21" si="71">SUM(G21:H21)</f>
        <v>7623</v>
      </c>
      <c r="J21" s="161">
        <f t="shared" si="52"/>
        <v>0</v>
      </c>
      <c r="K21" s="161">
        <f t="shared" si="57"/>
        <v>7623</v>
      </c>
      <c r="L21" s="161">
        <f t="shared" si="60"/>
        <v>6382.81</v>
      </c>
      <c r="M21" s="161">
        <f t="shared" si="61"/>
        <v>1240.1899999999996</v>
      </c>
      <c r="N21" s="162">
        <f t="shared" si="62"/>
        <v>0.1792</v>
      </c>
      <c r="O21" s="161">
        <f t="shared" si="63"/>
        <v>222.24204799999993</v>
      </c>
      <c r="P21" s="163">
        <f t="shared" si="64"/>
        <v>583.65</v>
      </c>
      <c r="Q21" s="161">
        <f t="shared" si="65"/>
        <v>805.89204799999993</v>
      </c>
      <c r="R21" s="161">
        <f t="shared" si="66"/>
        <v>0</v>
      </c>
      <c r="S21" s="161">
        <f t="shared" si="67"/>
        <v>805.89</v>
      </c>
      <c r="T21" s="160">
        <f t="shared" si="68"/>
        <v>0</v>
      </c>
      <c r="U21" s="160">
        <f t="shared" si="69"/>
        <v>805.89</v>
      </c>
      <c r="V21" s="164">
        <v>0</v>
      </c>
      <c r="W21" s="160">
        <f t="shared" si="70"/>
        <v>805.89</v>
      </c>
      <c r="X21" s="160">
        <f t="shared" si="59"/>
        <v>6817.11</v>
      </c>
      <c r="Y21" s="89"/>
      <c r="Z21" s="4"/>
    </row>
    <row r="22" spans="1:26" ht="77.099999999999994" customHeight="1" x14ac:dyDescent="0.3">
      <c r="A22" s="200"/>
      <c r="B22" s="153" t="s">
        <v>474</v>
      </c>
      <c r="C22" s="153" t="s">
        <v>124</v>
      </c>
      <c r="D22" s="238">
        <v>44986</v>
      </c>
      <c r="E22" s="155" t="s">
        <v>80</v>
      </c>
      <c r="F22" s="156"/>
      <c r="G22" s="158">
        <v>7623</v>
      </c>
      <c r="H22" s="159">
        <v>0</v>
      </c>
      <c r="I22" s="160">
        <f t="shared" ref="I22" si="72">SUM(G22:H22)</f>
        <v>7623</v>
      </c>
      <c r="J22" s="161">
        <f t="shared" ref="J22" si="73">IF(G22/15&lt;=SMG,0,H22/2)</f>
        <v>0</v>
      </c>
      <c r="K22" s="161">
        <f t="shared" ref="K22" si="74">G22+J22</f>
        <v>7623</v>
      </c>
      <c r="L22" s="161">
        <f t="shared" si="3"/>
        <v>6382.81</v>
      </c>
      <c r="M22" s="161">
        <f t="shared" si="10"/>
        <v>1240.1899999999996</v>
      </c>
      <c r="N22" s="162">
        <f t="shared" si="4"/>
        <v>0.1792</v>
      </c>
      <c r="O22" s="161">
        <f t="shared" si="11"/>
        <v>222.24204799999993</v>
      </c>
      <c r="P22" s="163">
        <f t="shared" si="5"/>
        <v>583.65</v>
      </c>
      <c r="Q22" s="161">
        <f t="shared" si="12"/>
        <v>805.89204799999993</v>
      </c>
      <c r="R22" s="161">
        <f t="shared" si="6"/>
        <v>0</v>
      </c>
      <c r="S22" s="161">
        <f t="shared" si="13"/>
        <v>805.89</v>
      </c>
      <c r="T22" s="160">
        <f t="shared" si="14"/>
        <v>0</v>
      </c>
      <c r="U22" s="160">
        <f t="shared" si="7"/>
        <v>805.89</v>
      </c>
      <c r="V22" s="164">
        <v>0</v>
      </c>
      <c r="W22" s="160">
        <f t="shared" ref="W22" si="75">SUM(U22:V22)</f>
        <v>805.89</v>
      </c>
      <c r="X22" s="160">
        <f t="shared" ref="X22" si="76">I22+T22-W22</f>
        <v>6817.11</v>
      </c>
      <c r="Y22" s="89"/>
      <c r="Z22" s="4"/>
    </row>
    <row r="23" spans="1:26" ht="29.25" customHeight="1" thickBot="1" x14ac:dyDescent="0.35">
      <c r="A23" s="302" t="s">
        <v>44</v>
      </c>
      <c r="B23" s="303"/>
      <c r="C23" s="303"/>
      <c r="D23" s="303"/>
      <c r="E23" s="303"/>
      <c r="F23" s="303"/>
      <c r="G23" s="167">
        <f>SUM(G9:G22)</f>
        <v>111750</v>
      </c>
      <c r="H23" s="167">
        <f>SUM(H9:H22)</f>
        <v>8644.4</v>
      </c>
      <c r="I23" s="167">
        <f>SUM(I9:I22)</f>
        <v>120394.4</v>
      </c>
      <c r="J23" s="168">
        <f t="shared" ref="J23:S23" si="77">SUM(J9:J15)</f>
        <v>2797.6</v>
      </c>
      <c r="K23" s="168">
        <f t="shared" si="77"/>
        <v>61186.6</v>
      </c>
      <c r="L23" s="168">
        <f t="shared" si="77"/>
        <v>53493.37000000001</v>
      </c>
      <c r="M23" s="168">
        <f t="shared" si="77"/>
        <v>7693.2300000000014</v>
      </c>
      <c r="N23" s="168">
        <f t="shared" si="77"/>
        <v>1.4952000000000001</v>
      </c>
      <c r="O23" s="168">
        <f t="shared" si="77"/>
        <v>1643.2739280000005</v>
      </c>
      <c r="P23" s="168">
        <f t="shared" si="77"/>
        <v>5664.75</v>
      </c>
      <c r="Q23" s="168">
        <f t="shared" si="77"/>
        <v>7308.0239279999996</v>
      </c>
      <c r="R23" s="168">
        <f t="shared" si="77"/>
        <v>0</v>
      </c>
      <c r="S23" s="168">
        <f t="shared" si="77"/>
        <v>7308.02</v>
      </c>
      <c r="T23" s="167">
        <f>SUM(T9:T22)</f>
        <v>0</v>
      </c>
      <c r="U23" s="167">
        <f>SUM(U9:U22)</f>
        <v>13272.859999999999</v>
      </c>
      <c r="V23" s="167">
        <f>SUM(V9:V22)</f>
        <v>3000</v>
      </c>
      <c r="W23" s="167">
        <f>SUM(W9:W22)</f>
        <v>16272.859999999999</v>
      </c>
      <c r="X23" s="167">
        <f>SUM(X9:X22)</f>
        <v>104121.54</v>
      </c>
      <c r="Y23" s="4"/>
      <c r="Z23" s="4"/>
    </row>
    <row r="24" spans="1:26" ht="13.8" thickTop="1" x14ac:dyDescent="0.25"/>
  </sheetData>
  <mergeCells count="7">
    <mergeCell ref="A23:F23"/>
    <mergeCell ref="A1:Y1"/>
    <mergeCell ref="A2:Y2"/>
    <mergeCell ref="G5:I5"/>
    <mergeCell ref="L5:Q5"/>
    <mergeCell ref="U5:W5"/>
    <mergeCell ref="B3:Y3"/>
  </mergeCells>
  <pageMargins left="0.27559055118110237" right="0.27559055118110237" top="0.39370078740157483" bottom="7.874015748031496E-2" header="0.31496062992125984" footer="0.31496062992125984"/>
  <pageSetup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opLeftCell="B16" zoomScale="73" zoomScaleNormal="73" workbookViewId="0">
      <selection activeCell="B21" sqref="A21:XFD28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24.33203125" style="67" customWidth="1"/>
    <col min="6" max="6" width="33.33203125" style="67" customWidth="1"/>
    <col min="7" max="7" width="17.5546875" style="67" customWidth="1"/>
    <col min="8" max="8" width="19.5546875" style="67" customWidth="1"/>
    <col min="9" max="9" width="6.5546875" style="67" hidden="1" customWidth="1"/>
    <col min="10" max="10" width="10" style="67" hidden="1" customWidth="1"/>
    <col min="11" max="11" width="16.33203125" style="67" customWidth="1"/>
    <col min="12" max="12" width="14" style="67" customWidth="1"/>
    <col min="13" max="13" width="15.6640625" style="67" customWidth="1"/>
    <col min="14" max="14" width="13.109375" style="67" hidden="1" customWidth="1"/>
    <col min="15" max="17" width="14.33203125" style="67" hidden="1" customWidth="1"/>
    <col min="18" max="19" width="13.109375" style="67" hidden="1" customWidth="1"/>
    <col min="20" max="20" width="10.5546875" style="67" hidden="1" customWidth="1"/>
    <col min="21" max="22" width="13.109375" style="67" hidden="1" customWidth="1"/>
    <col min="23" max="23" width="11.5546875" style="67" hidden="1" customWidth="1"/>
    <col min="24" max="24" width="9.6640625" style="67" customWidth="1"/>
    <col min="25" max="25" width="14.44140625" style="67" customWidth="1"/>
    <col min="26" max="26" width="13.33203125" style="67" customWidth="1"/>
    <col min="27" max="27" width="13" style="67" customWidth="1"/>
    <col min="28" max="28" width="15.88671875" style="67" customWidth="1"/>
    <col min="29" max="29" width="50" style="67" customWidth="1"/>
    <col min="30" max="16384" width="11.44140625" style="67"/>
  </cols>
  <sheetData>
    <row r="1" spans="1:29" ht="17.399999999999999" x14ac:dyDescent="0.3">
      <c r="A1" s="316" t="s">
        <v>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</row>
    <row r="2" spans="1:29" ht="17.399999999999999" x14ac:dyDescent="0.3">
      <c r="A2" s="316" t="s">
        <v>64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</row>
    <row r="3" spans="1:29" ht="19.8" x14ac:dyDescent="0.3">
      <c r="A3" s="306" t="s">
        <v>477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</row>
    <row r="4" spans="1:29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6.2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x14ac:dyDescent="0.25">
      <c r="A6" s="68"/>
      <c r="B6" s="68"/>
      <c r="C6" s="68"/>
      <c r="D6" s="68"/>
      <c r="E6" s="68"/>
      <c r="F6" s="68"/>
      <c r="G6" s="68"/>
      <c r="H6" s="68"/>
      <c r="I6" s="69" t="s">
        <v>22</v>
      </c>
      <c r="J6" s="69" t="s">
        <v>5</v>
      </c>
      <c r="K6" s="345" t="s">
        <v>1</v>
      </c>
      <c r="L6" s="346"/>
      <c r="M6" s="347"/>
      <c r="N6" s="70" t="s">
        <v>25</v>
      </c>
      <c r="O6" s="71"/>
      <c r="P6" s="348" t="s">
        <v>8</v>
      </c>
      <c r="Q6" s="349"/>
      <c r="R6" s="349"/>
      <c r="S6" s="349"/>
      <c r="T6" s="349"/>
      <c r="U6" s="350"/>
      <c r="V6" s="70" t="s">
        <v>29</v>
      </c>
      <c r="W6" s="70" t="s">
        <v>9</v>
      </c>
      <c r="X6" s="69" t="s">
        <v>52</v>
      </c>
      <c r="Y6" s="351" t="s">
        <v>2</v>
      </c>
      <c r="Z6" s="352"/>
      <c r="AA6" s="353"/>
      <c r="AB6" s="69" t="s">
        <v>0</v>
      </c>
      <c r="AC6" s="72"/>
    </row>
    <row r="7" spans="1:29" ht="21" x14ac:dyDescent="0.25">
      <c r="A7" s="73" t="s">
        <v>20</v>
      </c>
      <c r="B7" s="74" t="s">
        <v>101</v>
      </c>
      <c r="C7" s="74" t="s">
        <v>125</v>
      </c>
      <c r="D7" s="73" t="s">
        <v>21</v>
      </c>
      <c r="E7" s="73"/>
      <c r="F7" s="73"/>
      <c r="G7" s="73"/>
      <c r="H7" s="73"/>
      <c r="I7" s="75" t="s">
        <v>23</v>
      </c>
      <c r="J7" s="73" t="s">
        <v>24</v>
      </c>
      <c r="K7" s="69" t="s">
        <v>5</v>
      </c>
      <c r="L7" s="69" t="s">
        <v>58</v>
      </c>
      <c r="M7" s="69" t="s">
        <v>27</v>
      </c>
      <c r="N7" s="76" t="s">
        <v>26</v>
      </c>
      <c r="O7" s="71" t="s">
        <v>31</v>
      </c>
      <c r="P7" s="71" t="s">
        <v>11</v>
      </c>
      <c r="Q7" s="71" t="s">
        <v>33</v>
      </c>
      <c r="R7" s="71" t="s">
        <v>35</v>
      </c>
      <c r="S7" s="71" t="s">
        <v>36</v>
      </c>
      <c r="T7" s="71" t="s">
        <v>13</v>
      </c>
      <c r="U7" s="71" t="s">
        <v>9</v>
      </c>
      <c r="V7" s="76" t="s">
        <v>39</v>
      </c>
      <c r="W7" s="76" t="s">
        <v>40</v>
      </c>
      <c r="X7" s="73" t="s">
        <v>30</v>
      </c>
      <c r="Y7" s="23" t="s">
        <v>433</v>
      </c>
      <c r="Z7" s="69" t="s">
        <v>56</v>
      </c>
      <c r="AA7" s="69" t="s">
        <v>6</v>
      </c>
      <c r="AB7" s="73" t="s">
        <v>3</v>
      </c>
      <c r="AC7" s="77" t="s">
        <v>57</v>
      </c>
    </row>
    <row r="8" spans="1:29" x14ac:dyDescent="0.25">
      <c r="A8" s="78"/>
      <c r="B8" s="73"/>
      <c r="C8" s="73"/>
      <c r="D8" s="73"/>
      <c r="E8" s="73"/>
      <c r="F8" s="73"/>
      <c r="G8" s="73"/>
      <c r="H8" s="73"/>
      <c r="I8" s="73"/>
      <c r="J8" s="73"/>
      <c r="K8" s="73" t="s">
        <v>46</v>
      </c>
      <c r="L8" s="73" t="s">
        <v>59</v>
      </c>
      <c r="M8" s="73" t="s">
        <v>28</v>
      </c>
      <c r="N8" s="76" t="s">
        <v>42</v>
      </c>
      <c r="O8" s="70" t="s">
        <v>32</v>
      </c>
      <c r="P8" s="70" t="s">
        <v>12</v>
      </c>
      <c r="Q8" s="70" t="s">
        <v>34</v>
      </c>
      <c r="R8" s="70" t="s">
        <v>34</v>
      </c>
      <c r="S8" s="70" t="s">
        <v>37</v>
      </c>
      <c r="T8" s="70" t="s">
        <v>14</v>
      </c>
      <c r="U8" s="70" t="s">
        <v>38</v>
      </c>
      <c r="V8" s="76" t="s">
        <v>18</v>
      </c>
      <c r="W8" s="79" t="s">
        <v>139</v>
      </c>
      <c r="X8" s="73" t="s">
        <v>51</v>
      </c>
      <c r="Y8" s="73"/>
      <c r="Z8" s="73"/>
      <c r="AA8" s="73" t="s">
        <v>43</v>
      </c>
      <c r="AB8" s="73" t="s">
        <v>4</v>
      </c>
      <c r="AC8" s="80"/>
    </row>
    <row r="9" spans="1:29" ht="52.2" x14ac:dyDescent="0.3">
      <c r="A9" s="81"/>
      <c r="B9" s="82"/>
      <c r="C9" s="82"/>
      <c r="D9" s="204" t="s">
        <v>147</v>
      </c>
      <c r="E9" s="37" t="s">
        <v>102</v>
      </c>
      <c r="F9" s="37" t="s">
        <v>326</v>
      </c>
      <c r="G9" s="100" t="s">
        <v>467</v>
      </c>
      <c r="H9" s="83" t="s">
        <v>61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4"/>
    </row>
    <row r="10" spans="1:29" ht="96" customHeight="1" x14ac:dyDescent="0.3">
      <c r="A10" s="223"/>
      <c r="B10" s="153" t="s">
        <v>416</v>
      </c>
      <c r="C10" s="153" t="s">
        <v>124</v>
      </c>
      <c r="D10" s="201" t="s">
        <v>412</v>
      </c>
      <c r="E10" s="202" t="s">
        <v>413</v>
      </c>
      <c r="F10" s="202" t="s">
        <v>414</v>
      </c>
      <c r="G10" s="237">
        <v>44730</v>
      </c>
      <c r="H10" s="155" t="s">
        <v>415</v>
      </c>
      <c r="I10" s="156"/>
      <c r="J10" s="157"/>
      <c r="K10" s="158">
        <v>9547</v>
      </c>
      <c r="L10" s="159">
        <v>0</v>
      </c>
      <c r="M10" s="160">
        <f t="shared" ref="M10" si="0">SUM(K10:L10)</f>
        <v>9547</v>
      </c>
      <c r="N10" s="161">
        <f t="shared" ref="N10" si="1">IF(K10/15&lt;=SMG,0,L10/2)</f>
        <v>0</v>
      </c>
      <c r="O10" s="161">
        <f t="shared" ref="O10" si="2">K10+N10</f>
        <v>9547</v>
      </c>
      <c r="P10" s="161">
        <f t="shared" ref="P10:P18" si="3">VLOOKUP(O10,Tarifa1,1)</f>
        <v>7641.91</v>
      </c>
      <c r="Q10" s="161">
        <f>O10-P10</f>
        <v>1905.0900000000001</v>
      </c>
      <c r="R10" s="162">
        <f t="shared" ref="R10:R18" si="4">VLOOKUP(O10,Tarifa1,3)</f>
        <v>0.21360000000000001</v>
      </c>
      <c r="S10" s="161">
        <f>Q10*R10</f>
        <v>406.92722400000008</v>
      </c>
      <c r="T10" s="163">
        <f t="shared" ref="T10:T18" si="5">VLOOKUP(O10,Tarifa1,2)</f>
        <v>809.25</v>
      </c>
      <c r="U10" s="161">
        <f>S10+T10</f>
        <v>1216.177224</v>
      </c>
      <c r="V10" s="161">
        <f t="shared" ref="V10:V18" si="6">VLOOKUP(O10,Credito1,2)</f>
        <v>0</v>
      </c>
      <c r="W10" s="161">
        <f>ROUND(U10-V10,2)</f>
        <v>1216.18</v>
      </c>
      <c r="X10" s="160">
        <f>-IF(W10&gt;0,0,W10)</f>
        <v>0</v>
      </c>
      <c r="Y10" s="160">
        <f t="shared" ref="Y10:Y18" si="7">IF(K10/15&lt;=SMG,0,IF(W10&lt;0,0,W10))</f>
        <v>1216.18</v>
      </c>
      <c r="Z10" s="164">
        <v>0</v>
      </c>
      <c r="AA10" s="160">
        <f t="shared" ref="AA10" si="8">SUM(Y10:Z10)</f>
        <v>1216.18</v>
      </c>
      <c r="AB10" s="160">
        <f t="shared" ref="AB10" si="9">M10+X10-AA10</f>
        <v>8330.82</v>
      </c>
      <c r="AC10" s="219"/>
    </row>
    <row r="11" spans="1:29" s="93" customFormat="1" ht="96" customHeight="1" x14ac:dyDescent="0.3">
      <c r="A11" s="109"/>
      <c r="B11" s="153" t="s">
        <v>237</v>
      </c>
      <c r="C11" s="153" t="s">
        <v>124</v>
      </c>
      <c r="D11" s="201" t="s">
        <v>235</v>
      </c>
      <c r="E11" s="202" t="s">
        <v>236</v>
      </c>
      <c r="F11" s="202" t="s">
        <v>365</v>
      </c>
      <c r="G11" s="237">
        <v>43998</v>
      </c>
      <c r="H11" s="154" t="s">
        <v>145</v>
      </c>
      <c r="I11" s="156"/>
      <c r="J11" s="157"/>
      <c r="K11" s="158">
        <v>5767.5</v>
      </c>
      <c r="L11" s="159">
        <v>200</v>
      </c>
      <c r="M11" s="160">
        <f t="shared" ref="M11" si="10">SUM(K11:L11)</f>
        <v>5967.5</v>
      </c>
      <c r="N11" s="161">
        <f t="shared" ref="N11" si="11">IF(K11/15&lt;=SMG,0,L11/2)</f>
        <v>100</v>
      </c>
      <c r="O11" s="161">
        <f t="shared" ref="O11:O12" si="12">K11+N11</f>
        <v>5867.5</v>
      </c>
      <c r="P11" s="161">
        <f t="shared" si="3"/>
        <v>5490.76</v>
      </c>
      <c r="Q11" s="161">
        <f t="shared" ref="Q11:Q18" si="13">O11-P11</f>
        <v>376.73999999999978</v>
      </c>
      <c r="R11" s="162">
        <f t="shared" si="4"/>
        <v>0.16</v>
      </c>
      <c r="S11" s="161">
        <f t="shared" ref="S11:S18" si="14">Q11*R11</f>
        <v>60.278399999999969</v>
      </c>
      <c r="T11" s="163">
        <f t="shared" si="5"/>
        <v>441</v>
      </c>
      <c r="U11" s="161">
        <f t="shared" ref="U11:U18" si="15">S11+T11</f>
        <v>501.27839999999998</v>
      </c>
      <c r="V11" s="161">
        <f t="shared" si="6"/>
        <v>0</v>
      </c>
      <c r="W11" s="161">
        <f t="shared" ref="W11:W18" si="16">ROUND(U11-V11,2)</f>
        <v>501.28</v>
      </c>
      <c r="X11" s="160">
        <f t="shared" ref="X11:X18" si="17">-IF(W11&gt;0,0,W11)</f>
        <v>0</v>
      </c>
      <c r="Y11" s="160">
        <f t="shared" si="7"/>
        <v>501.28</v>
      </c>
      <c r="Z11" s="164">
        <v>0</v>
      </c>
      <c r="AA11" s="160">
        <f t="shared" ref="AA11" si="18">SUM(Y11:Z11)</f>
        <v>501.28</v>
      </c>
      <c r="AB11" s="160">
        <f t="shared" ref="AB11" si="19">M11+X11-AA11</f>
        <v>5466.22</v>
      </c>
      <c r="AC11" s="92"/>
    </row>
    <row r="12" spans="1:29" s="93" customFormat="1" ht="96" customHeight="1" x14ac:dyDescent="0.3">
      <c r="A12" s="109"/>
      <c r="B12" s="153" t="s">
        <v>447</v>
      </c>
      <c r="C12" s="153" t="s">
        <v>124</v>
      </c>
      <c r="D12" s="201" t="s">
        <v>448</v>
      </c>
      <c r="E12" s="202" t="s">
        <v>449</v>
      </c>
      <c r="F12" s="202" t="s">
        <v>450</v>
      </c>
      <c r="G12" s="237">
        <v>44942</v>
      </c>
      <c r="H12" s="154" t="s">
        <v>145</v>
      </c>
      <c r="I12" s="156"/>
      <c r="J12" s="157"/>
      <c r="K12" s="158">
        <v>5210.41</v>
      </c>
      <c r="L12" s="159">
        <v>1736.8</v>
      </c>
      <c r="M12" s="160">
        <f t="shared" ref="M12:M18" si="20">SUM(K12:L12)</f>
        <v>6947.21</v>
      </c>
      <c r="N12" s="161">
        <f>IF(K12/15&lt;=SMG,0,L12/2)</f>
        <v>868.4</v>
      </c>
      <c r="O12" s="161">
        <f t="shared" si="12"/>
        <v>6078.8099999999995</v>
      </c>
      <c r="P12" s="161">
        <f t="shared" si="3"/>
        <v>5490.76</v>
      </c>
      <c r="Q12" s="161">
        <f t="shared" si="13"/>
        <v>588.04999999999927</v>
      </c>
      <c r="R12" s="162">
        <f t="shared" si="4"/>
        <v>0.16</v>
      </c>
      <c r="S12" s="161">
        <f t="shared" si="14"/>
        <v>94.08799999999988</v>
      </c>
      <c r="T12" s="163">
        <f t="shared" si="5"/>
        <v>441</v>
      </c>
      <c r="U12" s="161">
        <f t="shared" si="15"/>
        <v>535.08799999999985</v>
      </c>
      <c r="V12" s="161">
        <f t="shared" si="6"/>
        <v>0</v>
      </c>
      <c r="W12" s="161">
        <f t="shared" si="16"/>
        <v>535.09</v>
      </c>
      <c r="X12" s="160">
        <f t="shared" si="17"/>
        <v>0</v>
      </c>
      <c r="Y12" s="160">
        <f t="shared" si="7"/>
        <v>535.09</v>
      </c>
      <c r="Z12" s="164">
        <v>0</v>
      </c>
      <c r="AA12" s="160">
        <f t="shared" ref="AA12:AA18" si="21">SUM(Y12:Z12)</f>
        <v>535.09</v>
      </c>
      <c r="AB12" s="160">
        <f t="shared" ref="AB12:AB18" si="22">M12+X12-AA12</f>
        <v>6412.12</v>
      </c>
      <c r="AC12" s="92"/>
    </row>
    <row r="13" spans="1:29" s="93" customFormat="1" ht="96" customHeight="1" x14ac:dyDescent="0.3">
      <c r="A13" s="109"/>
      <c r="B13" s="153" t="s">
        <v>451</v>
      </c>
      <c r="C13" s="153" t="s">
        <v>124</v>
      </c>
      <c r="D13" s="201" t="s">
        <v>452</v>
      </c>
      <c r="E13" s="202" t="s">
        <v>453</v>
      </c>
      <c r="F13" s="202" t="s">
        <v>454</v>
      </c>
      <c r="G13" s="237">
        <v>44942</v>
      </c>
      <c r="H13" s="154" t="s">
        <v>145</v>
      </c>
      <c r="I13" s="156"/>
      <c r="J13" s="157"/>
      <c r="K13" s="158">
        <v>5210.41</v>
      </c>
      <c r="L13" s="159">
        <v>0</v>
      </c>
      <c r="M13" s="160">
        <f t="shared" si="20"/>
        <v>5210.41</v>
      </c>
      <c r="N13" s="161">
        <f>IF(K13/15&lt;=SMG,0,L13/2)</f>
        <v>0</v>
      </c>
      <c r="O13" s="161">
        <f t="shared" ref="O13" si="23">K13+N13</f>
        <v>5210.41</v>
      </c>
      <c r="P13" s="161">
        <f t="shared" si="3"/>
        <v>3124.36</v>
      </c>
      <c r="Q13" s="161">
        <f t="shared" ref="Q13" si="24">O13-P13</f>
        <v>2086.0499999999997</v>
      </c>
      <c r="R13" s="162">
        <f t="shared" si="4"/>
        <v>0.10879999999999999</v>
      </c>
      <c r="S13" s="161">
        <f t="shared" ref="S13" si="25">Q13*R13</f>
        <v>226.96223999999995</v>
      </c>
      <c r="T13" s="163">
        <f t="shared" si="5"/>
        <v>183.45</v>
      </c>
      <c r="U13" s="161">
        <f t="shared" ref="U13" si="26">S13+T13</f>
        <v>410.41223999999994</v>
      </c>
      <c r="V13" s="161">
        <f t="shared" si="6"/>
        <v>0</v>
      </c>
      <c r="W13" s="161">
        <f t="shared" ref="W13" si="27">ROUND(U13-V13,2)</f>
        <v>410.41</v>
      </c>
      <c r="X13" s="160">
        <f t="shared" ref="X13" si="28">-IF(W13&gt;0,0,W13)</f>
        <v>0</v>
      </c>
      <c r="Y13" s="160">
        <f t="shared" si="7"/>
        <v>410.41</v>
      </c>
      <c r="Z13" s="164">
        <v>0</v>
      </c>
      <c r="AA13" s="160">
        <f t="shared" si="21"/>
        <v>410.41</v>
      </c>
      <c r="AB13" s="160">
        <f t="shared" si="22"/>
        <v>4800</v>
      </c>
      <c r="AC13" s="92"/>
    </row>
    <row r="14" spans="1:29" s="93" customFormat="1" ht="96" customHeight="1" x14ac:dyDescent="0.3">
      <c r="A14" s="109"/>
      <c r="B14" s="153" t="s">
        <v>455</v>
      </c>
      <c r="C14" s="153" t="s">
        <v>124</v>
      </c>
      <c r="D14" s="201" t="s">
        <v>456</v>
      </c>
      <c r="E14" s="202" t="s">
        <v>457</v>
      </c>
      <c r="F14" s="202" t="s">
        <v>458</v>
      </c>
      <c r="G14" s="237">
        <v>44942</v>
      </c>
      <c r="H14" s="154" t="s">
        <v>145</v>
      </c>
      <c r="I14" s="156"/>
      <c r="J14" s="157"/>
      <c r="K14" s="158">
        <v>5210.41</v>
      </c>
      <c r="L14" s="159">
        <v>1736.8</v>
      </c>
      <c r="M14" s="160">
        <f t="shared" si="20"/>
        <v>6947.21</v>
      </c>
      <c r="N14" s="161">
        <f>IF(K14/15&lt;=SMG,0,L14/2)</f>
        <v>868.4</v>
      </c>
      <c r="O14" s="161">
        <f t="shared" ref="O14" si="29">K14+N14</f>
        <v>6078.8099999999995</v>
      </c>
      <c r="P14" s="161">
        <f t="shared" si="3"/>
        <v>5490.76</v>
      </c>
      <c r="Q14" s="161">
        <f t="shared" ref="Q14" si="30">O14-P14</f>
        <v>588.04999999999927</v>
      </c>
      <c r="R14" s="162">
        <f t="shared" si="4"/>
        <v>0.16</v>
      </c>
      <c r="S14" s="161">
        <f t="shared" ref="S14" si="31">Q14*R14</f>
        <v>94.08799999999988</v>
      </c>
      <c r="T14" s="163">
        <f t="shared" si="5"/>
        <v>441</v>
      </c>
      <c r="U14" s="161">
        <f t="shared" ref="U14" si="32">S14+T14</f>
        <v>535.08799999999985</v>
      </c>
      <c r="V14" s="161">
        <f t="shared" si="6"/>
        <v>0</v>
      </c>
      <c r="W14" s="161">
        <f t="shared" ref="W14" si="33">ROUND(U14-V14,2)</f>
        <v>535.09</v>
      </c>
      <c r="X14" s="160">
        <f t="shared" ref="X14" si="34">-IF(W14&gt;0,0,W14)</f>
        <v>0</v>
      </c>
      <c r="Y14" s="160">
        <f t="shared" si="7"/>
        <v>535.09</v>
      </c>
      <c r="Z14" s="164">
        <v>500</v>
      </c>
      <c r="AA14" s="160">
        <f t="shared" si="21"/>
        <v>1035.0900000000001</v>
      </c>
      <c r="AB14" s="160">
        <f t="shared" si="22"/>
        <v>5912.12</v>
      </c>
      <c r="AC14" s="92"/>
    </row>
    <row r="15" spans="1:29" s="93" customFormat="1" ht="96" customHeight="1" x14ac:dyDescent="0.3">
      <c r="A15" s="109"/>
      <c r="B15" s="153" t="s">
        <v>459</v>
      </c>
      <c r="C15" s="153" t="s">
        <v>124</v>
      </c>
      <c r="D15" s="201" t="s">
        <v>462</v>
      </c>
      <c r="E15" s="202" t="s">
        <v>460</v>
      </c>
      <c r="F15" s="202" t="s">
        <v>461</v>
      </c>
      <c r="G15" s="237">
        <v>44942</v>
      </c>
      <c r="H15" s="154" t="s">
        <v>145</v>
      </c>
      <c r="I15" s="156"/>
      <c r="J15" s="157"/>
      <c r="K15" s="158">
        <v>5210.41</v>
      </c>
      <c r="L15" s="159">
        <v>1736.8</v>
      </c>
      <c r="M15" s="160">
        <f t="shared" si="20"/>
        <v>6947.21</v>
      </c>
      <c r="N15" s="161">
        <f>IF(K15/15&lt;=SMG,0,L15/2)</f>
        <v>868.4</v>
      </c>
      <c r="O15" s="161">
        <f t="shared" ref="O15:O16" si="35">K15+N15</f>
        <v>6078.8099999999995</v>
      </c>
      <c r="P15" s="161">
        <f t="shared" si="3"/>
        <v>5490.76</v>
      </c>
      <c r="Q15" s="161">
        <f t="shared" ref="Q15:Q16" si="36">O15-P15</f>
        <v>588.04999999999927</v>
      </c>
      <c r="R15" s="162">
        <f t="shared" si="4"/>
        <v>0.16</v>
      </c>
      <c r="S15" s="161">
        <f t="shared" ref="S15:S16" si="37">Q15*R15</f>
        <v>94.08799999999988</v>
      </c>
      <c r="T15" s="163">
        <f t="shared" si="5"/>
        <v>441</v>
      </c>
      <c r="U15" s="161">
        <f t="shared" ref="U15:U16" si="38">S15+T15</f>
        <v>535.08799999999985</v>
      </c>
      <c r="V15" s="161">
        <f t="shared" si="6"/>
        <v>0</v>
      </c>
      <c r="W15" s="161">
        <f t="shared" ref="W15:W16" si="39">ROUND(U15-V15,2)</f>
        <v>535.09</v>
      </c>
      <c r="X15" s="160">
        <f t="shared" ref="X15:X16" si="40">-IF(W15&gt;0,0,W15)</f>
        <v>0</v>
      </c>
      <c r="Y15" s="160">
        <f t="shared" si="7"/>
        <v>535.09</v>
      </c>
      <c r="Z15" s="164">
        <v>1000</v>
      </c>
      <c r="AA15" s="160">
        <f t="shared" si="21"/>
        <v>1535.0900000000001</v>
      </c>
      <c r="AB15" s="160">
        <f t="shared" si="22"/>
        <v>5412.12</v>
      </c>
      <c r="AC15" s="92"/>
    </row>
    <row r="16" spans="1:29" s="93" customFormat="1" ht="96" customHeight="1" x14ac:dyDescent="0.3">
      <c r="A16" s="109"/>
      <c r="B16" s="153" t="s">
        <v>463</v>
      </c>
      <c r="C16" s="153" t="s">
        <v>124</v>
      </c>
      <c r="D16" s="201" t="s">
        <v>464</v>
      </c>
      <c r="E16" s="202" t="s">
        <v>465</v>
      </c>
      <c r="F16" s="202" t="s">
        <v>466</v>
      </c>
      <c r="G16" s="237">
        <v>44942</v>
      </c>
      <c r="H16" s="154" t="s">
        <v>145</v>
      </c>
      <c r="I16" s="156"/>
      <c r="J16" s="157"/>
      <c r="K16" s="158">
        <v>5210.41</v>
      </c>
      <c r="L16" s="159">
        <v>1736.8</v>
      </c>
      <c r="M16" s="160">
        <f t="shared" si="20"/>
        <v>6947.21</v>
      </c>
      <c r="N16" s="161">
        <f>IF(K16/15&lt;=SMG,0,L16/2)</f>
        <v>868.4</v>
      </c>
      <c r="O16" s="161">
        <f t="shared" si="35"/>
        <v>6078.8099999999995</v>
      </c>
      <c r="P16" s="161">
        <f t="shared" si="3"/>
        <v>5490.76</v>
      </c>
      <c r="Q16" s="161">
        <f t="shared" si="36"/>
        <v>588.04999999999927</v>
      </c>
      <c r="R16" s="162">
        <f t="shared" si="4"/>
        <v>0.16</v>
      </c>
      <c r="S16" s="161">
        <f t="shared" si="37"/>
        <v>94.08799999999988</v>
      </c>
      <c r="T16" s="163">
        <f t="shared" si="5"/>
        <v>441</v>
      </c>
      <c r="U16" s="161">
        <f t="shared" si="38"/>
        <v>535.08799999999985</v>
      </c>
      <c r="V16" s="161">
        <f t="shared" si="6"/>
        <v>0</v>
      </c>
      <c r="W16" s="161">
        <f t="shared" si="39"/>
        <v>535.09</v>
      </c>
      <c r="X16" s="160">
        <f t="shared" si="40"/>
        <v>0</v>
      </c>
      <c r="Y16" s="160">
        <f t="shared" si="7"/>
        <v>535.09</v>
      </c>
      <c r="Z16" s="164">
        <v>0</v>
      </c>
      <c r="AA16" s="160">
        <f t="shared" si="21"/>
        <v>535.09</v>
      </c>
      <c r="AB16" s="160">
        <f t="shared" si="22"/>
        <v>6412.12</v>
      </c>
      <c r="AC16" s="92"/>
    </row>
    <row r="17" spans="1:29" s="93" customFormat="1" ht="96" customHeight="1" x14ac:dyDescent="0.3">
      <c r="A17" s="109" t="s">
        <v>91</v>
      </c>
      <c r="B17" s="153" t="s">
        <v>149</v>
      </c>
      <c r="C17" s="153" t="s">
        <v>167</v>
      </c>
      <c r="D17" s="201" t="s">
        <v>144</v>
      </c>
      <c r="E17" s="202" t="s">
        <v>151</v>
      </c>
      <c r="F17" s="202" t="s">
        <v>339</v>
      </c>
      <c r="G17" s="237">
        <v>43101</v>
      </c>
      <c r="H17" s="155" t="s">
        <v>146</v>
      </c>
      <c r="I17" s="156">
        <v>15</v>
      </c>
      <c r="J17" s="157">
        <f>K17/I17</f>
        <v>308.26666666666665</v>
      </c>
      <c r="K17" s="158">
        <v>4624</v>
      </c>
      <c r="L17" s="159">
        <v>1541.35</v>
      </c>
      <c r="M17" s="160">
        <f t="shared" si="20"/>
        <v>6165.35</v>
      </c>
      <c r="N17" s="161">
        <f t="shared" ref="N17:N18" si="41">IF(K17/15&lt;=SMG,0,L17/2)</f>
        <v>770.67499999999995</v>
      </c>
      <c r="O17" s="161">
        <f t="shared" ref="O17:O18" si="42">K17+N17</f>
        <v>5394.6750000000002</v>
      </c>
      <c r="P17" s="161">
        <f t="shared" si="3"/>
        <v>3124.36</v>
      </c>
      <c r="Q17" s="161">
        <f t="shared" si="13"/>
        <v>2270.3150000000001</v>
      </c>
      <c r="R17" s="162">
        <f t="shared" si="4"/>
        <v>0.10879999999999999</v>
      </c>
      <c r="S17" s="161">
        <f t="shared" si="14"/>
        <v>247.01027199999999</v>
      </c>
      <c r="T17" s="163">
        <f t="shared" si="5"/>
        <v>183.45</v>
      </c>
      <c r="U17" s="161">
        <f t="shared" si="15"/>
        <v>430.46027199999997</v>
      </c>
      <c r="V17" s="161">
        <f t="shared" si="6"/>
        <v>0</v>
      </c>
      <c r="W17" s="161">
        <f t="shared" si="16"/>
        <v>430.46</v>
      </c>
      <c r="X17" s="160">
        <f t="shared" si="17"/>
        <v>0</v>
      </c>
      <c r="Y17" s="160">
        <f t="shared" si="7"/>
        <v>430.46</v>
      </c>
      <c r="Z17" s="164">
        <v>0</v>
      </c>
      <c r="AA17" s="160">
        <f t="shared" si="21"/>
        <v>430.46</v>
      </c>
      <c r="AB17" s="160">
        <f t="shared" si="22"/>
        <v>5734.89</v>
      </c>
      <c r="AC17" s="92"/>
    </row>
    <row r="18" spans="1:29" s="93" customFormat="1" ht="96" customHeight="1" x14ac:dyDescent="0.3">
      <c r="A18" s="200"/>
      <c r="B18" s="153" t="s">
        <v>150</v>
      </c>
      <c r="C18" s="153" t="s">
        <v>124</v>
      </c>
      <c r="D18" s="201" t="s">
        <v>143</v>
      </c>
      <c r="E18" s="202" t="s">
        <v>152</v>
      </c>
      <c r="F18" s="202" t="s">
        <v>340</v>
      </c>
      <c r="G18" s="237">
        <v>43101</v>
      </c>
      <c r="H18" s="155" t="s">
        <v>146</v>
      </c>
      <c r="I18" s="156">
        <v>15</v>
      </c>
      <c r="J18" s="157">
        <f>K18/I18</f>
        <v>308.26666666666665</v>
      </c>
      <c r="K18" s="158">
        <v>4624</v>
      </c>
      <c r="L18" s="159">
        <v>500</v>
      </c>
      <c r="M18" s="160">
        <f t="shared" si="20"/>
        <v>5124</v>
      </c>
      <c r="N18" s="161">
        <f t="shared" si="41"/>
        <v>250</v>
      </c>
      <c r="O18" s="161">
        <f t="shared" si="42"/>
        <v>4874</v>
      </c>
      <c r="P18" s="161">
        <f t="shared" si="3"/>
        <v>3124.36</v>
      </c>
      <c r="Q18" s="161">
        <f t="shared" si="13"/>
        <v>1749.6399999999999</v>
      </c>
      <c r="R18" s="162">
        <f t="shared" si="4"/>
        <v>0.10879999999999999</v>
      </c>
      <c r="S18" s="161">
        <f t="shared" si="14"/>
        <v>190.36083199999999</v>
      </c>
      <c r="T18" s="163">
        <f t="shared" si="5"/>
        <v>183.45</v>
      </c>
      <c r="U18" s="161">
        <f t="shared" si="15"/>
        <v>373.810832</v>
      </c>
      <c r="V18" s="161">
        <f t="shared" si="6"/>
        <v>0</v>
      </c>
      <c r="W18" s="161">
        <f t="shared" si="16"/>
        <v>373.81</v>
      </c>
      <c r="X18" s="160">
        <f t="shared" si="17"/>
        <v>0</v>
      </c>
      <c r="Y18" s="160">
        <f t="shared" si="7"/>
        <v>373.81</v>
      </c>
      <c r="Z18" s="164">
        <v>0</v>
      </c>
      <c r="AA18" s="160">
        <f t="shared" si="21"/>
        <v>373.81</v>
      </c>
      <c r="AB18" s="160">
        <f t="shared" si="22"/>
        <v>4750.1899999999996</v>
      </c>
      <c r="AC18" s="92"/>
    </row>
    <row r="19" spans="1:29" ht="40.5" customHeight="1" thickBot="1" x14ac:dyDescent="0.35">
      <c r="A19" s="302" t="s">
        <v>44</v>
      </c>
      <c r="B19" s="303"/>
      <c r="C19" s="303"/>
      <c r="D19" s="303"/>
      <c r="E19" s="303"/>
      <c r="F19" s="303"/>
      <c r="G19" s="303"/>
      <c r="H19" s="303"/>
      <c r="I19" s="303"/>
      <c r="J19" s="304"/>
      <c r="K19" s="167">
        <f>SUM(K10:K18)</f>
        <v>50614.55</v>
      </c>
      <c r="L19" s="167">
        <f>SUM(L10:L18)</f>
        <v>9188.5499999999993</v>
      </c>
      <c r="M19" s="167">
        <f t="shared" ref="M19:X19" si="43">SUM(M11:M18)</f>
        <v>50256.1</v>
      </c>
      <c r="N19" s="168">
        <f t="shared" si="43"/>
        <v>4594.2749999999996</v>
      </c>
      <c r="O19" s="168">
        <f t="shared" si="43"/>
        <v>45661.824999999997</v>
      </c>
      <c r="P19" s="168">
        <f t="shared" si="43"/>
        <v>36826.880000000005</v>
      </c>
      <c r="Q19" s="168">
        <f t="shared" si="43"/>
        <v>8834.9449999999961</v>
      </c>
      <c r="R19" s="168">
        <f t="shared" si="43"/>
        <v>1.1264000000000001</v>
      </c>
      <c r="S19" s="168">
        <f t="shared" si="43"/>
        <v>1100.9637439999995</v>
      </c>
      <c r="T19" s="168">
        <f t="shared" si="43"/>
        <v>2755.3499999999995</v>
      </c>
      <c r="U19" s="168">
        <f t="shared" si="43"/>
        <v>3856.3137439999991</v>
      </c>
      <c r="V19" s="168">
        <f t="shared" si="43"/>
        <v>0</v>
      </c>
      <c r="W19" s="168">
        <f t="shared" si="43"/>
        <v>3856.32</v>
      </c>
      <c r="X19" s="167">
        <f t="shared" si="43"/>
        <v>0</v>
      </c>
      <c r="Y19" s="167">
        <f>SUM(Y10:Y18)</f>
        <v>5072.5000000000009</v>
      </c>
      <c r="Z19" s="167">
        <f>SUM(Z10:Z18)</f>
        <v>1500</v>
      </c>
      <c r="AA19" s="167">
        <f>SUM(AA10:AA18)</f>
        <v>6572.5000000000009</v>
      </c>
      <c r="AB19" s="167">
        <f>SUM(AB10:AB18)</f>
        <v>53230.600000000006</v>
      </c>
    </row>
    <row r="20" spans="1:29" ht="18" thickTop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</sheetData>
  <mergeCells count="7">
    <mergeCell ref="A19:J19"/>
    <mergeCell ref="A1:AC1"/>
    <mergeCell ref="A2:AC2"/>
    <mergeCell ref="A3:AC3"/>
    <mergeCell ref="K6:M6"/>
    <mergeCell ref="P6:U6"/>
    <mergeCell ref="Y6:AA6"/>
  </mergeCells>
  <pageMargins left="0.27559055118110237" right="0.27559055118110237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2023-05-02T15:49:05Z</cp:lastPrinted>
  <dcterms:created xsi:type="dcterms:W3CDTF">2000-05-05T04:08:27Z</dcterms:created>
  <dcterms:modified xsi:type="dcterms:W3CDTF">2024-11-15T17:45:39Z</dcterms:modified>
</cp:coreProperties>
</file>