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"/>
    </mc:Choice>
  </mc:AlternateContent>
  <bookViews>
    <workbookView xWindow="0" yWindow="0" windowWidth="23040" windowHeight="9072" tabRatio="772" firstSheet="1" activeTab="1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SINDICO!$1:$24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20" l="1"/>
  <c r="O14" i="120" s="1"/>
  <c r="M14" i="120"/>
  <c r="N25" i="120"/>
  <c r="O25" i="120" s="1"/>
  <c r="M25" i="120"/>
  <c r="N18" i="119"/>
  <c r="O18" i="119" s="1"/>
  <c r="M18" i="119"/>
  <c r="J14" i="135"/>
  <c r="K14" i="135" s="1"/>
  <c r="I14" i="135"/>
  <c r="J12" i="135"/>
  <c r="K12" i="135" s="1"/>
  <c r="I12" i="135"/>
  <c r="T14" i="120" l="1"/>
  <c r="P14" i="120"/>
  <c r="Q14" i="120" s="1"/>
  <c r="V14" i="120"/>
  <c r="R14" i="120"/>
  <c r="V25" i="120"/>
  <c r="R25" i="120"/>
  <c r="T25" i="120"/>
  <c r="P25" i="120"/>
  <c r="Q25" i="120" s="1"/>
  <c r="V18" i="119"/>
  <c r="R18" i="119"/>
  <c r="T18" i="119"/>
  <c r="P18" i="119"/>
  <c r="Q18" i="119" s="1"/>
  <c r="N14" i="135"/>
  <c r="R14" i="135"/>
  <c r="P14" i="135"/>
  <c r="L14" i="135"/>
  <c r="M14" i="135" s="1"/>
  <c r="R12" i="135"/>
  <c r="N12" i="135"/>
  <c r="P12" i="135"/>
  <c r="L12" i="135"/>
  <c r="M12" i="135" s="1"/>
  <c r="N29" i="121"/>
  <c r="O29" i="121" s="1"/>
  <c r="M29" i="121"/>
  <c r="Z16" i="119"/>
  <c r="L16" i="119"/>
  <c r="K16" i="119"/>
  <c r="J21" i="135"/>
  <c r="K21" i="135" s="1"/>
  <c r="I21" i="135"/>
  <c r="S14" i="120" l="1"/>
  <c r="U14" i="120" s="1"/>
  <c r="W14" i="120" s="1"/>
  <c r="Y14" i="120"/>
  <c r="AA14" i="120" s="1"/>
  <c r="S25" i="120"/>
  <c r="U25" i="120" s="1"/>
  <c r="W25" i="120" s="1"/>
  <c r="Y25" i="120" s="1"/>
  <c r="AA25" i="120" s="1"/>
  <c r="O14" i="135"/>
  <c r="Q14" i="135" s="1"/>
  <c r="S14" i="135" s="1"/>
  <c r="T14" i="135" s="1"/>
  <c r="S18" i="119"/>
  <c r="U18" i="119" s="1"/>
  <c r="W18" i="119" s="1"/>
  <c r="X18" i="119" s="1"/>
  <c r="O12" i="135"/>
  <c r="Q12" i="135" s="1"/>
  <c r="S12" i="135" s="1"/>
  <c r="T29" i="121"/>
  <c r="P29" i="121"/>
  <c r="Q29" i="121" s="1"/>
  <c r="V29" i="121"/>
  <c r="R29" i="121"/>
  <c r="R21" i="135"/>
  <c r="N21" i="135"/>
  <c r="P21" i="135"/>
  <c r="L21" i="135"/>
  <c r="M21" i="135" s="1"/>
  <c r="U14" i="135" l="1"/>
  <c r="W14" i="135" s="1"/>
  <c r="AB14" i="120"/>
  <c r="X25" i="120"/>
  <c r="AB25" i="120" s="1"/>
  <c r="Y18" i="119"/>
  <c r="AA18" i="119" s="1"/>
  <c r="X14" i="135"/>
  <c r="O21" i="135"/>
  <c r="T12" i="135"/>
  <c r="U12" i="135"/>
  <c r="W12" i="135" s="1"/>
  <c r="S29" i="121"/>
  <c r="U29" i="121" s="1"/>
  <c r="W29" i="121" s="1"/>
  <c r="Y29" i="121" s="1"/>
  <c r="AA29" i="121" s="1"/>
  <c r="Q21" i="135"/>
  <c r="S21" i="135" s="1"/>
  <c r="U21" i="135" s="1"/>
  <c r="W21" i="135" s="1"/>
  <c r="AB18" i="119" l="1"/>
  <c r="X12" i="135"/>
  <c r="X29" i="121"/>
  <c r="AB29" i="121" s="1"/>
  <c r="T21" i="135"/>
  <c r="X21" i="135" s="1"/>
  <c r="N32" i="123" l="1"/>
  <c r="O32" i="123" s="1"/>
  <c r="M32" i="123"/>
  <c r="N16" i="133"/>
  <c r="O16" i="133" s="1"/>
  <c r="M16" i="133"/>
  <c r="N15" i="133"/>
  <c r="O15" i="133" s="1"/>
  <c r="M15" i="133"/>
  <c r="N14" i="133"/>
  <c r="O14" i="133" s="1"/>
  <c r="M14" i="133"/>
  <c r="N13" i="133"/>
  <c r="O13" i="133" s="1"/>
  <c r="M13" i="133"/>
  <c r="N12" i="133"/>
  <c r="O12" i="133" s="1"/>
  <c r="M12" i="133"/>
  <c r="Y15" i="121"/>
  <c r="AA15" i="121" s="1"/>
  <c r="N15" i="121"/>
  <c r="O15" i="121" s="1"/>
  <c r="M15" i="121"/>
  <c r="J20" i="135"/>
  <c r="K20" i="135" s="1"/>
  <c r="I20" i="135"/>
  <c r="N10" i="132"/>
  <c r="O10" i="132" s="1"/>
  <c r="M10" i="132"/>
  <c r="N10" i="118"/>
  <c r="O10" i="118" s="1"/>
  <c r="V10" i="118" s="1"/>
  <c r="M10" i="118"/>
  <c r="N10" i="119"/>
  <c r="O10" i="119" s="1"/>
  <c r="M10" i="119"/>
  <c r="M11" i="136"/>
  <c r="N11" i="136" s="1"/>
  <c r="L11" i="136"/>
  <c r="N15" i="123"/>
  <c r="O15" i="123" s="1"/>
  <c r="M15" i="123"/>
  <c r="P32" i="123" l="1"/>
  <c r="Q32" i="123" s="1"/>
  <c r="V32" i="123"/>
  <c r="R32" i="123"/>
  <c r="T32" i="123"/>
  <c r="V16" i="133"/>
  <c r="T16" i="133"/>
  <c r="P16" i="133"/>
  <c r="Q16" i="133" s="1"/>
  <c r="R16" i="133"/>
  <c r="T15" i="133"/>
  <c r="V15" i="133"/>
  <c r="R15" i="133"/>
  <c r="P15" i="133"/>
  <c r="Q15" i="133" s="1"/>
  <c r="V14" i="133"/>
  <c r="T14" i="133"/>
  <c r="P14" i="133"/>
  <c r="Q14" i="133" s="1"/>
  <c r="R14" i="133"/>
  <c r="R13" i="133"/>
  <c r="T13" i="133"/>
  <c r="P13" i="133"/>
  <c r="Q13" i="133" s="1"/>
  <c r="V13" i="133"/>
  <c r="V12" i="133"/>
  <c r="R12" i="133"/>
  <c r="T12" i="133"/>
  <c r="P12" i="133"/>
  <c r="Q12" i="133" s="1"/>
  <c r="V15" i="121"/>
  <c r="R15" i="121"/>
  <c r="T15" i="121"/>
  <c r="P15" i="121"/>
  <c r="Q15" i="121" s="1"/>
  <c r="R20" i="135"/>
  <c r="N20" i="135"/>
  <c r="P20" i="135"/>
  <c r="L20" i="135"/>
  <c r="M20" i="135" s="1"/>
  <c r="R10" i="132"/>
  <c r="V10" i="132"/>
  <c r="T10" i="132"/>
  <c r="P10" i="132"/>
  <c r="Q10" i="132" s="1"/>
  <c r="P10" i="118"/>
  <c r="Q10" i="118" s="1"/>
  <c r="T10" i="118"/>
  <c r="R10" i="118"/>
  <c r="V10" i="119"/>
  <c r="T10" i="119"/>
  <c r="P10" i="119"/>
  <c r="Q10" i="119" s="1"/>
  <c r="R10" i="119"/>
  <c r="U11" i="136"/>
  <c r="Q11" i="136"/>
  <c r="S11" i="136"/>
  <c r="O11" i="136"/>
  <c r="P11" i="136" s="1"/>
  <c r="R11" i="136" s="1"/>
  <c r="T11" i="136" s="1"/>
  <c r="V11" i="136" s="1"/>
  <c r="V15" i="123"/>
  <c r="R15" i="123"/>
  <c r="T15" i="123"/>
  <c r="P15" i="123"/>
  <c r="Q15" i="123" s="1"/>
  <c r="S10" i="119" l="1"/>
  <c r="S15" i="133"/>
  <c r="U15" i="133" s="1"/>
  <c r="W15" i="133" s="1"/>
  <c r="Y15" i="133" s="1"/>
  <c r="AA15" i="133" s="1"/>
  <c r="S16" i="133"/>
  <c r="U16" i="133" s="1"/>
  <c r="W16" i="133" s="1"/>
  <c r="Y16" i="133" s="1"/>
  <c r="AA16" i="133" s="1"/>
  <c r="O20" i="135"/>
  <c r="Q20" i="135" s="1"/>
  <c r="S20" i="135" s="1"/>
  <c r="U10" i="119"/>
  <c r="W10" i="119" s="1"/>
  <c r="Y10" i="119" s="1"/>
  <c r="AA10" i="119" s="1"/>
  <c r="S32" i="123"/>
  <c r="U32" i="123" s="1"/>
  <c r="W32" i="123" s="1"/>
  <c r="Y32" i="123" s="1"/>
  <c r="S15" i="123"/>
  <c r="U15" i="123" s="1"/>
  <c r="W15" i="123" s="1"/>
  <c r="S14" i="133"/>
  <c r="U14" i="133" s="1"/>
  <c r="W14" i="133" s="1"/>
  <c r="S15" i="121"/>
  <c r="U15" i="121" s="1"/>
  <c r="W15" i="121" s="1"/>
  <c r="X15" i="121" s="1"/>
  <c r="AB15" i="121" s="1"/>
  <c r="S13" i="133"/>
  <c r="U13" i="133" s="1"/>
  <c r="W13" i="133" s="1"/>
  <c r="S12" i="133"/>
  <c r="U12" i="133" s="1"/>
  <c r="W12" i="133" s="1"/>
  <c r="Y12" i="133" s="1"/>
  <c r="AA12" i="133" s="1"/>
  <c r="S10" i="132"/>
  <c r="U10" i="132" s="1"/>
  <c r="W10" i="132" s="1"/>
  <c r="Y10" i="132" s="1"/>
  <c r="AA10" i="132" s="1"/>
  <c r="S10" i="118"/>
  <c r="U10" i="118" s="1"/>
  <c r="W10" i="118" s="1"/>
  <c r="X11" i="136"/>
  <c r="Z11" i="136" s="1"/>
  <c r="W11" i="136"/>
  <c r="X15" i="133" l="1"/>
  <c r="AB15" i="133" s="1"/>
  <c r="X16" i="133"/>
  <c r="AB16" i="133" s="1"/>
  <c r="X10" i="119"/>
  <c r="AB10" i="119" s="1"/>
  <c r="X32" i="123"/>
  <c r="AA32" i="123"/>
  <c r="AA11" i="136"/>
  <c r="X14" i="133"/>
  <c r="Y14" i="133"/>
  <c r="AA14" i="133" s="1"/>
  <c r="Y13" i="133"/>
  <c r="AA13" i="133" s="1"/>
  <c r="X13" i="133"/>
  <c r="X12" i="133"/>
  <c r="AB12" i="133" s="1"/>
  <c r="U20" i="135"/>
  <c r="W20" i="135" s="1"/>
  <c r="T20" i="135"/>
  <c r="X10" i="132"/>
  <c r="AB10" i="132" s="1"/>
  <c r="Y10" i="118"/>
  <c r="AA10" i="118" s="1"/>
  <c r="X10" i="118"/>
  <c r="Y15" i="123"/>
  <c r="AA15" i="123" s="1"/>
  <c r="X15" i="123"/>
  <c r="AB32" i="123" l="1"/>
  <c r="AB13" i="133"/>
  <c r="AB14" i="133"/>
  <c r="AB10" i="118"/>
  <c r="X20" i="135"/>
  <c r="AB15" i="123"/>
  <c r="N12" i="123"/>
  <c r="O12" i="123" s="1"/>
  <c r="M12" i="123"/>
  <c r="N34" i="123"/>
  <c r="O34" i="123" s="1"/>
  <c r="M34" i="123"/>
  <c r="N12" i="134"/>
  <c r="O12" i="134" s="1"/>
  <c r="M12" i="134"/>
  <c r="N9" i="120"/>
  <c r="O9" i="120" s="1"/>
  <c r="M9" i="120"/>
  <c r="N10" i="134"/>
  <c r="O10" i="134" s="1"/>
  <c r="M10" i="134"/>
  <c r="N17" i="119"/>
  <c r="O17" i="119" s="1"/>
  <c r="M17" i="119"/>
  <c r="M16" i="119" s="1"/>
  <c r="N15" i="119"/>
  <c r="O15" i="119" s="1"/>
  <c r="M15" i="119"/>
  <c r="Y14" i="121"/>
  <c r="Y20" i="119"/>
  <c r="V12" i="123" l="1"/>
  <c r="R12" i="123"/>
  <c r="T12" i="123"/>
  <c r="P12" i="123"/>
  <c r="Q12" i="123" s="1"/>
  <c r="T34" i="123"/>
  <c r="P34" i="123"/>
  <c r="Q34" i="123" s="1"/>
  <c r="V34" i="123"/>
  <c r="R34" i="123"/>
  <c r="V12" i="134"/>
  <c r="R12" i="134"/>
  <c r="T12" i="134"/>
  <c r="P12" i="134"/>
  <c r="Q12" i="134" s="1"/>
  <c r="V9" i="120"/>
  <c r="R9" i="120"/>
  <c r="T9" i="120"/>
  <c r="P9" i="120"/>
  <c r="Q9" i="120" s="1"/>
  <c r="V10" i="134"/>
  <c r="R10" i="134"/>
  <c r="T10" i="134"/>
  <c r="P10" i="134"/>
  <c r="Q10" i="134" s="1"/>
  <c r="S10" i="134" s="1"/>
  <c r="V17" i="119"/>
  <c r="R17" i="119"/>
  <c r="T17" i="119"/>
  <c r="P17" i="119"/>
  <c r="Q17" i="119" s="1"/>
  <c r="V15" i="119"/>
  <c r="R15" i="119"/>
  <c r="T15" i="119"/>
  <c r="P15" i="119"/>
  <c r="Q15" i="119" s="1"/>
  <c r="N24" i="120"/>
  <c r="O24" i="120" s="1"/>
  <c r="M24" i="120"/>
  <c r="Z13" i="134"/>
  <c r="L13" i="134"/>
  <c r="K13" i="134"/>
  <c r="N14" i="134"/>
  <c r="O14" i="134" s="1"/>
  <c r="M14" i="134"/>
  <c r="M13" i="134" s="1"/>
  <c r="J14" i="134"/>
  <c r="S15" i="119" l="1"/>
  <c r="U15" i="119" s="1"/>
  <c r="W15" i="119" s="1"/>
  <c r="S9" i="120"/>
  <c r="U9" i="120" s="1"/>
  <c r="W9" i="120" s="1"/>
  <c r="X9" i="120" s="1"/>
  <c r="S12" i="123"/>
  <c r="U12" i="123" s="1"/>
  <c r="W12" i="123" s="1"/>
  <c r="Y12" i="123" s="1"/>
  <c r="AA12" i="123" s="1"/>
  <c r="S34" i="123"/>
  <c r="U34" i="123" s="1"/>
  <c r="W34" i="123" s="1"/>
  <c r="Y34" i="123" s="1"/>
  <c r="AA34" i="123" s="1"/>
  <c r="S12" i="134"/>
  <c r="U12" i="134" s="1"/>
  <c r="W12" i="134" s="1"/>
  <c r="Y12" i="134" s="1"/>
  <c r="AA12" i="134" s="1"/>
  <c r="U10" i="134"/>
  <c r="W10" i="134" s="1"/>
  <c r="S17" i="119"/>
  <c r="U17" i="119" s="1"/>
  <c r="W17" i="119" s="1"/>
  <c r="Y17" i="119" s="1"/>
  <c r="Y15" i="119"/>
  <c r="AA15" i="119" s="1"/>
  <c r="X15" i="119"/>
  <c r="T14" i="134"/>
  <c r="P14" i="134"/>
  <c r="Q14" i="134" s="1"/>
  <c r="R14" i="134"/>
  <c r="V14" i="134"/>
  <c r="P24" i="120"/>
  <c r="Q24" i="120" s="1"/>
  <c r="V24" i="120"/>
  <c r="T24" i="120"/>
  <c r="R24" i="120"/>
  <c r="N13" i="123"/>
  <c r="O13" i="123" s="1"/>
  <c r="M13" i="123"/>
  <c r="N21" i="120"/>
  <c r="O21" i="120" s="1"/>
  <c r="M21" i="120"/>
  <c r="N13" i="120"/>
  <c r="O13" i="120" s="1"/>
  <c r="M13" i="120"/>
  <c r="N11" i="120"/>
  <c r="O11" i="120" s="1"/>
  <c r="M11" i="120"/>
  <c r="S14" i="134" l="1"/>
  <c r="U14" i="134" s="1"/>
  <c r="AA17" i="119"/>
  <c r="AA16" i="119" s="1"/>
  <c r="Y16" i="119"/>
  <c r="X34" i="123"/>
  <c r="AB34" i="123" s="1"/>
  <c r="Y9" i="120"/>
  <c r="AA9" i="120" s="1"/>
  <c r="AB9" i="120" s="1"/>
  <c r="X12" i="123"/>
  <c r="AB12" i="123" s="1"/>
  <c r="X12" i="134"/>
  <c r="AB12" i="134" s="1"/>
  <c r="Y10" i="134"/>
  <c r="AA10" i="134" s="1"/>
  <c r="X10" i="134"/>
  <c r="X17" i="119"/>
  <c r="AB15" i="119"/>
  <c r="T11" i="120"/>
  <c r="R11" i="120"/>
  <c r="P11" i="120"/>
  <c r="Q11" i="120" s="1"/>
  <c r="V11" i="120"/>
  <c r="V21" i="120"/>
  <c r="P21" i="120"/>
  <c r="Q21" i="120" s="1"/>
  <c r="T21" i="120"/>
  <c r="R21" i="120"/>
  <c r="W14" i="134"/>
  <c r="V13" i="120"/>
  <c r="T13" i="120"/>
  <c r="R13" i="120"/>
  <c r="P13" i="120"/>
  <c r="Q13" i="120" s="1"/>
  <c r="P13" i="123"/>
  <c r="Q13" i="123" s="1"/>
  <c r="T13" i="123"/>
  <c r="R13" i="123"/>
  <c r="V13" i="123"/>
  <c r="S24" i="120"/>
  <c r="U24" i="120" s="1"/>
  <c r="W24" i="120" s="1"/>
  <c r="AB17" i="119" l="1"/>
  <c r="AB16" i="119" s="1"/>
  <c r="X16" i="119"/>
  <c r="S11" i="120"/>
  <c r="U11" i="120" s="1"/>
  <c r="W11" i="120" s="1"/>
  <c r="X11" i="120" s="1"/>
  <c r="S13" i="120"/>
  <c r="U13" i="120" s="1"/>
  <c r="W13" i="120" s="1"/>
  <c r="AB10" i="134"/>
  <c r="X24" i="120"/>
  <c r="Y24" i="120"/>
  <c r="AA24" i="120" s="1"/>
  <c r="S13" i="123"/>
  <c r="U13" i="123" s="1"/>
  <c r="W13" i="123" s="1"/>
  <c r="S21" i="120"/>
  <c r="U21" i="120" s="1"/>
  <c r="W21" i="120" s="1"/>
  <c r="X14" i="134"/>
  <c r="Y14" i="134"/>
  <c r="X13" i="134"/>
  <c r="Y11" i="120" l="1"/>
  <c r="AA11" i="120" s="1"/>
  <c r="AB11" i="120" s="1"/>
  <c r="AB24" i="120"/>
  <c r="X13" i="120"/>
  <c r="Y13" i="120"/>
  <c r="AA13" i="120" s="1"/>
  <c r="Y13" i="123"/>
  <c r="AA13" i="123" s="1"/>
  <c r="X13" i="123"/>
  <c r="AA14" i="134"/>
  <c r="Y13" i="134"/>
  <c r="Y21" i="120"/>
  <c r="AA21" i="120" s="1"/>
  <c r="X21" i="120"/>
  <c r="AB13" i="120" l="1"/>
  <c r="AB21" i="120"/>
  <c r="AB13" i="123"/>
  <c r="AA13" i="134"/>
  <c r="AB14" i="134"/>
  <c r="AB13" i="134" s="1"/>
  <c r="N12" i="121"/>
  <c r="O12" i="121" s="1"/>
  <c r="M12" i="121"/>
  <c r="N17" i="121"/>
  <c r="O17" i="121" s="1"/>
  <c r="M17" i="121"/>
  <c r="P12" i="121" l="1"/>
  <c r="Q12" i="121" s="1"/>
  <c r="T12" i="121"/>
  <c r="V12" i="121"/>
  <c r="R12" i="121"/>
  <c r="P17" i="121"/>
  <c r="Q17" i="121" s="1"/>
  <c r="T17" i="121"/>
  <c r="R17" i="121"/>
  <c r="V17" i="121"/>
  <c r="N10" i="133"/>
  <c r="O10" i="133" s="1"/>
  <c r="M10" i="133"/>
  <c r="Z19" i="133"/>
  <c r="L19" i="133"/>
  <c r="K19" i="133"/>
  <c r="J22" i="135"/>
  <c r="K22" i="135" s="1"/>
  <c r="I22" i="135"/>
  <c r="N23" i="120"/>
  <c r="O23" i="120" s="1"/>
  <c r="M23" i="120"/>
  <c r="N13" i="132"/>
  <c r="O13" i="132" s="1"/>
  <c r="M13" i="132"/>
  <c r="T23" i="120" l="1"/>
  <c r="R23" i="120"/>
  <c r="V23" i="120"/>
  <c r="P23" i="120"/>
  <c r="Q23" i="120" s="1"/>
  <c r="P13" i="132"/>
  <c r="Q13" i="132" s="1"/>
  <c r="V13" i="132"/>
  <c r="R13" i="132"/>
  <c r="T13" i="132"/>
  <c r="N22" i="135"/>
  <c r="P22" i="135"/>
  <c r="L22" i="135"/>
  <c r="M22" i="135" s="1"/>
  <c r="R22" i="135"/>
  <c r="P10" i="133"/>
  <c r="Q10" i="133" s="1"/>
  <c r="V10" i="133"/>
  <c r="T10" i="133"/>
  <c r="R10" i="133"/>
  <c r="S17" i="121"/>
  <c r="U17" i="121" s="1"/>
  <c r="W17" i="121" s="1"/>
  <c r="S12" i="121"/>
  <c r="U12" i="121" s="1"/>
  <c r="W12" i="121" s="1"/>
  <c r="O22" i="135" l="1"/>
  <c r="Q22" i="135" s="1"/>
  <c r="S22" i="135" s="1"/>
  <c r="T22" i="135" s="1"/>
  <c r="S23" i="120"/>
  <c r="U23" i="120" s="1"/>
  <c r="W23" i="120" s="1"/>
  <c r="S10" i="133"/>
  <c r="U10" i="133" s="1"/>
  <c r="W10" i="133" s="1"/>
  <c r="X17" i="121"/>
  <c r="Y17" i="121"/>
  <c r="AA17" i="121" s="1"/>
  <c r="S13" i="132"/>
  <c r="U13" i="132" s="1"/>
  <c r="W13" i="132" s="1"/>
  <c r="Y12" i="121"/>
  <c r="AA12" i="121" s="1"/>
  <c r="X12" i="121"/>
  <c r="U22" i="135" l="1"/>
  <c r="W22" i="135" s="1"/>
  <c r="X22" i="135" s="1"/>
  <c r="AB12" i="121"/>
  <c r="AB17" i="121"/>
  <c r="X23" i="120"/>
  <c r="Y23" i="120"/>
  <c r="AA23" i="120" s="1"/>
  <c r="Y10" i="133"/>
  <c r="AA10" i="133" s="1"/>
  <c r="X10" i="133"/>
  <c r="X13" i="132"/>
  <c r="Y13" i="132"/>
  <c r="AA13" i="132" s="1"/>
  <c r="AB23" i="120" l="1"/>
  <c r="AB13" i="132"/>
  <c r="AB10" i="133"/>
  <c r="N38" i="123"/>
  <c r="O38" i="123" s="1"/>
  <c r="M38" i="123"/>
  <c r="N16" i="121"/>
  <c r="O16" i="121" s="1"/>
  <c r="M16" i="121"/>
  <c r="T38" i="123" l="1"/>
  <c r="R38" i="123"/>
  <c r="V38" i="123"/>
  <c r="P38" i="123"/>
  <c r="Q38" i="123" s="1"/>
  <c r="P16" i="121"/>
  <c r="Q16" i="121" s="1"/>
  <c r="V16" i="121"/>
  <c r="R16" i="121"/>
  <c r="T16" i="121"/>
  <c r="S38" i="123" l="1"/>
  <c r="U38" i="123" s="1"/>
  <c r="W38" i="123" s="1"/>
  <c r="Y38" i="123" s="1"/>
  <c r="AA38" i="123" s="1"/>
  <c r="S16" i="121"/>
  <c r="U16" i="121" s="1"/>
  <c r="W16" i="121" s="1"/>
  <c r="X38" i="123" l="1"/>
  <c r="AB38" i="123" s="1"/>
  <c r="Y16" i="121"/>
  <c r="AA16" i="121" s="1"/>
  <c r="X16" i="121"/>
  <c r="N10" i="123"/>
  <c r="O10" i="123" s="1"/>
  <c r="M10" i="123"/>
  <c r="N36" i="123"/>
  <c r="O36" i="123" s="1"/>
  <c r="M36" i="123"/>
  <c r="K35" i="123"/>
  <c r="V10" i="123" l="1"/>
  <c r="R10" i="123"/>
  <c r="T10" i="123"/>
  <c r="P10" i="123"/>
  <c r="Q10" i="123" s="1"/>
  <c r="S10" i="123" s="1"/>
  <c r="U10" i="123" s="1"/>
  <c r="AB16" i="121"/>
  <c r="V36" i="123"/>
  <c r="T36" i="123"/>
  <c r="P36" i="123"/>
  <c r="Q36" i="123" s="1"/>
  <c r="S36" i="123" s="1"/>
  <c r="U36" i="123" s="1"/>
  <c r="W36" i="123" s="1"/>
  <c r="R36" i="123"/>
  <c r="L35" i="123"/>
  <c r="M35" i="123"/>
  <c r="W10" i="123" l="1"/>
  <c r="X10" i="123"/>
  <c r="Y10" i="123"/>
  <c r="AA10" i="123" s="1"/>
  <c r="X36" i="123"/>
  <c r="Y36" i="123"/>
  <c r="Y35" i="123" l="1"/>
  <c r="AB10" i="123"/>
  <c r="X35" i="123"/>
  <c r="Z35" i="123"/>
  <c r="AA36" i="123" l="1"/>
  <c r="AB36" i="123" s="1"/>
  <c r="AB35" i="123" s="1"/>
  <c r="AA35" i="123" l="1"/>
  <c r="J13" i="135"/>
  <c r="K13" i="135" s="1"/>
  <c r="I13" i="135"/>
  <c r="J11" i="135"/>
  <c r="K11" i="135" s="1"/>
  <c r="I11" i="135"/>
  <c r="N26" i="120"/>
  <c r="O26" i="120" s="1"/>
  <c r="M26" i="120"/>
  <c r="P13" i="135" l="1"/>
  <c r="L13" i="135"/>
  <c r="M13" i="135" s="1"/>
  <c r="R13" i="135"/>
  <c r="N13" i="135"/>
  <c r="V26" i="120"/>
  <c r="T26" i="120"/>
  <c r="P26" i="120"/>
  <c r="Q26" i="120" s="1"/>
  <c r="R26" i="120"/>
  <c r="R11" i="135"/>
  <c r="L11" i="135"/>
  <c r="M11" i="135" s="1"/>
  <c r="N11" i="135"/>
  <c r="P11" i="135"/>
  <c r="N11" i="132"/>
  <c r="O11" i="132" s="1"/>
  <c r="M11" i="132"/>
  <c r="G23" i="135"/>
  <c r="H23" i="135"/>
  <c r="J19" i="135"/>
  <c r="K19" i="135" s="1"/>
  <c r="I19" i="135"/>
  <c r="N12" i="120"/>
  <c r="O12" i="120" s="1"/>
  <c r="M12" i="120"/>
  <c r="N10" i="120"/>
  <c r="O10" i="120" s="1"/>
  <c r="M10" i="120"/>
  <c r="J10" i="120"/>
  <c r="N20" i="119"/>
  <c r="O20" i="119" s="1"/>
  <c r="M20" i="119"/>
  <c r="O13" i="135" l="1"/>
  <c r="Q13" i="135" s="1"/>
  <c r="S13" i="135" s="1"/>
  <c r="S26" i="120"/>
  <c r="U26" i="120" s="1"/>
  <c r="W26" i="120" s="1"/>
  <c r="X26" i="120" s="1"/>
  <c r="U13" i="135"/>
  <c r="T13" i="135"/>
  <c r="O11" i="135"/>
  <c r="Q11" i="135" s="1"/>
  <c r="S11" i="135" s="1"/>
  <c r="N19" i="135"/>
  <c r="P19" i="135"/>
  <c r="R19" i="135"/>
  <c r="L19" i="135"/>
  <c r="M19" i="135" s="1"/>
  <c r="V20" i="119"/>
  <c r="P20" i="119"/>
  <c r="Q20" i="119" s="1"/>
  <c r="R20" i="119"/>
  <c r="T20" i="119"/>
  <c r="P12" i="120"/>
  <c r="Q12" i="120" s="1"/>
  <c r="T12" i="120"/>
  <c r="R12" i="120"/>
  <c r="V12" i="120"/>
  <c r="T11" i="132"/>
  <c r="V11" i="132"/>
  <c r="P11" i="132"/>
  <c r="Q11" i="132" s="1"/>
  <c r="R11" i="132"/>
  <c r="T10" i="120"/>
  <c r="P10" i="120"/>
  <c r="Q10" i="120" s="1"/>
  <c r="R10" i="120"/>
  <c r="V10" i="120"/>
  <c r="J18" i="135"/>
  <c r="K18" i="135" s="1"/>
  <c r="I18" i="135"/>
  <c r="S20" i="119" l="1"/>
  <c r="U20" i="119"/>
  <c r="W20" i="119" s="1"/>
  <c r="Y26" i="120"/>
  <c r="AA26" i="120" s="1"/>
  <c r="S11" i="132"/>
  <c r="U11" i="132" s="1"/>
  <c r="W11" i="132" s="1"/>
  <c r="O19" i="135"/>
  <c r="S10" i="120"/>
  <c r="U10" i="120" s="1"/>
  <c r="W10" i="120" s="1"/>
  <c r="X10" i="120" s="1"/>
  <c r="N18" i="135"/>
  <c r="P18" i="135"/>
  <c r="R18" i="135"/>
  <c r="L18" i="135"/>
  <c r="M18" i="135" s="1"/>
  <c r="S12" i="120"/>
  <c r="U12" i="120" s="1"/>
  <c r="W12" i="120" s="1"/>
  <c r="Q19" i="135"/>
  <c r="S19" i="135" s="1"/>
  <c r="T11" i="135"/>
  <c r="U11" i="135"/>
  <c r="W11" i="135" s="1"/>
  <c r="W13" i="135"/>
  <c r="X13" i="135" s="1"/>
  <c r="AA20" i="119"/>
  <c r="Y10" i="120" l="1"/>
  <c r="AA10" i="120" s="1"/>
  <c r="AB10" i="120" s="1"/>
  <c r="X11" i="132"/>
  <c r="Y11" i="132"/>
  <c r="AA11" i="132" s="1"/>
  <c r="O18" i="135"/>
  <c r="Q18" i="135" s="1"/>
  <c r="S18" i="135" s="1"/>
  <c r="T19" i="135"/>
  <c r="U19" i="135"/>
  <c r="W19" i="135" s="1"/>
  <c r="Y12" i="120"/>
  <c r="AA12" i="120" s="1"/>
  <c r="X12" i="120"/>
  <c r="X11" i="135"/>
  <c r="AB26" i="120"/>
  <c r="X20" i="119"/>
  <c r="AB11" i="132" l="1"/>
  <c r="X19" i="135"/>
  <c r="T18" i="135"/>
  <c r="U18" i="135"/>
  <c r="W18" i="135" s="1"/>
  <c r="AB12" i="120"/>
  <c r="X18" i="135" l="1"/>
  <c r="J10" i="134"/>
  <c r="Z9" i="134"/>
  <c r="L9" i="134"/>
  <c r="K9" i="134"/>
  <c r="M9" i="134" l="1"/>
  <c r="X9" i="134" l="1"/>
  <c r="AA9" i="134"/>
  <c r="Y9" i="134"/>
  <c r="AB9" i="134" l="1"/>
  <c r="N20" i="121" l="1"/>
  <c r="O20" i="121" s="1"/>
  <c r="M20" i="121"/>
  <c r="N17" i="123"/>
  <c r="O17" i="123" s="1"/>
  <c r="M17" i="123"/>
  <c r="N9" i="123"/>
  <c r="O9" i="123" s="1"/>
  <c r="M9" i="123"/>
  <c r="N12" i="132"/>
  <c r="O12" i="132" s="1"/>
  <c r="M12" i="132"/>
  <c r="Z11" i="134"/>
  <c r="Z15" i="134" s="1"/>
  <c r="L11" i="134"/>
  <c r="L15" i="134" s="1"/>
  <c r="K11" i="134"/>
  <c r="K15" i="134" s="1"/>
  <c r="J12" i="134"/>
  <c r="V17" i="123" l="1"/>
  <c r="T17" i="123"/>
  <c r="R17" i="123"/>
  <c r="P17" i="123"/>
  <c r="Q17" i="123" s="1"/>
  <c r="T12" i="132"/>
  <c r="R12" i="132"/>
  <c r="V12" i="132"/>
  <c r="P12" i="132"/>
  <c r="Q12" i="132" s="1"/>
  <c r="T9" i="123"/>
  <c r="R9" i="123"/>
  <c r="P9" i="123"/>
  <c r="Q9" i="123" s="1"/>
  <c r="V9" i="123"/>
  <c r="T20" i="121"/>
  <c r="V20" i="121"/>
  <c r="R20" i="121"/>
  <c r="P20" i="121"/>
  <c r="Q20" i="121" s="1"/>
  <c r="M11" i="134"/>
  <c r="M15" i="134" s="1"/>
  <c r="S9" i="123" l="1"/>
  <c r="U9" i="123"/>
  <c r="S20" i="121"/>
  <c r="U20" i="121" s="1"/>
  <c r="W20" i="121" s="1"/>
  <c r="X20" i="121" s="1"/>
  <c r="S17" i="123"/>
  <c r="U17" i="123" s="1"/>
  <c r="W17" i="123" s="1"/>
  <c r="Y17" i="123" s="1"/>
  <c r="AA17" i="123" s="1"/>
  <c r="S12" i="132"/>
  <c r="U12" i="132" s="1"/>
  <c r="W12" i="132" s="1"/>
  <c r="X12" i="132" s="1"/>
  <c r="W9" i="123"/>
  <c r="Y20" i="121" l="1"/>
  <c r="AA20" i="121" s="1"/>
  <c r="AB20" i="121" s="1"/>
  <c r="X17" i="123"/>
  <c r="AB17" i="123" s="1"/>
  <c r="Y12" i="132"/>
  <c r="AA12" i="132" s="1"/>
  <c r="AB12" i="132" s="1"/>
  <c r="X9" i="123"/>
  <c r="Y9" i="123"/>
  <c r="AA9" i="123" s="1"/>
  <c r="Y11" i="134"/>
  <c r="Y15" i="134" s="1"/>
  <c r="AB9" i="123" l="1"/>
  <c r="X11" i="134"/>
  <c r="X15" i="134" s="1"/>
  <c r="AA11" i="134"/>
  <c r="AA15" i="134" s="1"/>
  <c r="AB11" i="134" l="1"/>
  <c r="AB15" i="134" s="1"/>
  <c r="N11" i="133" l="1"/>
  <c r="O11" i="133" s="1"/>
  <c r="M11" i="133"/>
  <c r="P11" i="133" l="1"/>
  <c r="Q11" i="133" s="1"/>
  <c r="R11" i="133"/>
  <c r="T11" i="133"/>
  <c r="V11" i="133"/>
  <c r="S11" i="133" l="1"/>
  <c r="U11" i="133" s="1"/>
  <c r="W11" i="133" s="1"/>
  <c r="Y11" i="133" l="1"/>
  <c r="AA11" i="133" s="1"/>
  <c r="X11" i="133"/>
  <c r="N14" i="121"/>
  <c r="O14" i="121" s="1"/>
  <c r="M14" i="121"/>
  <c r="AB11" i="133" l="1"/>
  <c r="T14" i="121"/>
  <c r="P14" i="121"/>
  <c r="Q14" i="121" s="1"/>
  <c r="R14" i="121"/>
  <c r="V14" i="121"/>
  <c r="AA14" i="121"/>
  <c r="S14" i="121" l="1"/>
  <c r="U14" i="121" s="1"/>
  <c r="W14" i="121" s="1"/>
  <c r="X14" i="121" s="1"/>
  <c r="AB14" i="121" s="1"/>
  <c r="N19" i="121" l="1"/>
  <c r="O19" i="121" s="1"/>
  <c r="M19" i="121"/>
  <c r="R19" i="121" l="1"/>
  <c r="P19" i="121"/>
  <c r="Q19" i="121" s="1"/>
  <c r="T19" i="121"/>
  <c r="V19" i="121"/>
  <c r="Z8" i="123"/>
  <c r="L8" i="123"/>
  <c r="K8" i="123"/>
  <c r="M8" i="123"/>
  <c r="S19" i="121" l="1"/>
  <c r="U19" i="121" s="1"/>
  <c r="W19" i="121" s="1"/>
  <c r="X19" i="121" l="1"/>
  <c r="Y19" i="121"/>
  <c r="AA19" i="121" s="1"/>
  <c r="AB19" i="121" s="1"/>
  <c r="X8" i="123" l="1"/>
  <c r="AA8" i="123"/>
  <c r="Y8" i="123"/>
  <c r="AB8" i="123" l="1"/>
  <c r="J17" i="135" l="1"/>
  <c r="K17" i="135" s="1"/>
  <c r="I17" i="135"/>
  <c r="N17" i="135" l="1"/>
  <c r="P17" i="135"/>
  <c r="L17" i="135"/>
  <c r="M17" i="135" s="1"/>
  <c r="R17" i="135"/>
  <c r="O17" i="135" l="1"/>
  <c r="Q17" i="135" s="1"/>
  <c r="S17" i="135" s="1"/>
  <c r="U17" i="135" s="1"/>
  <c r="W17" i="135" s="1"/>
  <c r="T17" i="135" l="1"/>
  <c r="X17" i="135" s="1"/>
  <c r="Y13" i="136"/>
  <c r="K13" i="136"/>
  <c r="J13" i="136"/>
  <c r="M13" i="136"/>
  <c r="I11" i="136"/>
  <c r="L13" i="136" l="1"/>
  <c r="U13" i="136" l="1"/>
  <c r="S13" i="136"/>
  <c r="Q13" i="136"/>
  <c r="N13" i="136"/>
  <c r="O13" i="136" l="1"/>
  <c r="P13" i="136"/>
  <c r="R13" i="136" l="1"/>
  <c r="T13" i="136" l="1"/>
  <c r="V13" i="136" l="1"/>
  <c r="Z13" i="136" l="1"/>
  <c r="X13" i="136"/>
  <c r="W13" i="136"/>
  <c r="AA13" i="136" l="1"/>
  <c r="L13" i="131" l="1"/>
  <c r="N13" i="131" l="1"/>
  <c r="N9" i="119"/>
  <c r="O9" i="119" s="1"/>
  <c r="M9" i="119"/>
  <c r="O13" i="131" l="1"/>
  <c r="P13" i="131" s="1"/>
  <c r="R13" i="131" s="1"/>
  <c r="T13" i="131" s="1"/>
  <c r="S13" i="131"/>
  <c r="Q13" i="131"/>
  <c r="T9" i="119"/>
  <c r="P9" i="119"/>
  <c r="U13" i="131"/>
  <c r="V9" i="119"/>
  <c r="R9" i="119"/>
  <c r="Q9" i="119"/>
  <c r="V13" i="131" l="1"/>
  <c r="S9" i="119"/>
  <c r="U9" i="119" s="1"/>
  <c r="W9" i="119" s="1"/>
  <c r="Y9" i="119" l="1"/>
  <c r="AA9" i="119" s="1"/>
  <c r="W13" i="131"/>
  <c r="X13" i="131"/>
  <c r="Z13" i="131" s="1"/>
  <c r="X9" i="119"/>
  <c r="AA13" i="131" l="1"/>
  <c r="AB9" i="119"/>
  <c r="N22" i="120"/>
  <c r="O22" i="120" s="1"/>
  <c r="M22" i="120"/>
  <c r="P22" i="120" l="1"/>
  <c r="Q22" i="120" s="1"/>
  <c r="T22" i="120"/>
  <c r="V22" i="120"/>
  <c r="R22" i="120"/>
  <c r="S22" i="120" l="1"/>
  <c r="U22" i="120" s="1"/>
  <c r="W22" i="120" s="1"/>
  <c r="N17" i="133"/>
  <c r="O17" i="133" s="1"/>
  <c r="N18" i="133"/>
  <c r="O18" i="133" s="1"/>
  <c r="J10" i="135"/>
  <c r="K10" i="135" s="1"/>
  <c r="J15" i="135"/>
  <c r="K15" i="135" s="1"/>
  <c r="J16" i="135"/>
  <c r="K16" i="135" s="1"/>
  <c r="J9" i="135"/>
  <c r="K9" i="135" s="1"/>
  <c r="N11" i="118"/>
  <c r="O11" i="118" s="1"/>
  <c r="N12" i="118"/>
  <c r="O12" i="118" s="1"/>
  <c r="N16" i="123"/>
  <c r="O16" i="123" s="1"/>
  <c r="N28" i="121"/>
  <c r="O28" i="121" s="1"/>
  <c r="N18" i="121"/>
  <c r="O18" i="121" s="1"/>
  <c r="N10" i="121"/>
  <c r="O10" i="121" s="1"/>
  <c r="N11" i="121"/>
  <c r="O11" i="121" s="1"/>
  <c r="N13" i="121"/>
  <c r="O13" i="121" s="1"/>
  <c r="N9" i="121"/>
  <c r="O9" i="121" s="1"/>
  <c r="N27" i="120"/>
  <c r="O27" i="120" s="1"/>
  <c r="N15" i="120"/>
  <c r="O15" i="120" s="1"/>
  <c r="N13" i="119"/>
  <c r="O13" i="119" s="1"/>
  <c r="N11" i="119"/>
  <c r="O11" i="119" s="1"/>
  <c r="R9" i="121" l="1"/>
  <c r="T9" i="121"/>
  <c r="P9" i="121"/>
  <c r="Q9" i="121" s="1"/>
  <c r="V9" i="121"/>
  <c r="T27" i="120"/>
  <c r="P27" i="120"/>
  <c r="Q27" i="120" s="1"/>
  <c r="V27" i="120"/>
  <c r="R27" i="120"/>
  <c r="R10" i="121"/>
  <c r="T10" i="121"/>
  <c r="V10" i="121"/>
  <c r="P10" i="121"/>
  <c r="Q10" i="121" s="1"/>
  <c r="R9" i="135"/>
  <c r="L9" i="135"/>
  <c r="M9" i="135" s="1"/>
  <c r="P9" i="135"/>
  <c r="N9" i="135"/>
  <c r="R10" i="135"/>
  <c r="L10" i="135"/>
  <c r="M10" i="135" s="1"/>
  <c r="N10" i="135"/>
  <c r="P10" i="135"/>
  <c r="R11" i="119"/>
  <c r="P11" i="119"/>
  <c r="Q11" i="119" s="1"/>
  <c r="S11" i="119" s="1"/>
  <c r="V11" i="119"/>
  <c r="T11" i="119"/>
  <c r="P15" i="120"/>
  <c r="Q15" i="120" s="1"/>
  <c r="T15" i="120"/>
  <c r="R15" i="120"/>
  <c r="V15" i="120"/>
  <c r="V13" i="121"/>
  <c r="R13" i="121"/>
  <c r="T13" i="121"/>
  <c r="P13" i="121"/>
  <c r="Q13" i="121" s="1"/>
  <c r="P28" i="121"/>
  <c r="Q28" i="121" s="1"/>
  <c r="R28" i="121"/>
  <c r="V28" i="121"/>
  <c r="T28" i="121"/>
  <c r="V12" i="118"/>
  <c r="R12" i="118"/>
  <c r="T12" i="118"/>
  <c r="P12" i="118"/>
  <c r="Q12" i="118" s="1"/>
  <c r="P16" i="135"/>
  <c r="R16" i="135"/>
  <c r="L16" i="135"/>
  <c r="M16" i="135" s="1"/>
  <c r="N16" i="135"/>
  <c r="P17" i="133"/>
  <c r="Q17" i="133" s="1"/>
  <c r="V17" i="133"/>
  <c r="R17" i="133"/>
  <c r="T17" i="133"/>
  <c r="R18" i="121"/>
  <c r="P18" i="121"/>
  <c r="Q18" i="121" s="1"/>
  <c r="S18" i="121" s="1"/>
  <c r="V18" i="121"/>
  <c r="T18" i="121"/>
  <c r="V18" i="133"/>
  <c r="P18" i="133"/>
  <c r="Q18" i="133" s="1"/>
  <c r="R18" i="133"/>
  <c r="T18" i="133"/>
  <c r="V13" i="119"/>
  <c r="P13" i="119"/>
  <c r="Q13" i="119" s="1"/>
  <c r="T13" i="119"/>
  <c r="R13" i="119"/>
  <c r="T11" i="121"/>
  <c r="V11" i="121"/>
  <c r="P11" i="121"/>
  <c r="Q11" i="121" s="1"/>
  <c r="R11" i="121"/>
  <c r="T16" i="123"/>
  <c r="P16" i="123"/>
  <c r="Q16" i="123" s="1"/>
  <c r="R16" i="123"/>
  <c r="V16" i="123"/>
  <c r="R11" i="118"/>
  <c r="P11" i="118"/>
  <c r="Q11" i="118" s="1"/>
  <c r="S11" i="118" s="1"/>
  <c r="U11" i="118" s="1"/>
  <c r="T11" i="118"/>
  <c r="V11" i="118"/>
  <c r="P15" i="135"/>
  <c r="R15" i="135"/>
  <c r="L15" i="135"/>
  <c r="M15" i="135" s="1"/>
  <c r="N15" i="135"/>
  <c r="X22" i="120"/>
  <c r="Y22" i="120"/>
  <c r="AA22" i="120" s="1"/>
  <c r="S11" i="121" l="1"/>
  <c r="U18" i="121"/>
  <c r="W18" i="121" s="1"/>
  <c r="W11" i="118"/>
  <c r="X11" i="118" s="1"/>
  <c r="S13" i="119"/>
  <c r="S13" i="121"/>
  <c r="U13" i="121" s="1"/>
  <c r="S9" i="121"/>
  <c r="U9" i="121" s="1"/>
  <c r="W9" i="121" s="1"/>
  <c r="S12" i="118"/>
  <c r="U12" i="118" s="1"/>
  <c r="W12" i="118" s="1"/>
  <c r="O10" i="135"/>
  <c r="Q10" i="135" s="1"/>
  <c r="S10" i="135" s="1"/>
  <c r="U10" i="135" s="1"/>
  <c r="U11" i="119"/>
  <c r="W11" i="119" s="1"/>
  <c r="Y11" i="119" s="1"/>
  <c r="AA11" i="119" s="1"/>
  <c r="S28" i="121"/>
  <c r="U28" i="121" s="1"/>
  <c r="W28" i="121" s="1"/>
  <c r="S17" i="133"/>
  <c r="U17" i="133" s="1"/>
  <c r="W17" i="133" s="1"/>
  <c r="X17" i="133" s="1"/>
  <c r="U11" i="121"/>
  <c r="W11" i="121" s="1"/>
  <c r="X11" i="121" s="1"/>
  <c r="S15" i="120"/>
  <c r="U15" i="120" s="1"/>
  <c r="W15" i="120" s="1"/>
  <c r="Y15" i="120" s="1"/>
  <c r="O9" i="135"/>
  <c r="Q9" i="135" s="1"/>
  <c r="S9" i="135" s="1"/>
  <c r="U9" i="135" s="1"/>
  <c r="AB22" i="120"/>
  <c r="S27" i="120"/>
  <c r="U27" i="120" s="1"/>
  <c r="W27" i="120" s="1"/>
  <c r="X27" i="120" s="1"/>
  <c r="Y11" i="118"/>
  <c r="X18" i="121"/>
  <c r="Y18" i="121"/>
  <c r="U13" i="119"/>
  <c r="W13" i="119" s="1"/>
  <c r="Y13" i="119" s="1"/>
  <c r="S18" i="133"/>
  <c r="U18" i="133" s="1"/>
  <c r="W18" i="133" s="1"/>
  <c r="W13" i="121"/>
  <c r="O16" i="135"/>
  <c r="Q16" i="135" s="1"/>
  <c r="S16" i="135" s="1"/>
  <c r="O15" i="135"/>
  <c r="Q15" i="135" s="1"/>
  <c r="S15" i="135" s="1"/>
  <c r="S16" i="123"/>
  <c r="U16" i="123" s="1"/>
  <c r="W16" i="123" s="1"/>
  <c r="S10" i="121"/>
  <c r="U10" i="121" s="1"/>
  <c r="W10" i="121" s="1"/>
  <c r="L14" i="131"/>
  <c r="N14" i="131" s="1"/>
  <c r="Y27" i="120" l="1"/>
  <c r="T10" i="135"/>
  <c r="Y28" i="121"/>
  <c r="X28" i="121"/>
  <c r="Y17" i="133"/>
  <c r="Y11" i="121"/>
  <c r="X15" i="120"/>
  <c r="T9" i="135"/>
  <c r="X16" i="123"/>
  <c r="Y16" i="123"/>
  <c r="Y9" i="121"/>
  <c r="X9" i="121"/>
  <c r="T15" i="135"/>
  <c r="U15" i="135"/>
  <c r="X13" i="121"/>
  <c r="Y13" i="121"/>
  <c r="X12" i="118"/>
  <c r="Y12" i="118"/>
  <c r="T16" i="135"/>
  <c r="U16" i="135"/>
  <c r="S14" i="131"/>
  <c r="O14" i="131"/>
  <c r="P14" i="131" s="1"/>
  <c r="R14" i="131" s="1"/>
  <c r="Q14" i="131"/>
  <c r="Y10" i="121"/>
  <c r="X10" i="121"/>
  <c r="Y18" i="133"/>
  <c r="X18" i="133"/>
  <c r="U14" i="131"/>
  <c r="T14" i="131" l="1"/>
  <c r="V14" i="131" s="1"/>
  <c r="J14" i="131"/>
  <c r="X14" i="131" l="1"/>
  <c r="Z14" i="131" s="1"/>
  <c r="W14" i="131"/>
  <c r="AA14" i="131" l="1"/>
  <c r="M15" i="120"/>
  <c r="AA15" i="120" l="1"/>
  <c r="AB15" i="120" l="1"/>
  <c r="M18" i="133" l="1"/>
  <c r="J18" i="133"/>
  <c r="AA18" i="133" l="1"/>
  <c r="AB18" i="133" l="1"/>
  <c r="M13" i="121"/>
  <c r="AA13" i="121" l="1"/>
  <c r="AB13" i="121" l="1"/>
  <c r="M11" i="121"/>
  <c r="AA11" i="121" l="1"/>
  <c r="AB11" i="121" s="1"/>
  <c r="V23" i="135" l="1"/>
  <c r="I16" i="135" l="1"/>
  <c r="M17" i="133" l="1"/>
  <c r="Z11" i="123" l="1"/>
  <c r="L11" i="123"/>
  <c r="P23" i="135" l="1"/>
  <c r="L23" i="135"/>
  <c r="J23" i="135"/>
  <c r="I15" i="135"/>
  <c r="I9" i="135"/>
  <c r="I10" i="135" l="1"/>
  <c r="I23" i="135" l="1"/>
  <c r="K23" i="135"/>
  <c r="M23" i="135" l="1"/>
  <c r="L18" i="131" l="1"/>
  <c r="N18" i="131" s="1"/>
  <c r="L17" i="131"/>
  <c r="N17" i="131" s="1"/>
  <c r="L16" i="131"/>
  <c r="N16" i="131" s="1"/>
  <c r="L15" i="131"/>
  <c r="N15" i="131" s="1"/>
  <c r="L12" i="131"/>
  <c r="N12" i="131" s="1"/>
  <c r="L11" i="131"/>
  <c r="N11" i="131" s="1"/>
  <c r="L10" i="131"/>
  <c r="N10" i="131" s="1"/>
  <c r="O15" i="131" l="1"/>
  <c r="P15" i="131" s="1"/>
  <c r="S15" i="131"/>
  <c r="Q15" i="131"/>
  <c r="S16" i="131"/>
  <c r="O16" i="131"/>
  <c r="P16" i="131" s="1"/>
  <c r="R16" i="131" s="1"/>
  <c r="Q16" i="131"/>
  <c r="O17" i="131"/>
  <c r="P17" i="131" s="1"/>
  <c r="R17" i="131" s="1"/>
  <c r="S17" i="131"/>
  <c r="Q17" i="131"/>
  <c r="Q10" i="131"/>
  <c r="O10" i="131"/>
  <c r="P10" i="131" s="1"/>
  <c r="R10" i="131" s="1"/>
  <c r="T10" i="131" s="1"/>
  <c r="U10" i="131"/>
  <c r="S10" i="131"/>
  <c r="O11" i="131"/>
  <c r="P11" i="131" s="1"/>
  <c r="S11" i="131"/>
  <c r="S12" i="131"/>
  <c r="O12" i="131"/>
  <c r="Q12" i="131"/>
  <c r="P12" i="131"/>
  <c r="S18" i="131"/>
  <c r="O18" i="131"/>
  <c r="Q18" i="131"/>
  <c r="P18" i="131"/>
  <c r="U17" i="131"/>
  <c r="Q11" i="131"/>
  <c r="U11" i="131"/>
  <c r="U12" i="131"/>
  <c r="U18" i="131"/>
  <c r="U16" i="131"/>
  <c r="U15" i="131"/>
  <c r="Z28" i="120"/>
  <c r="L28" i="120"/>
  <c r="R11" i="131" l="1"/>
  <c r="T11" i="131" s="1"/>
  <c r="V11" i="131" s="1"/>
  <c r="X11" i="131" s="1"/>
  <c r="R15" i="131"/>
  <c r="V10" i="131"/>
  <c r="W10" i="131" s="1"/>
  <c r="R18" i="131"/>
  <c r="R12" i="131"/>
  <c r="T12" i="131" s="1"/>
  <c r="V12" i="131" s="1"/>
  <c r="X12" i="131" s="1"/>
  <c r="T15" i="131"/>
  <c r="V15" i="131" s="1"/>
  <c r="X15" i="131" s="1"/>
  <c r="T16" i="131"/>
  <c r="V16" i="131" s="1"/>
  <c r="X16" i="131" s="1"/>
  <c r="T18" i="131"/>
  <c r="V18" i="131" s="1"/>
  <c r="X18" i="131" s="1"/>
  <c r="T17" i="131"/>
  <c r="V17" i="131" s="1"/>
  <c r="X17" i="131" s="1"/>
  <c r="X10" i="131" l="1"/>
  <c r="Z8" i="121"/>
  <c r="L8" i="121"/>
  <c r="Z19" i="119"/>
  <c r="L19" i="119"/>
  <c r="K19" i="119"/>
  <c r="Z14" i="123" l="1"/>
  <c r="L14" i="123"/>
  <c r="M9" i="121" l="1"/>
  <c r="T15" i="134" l="1"/>
  <c r="P15" i="134"/>
  <c r="N15" i="134"/>
  <c r="O15" i="134" l="1"/>
  <c r="R15" i="134" l="1"/>
  <c r="Q15" i="134"/>
  <c r="Z27" i="121" l="1"/>
  <c r="Z31" i="121" s="1"/>
  <c r="L27" i="121"/>
  <c r="L31" i="121" s="1"/>
  <c r="S15" i="134" l="1"/>
  <c r="U15" i="134"/>
  <c r="J10" i="121" l="1"/>
  <c r="M27" i="120"/>
  <c r="J27" i="120"/>
  <c r="M10" i="121" l="1"/>
  <c r="M13" i="119" l="1"/>
  <c r="K27" i="121" l="1"/>
  <c r="K14" i="123"/>
  <c r="K11" i="123"/>
  <c r="K8" i="121" l="1"/>
  <c r="K31" i="121" s="1"/>
  <c r="M28" i="121" l="1"/>
  <c r="M27" i="121" s="1"/>
  <c r="M11" i="123" l="1"/>
  <c r="M16" i="123" l="1"/>
  <c r="M14" i="123" s="1"/>
  <c r="M18" i="121" l="1"/>
  <c r="J38" i="123" l="1"/>
  <c r="Z37" i="123"/>
  <c r="L37" i="123"/>
  <c r="K37" i="123"/>
  <c r="J17" i="133" l="1"/>
  <c r="T19" i="133"/>
  <c r="P19" i="133"/>
  <c r="N19" i="133"/>
  <c r="X37" i="123" l="1"/>
  <c r="M37" i="123"/>
  <c r="Q19" i="133" l="1"/>
  <c r="Y37" i="123"/>
  <c r="M19" i="133"/>
  <c r="O19" i="133" l="1"/>
  <c r="AA37" i="123"/>
  <c r="AB37" i="123"/>
  <c r="M11" i="118" l="1"/>
  <c r="Z14" i="118" l="1"/>
  <c r="L14" i="118"/>
  <c r="Z8" i="119" l="1"/>
  <c r="L8" i="119"/>
  <c r="K8" i="119"/>
  <c r="Z33" i="123" l="1"/>
  <c r="M33" i="123"/>
  <c r="L33" i="123"/>
  <c r="K33" i="123"/>
  <c r="J16" i="123"/>
  <c r="K31" i="123" l="1"/>
  <c r="K40" i="123" s="1"/>
  <c r="M31" i="123"/>
  <c r="M40" i="123" s="1"/>
  <c r="L31" i="123"/>
  <c r="L40" i="123" s="1"/>
  <c r="Z31" i="123"/>
  <c r="Z40" i="123" s="1"/>
  <c r="J18" i="121"/>
  <c r="M8" i="121"/>
  <c r="M31" i="121" s="1"/>
  <c r="J16" i="121"/>
  <c r="J12" i="121"/>
  <c r="J9" i="121"/>
  <c r="Z14" i="119" l="1"/>
  <c r="L14" i="119"/>
  <c r="Z12" i="119"/>
  <c r="L12" i="119"/>
  <c r="K12" i="119"/>
  <c r="M11" i="119"/>
  <c r="Z22" i="119" l="1"/>
  <c r="K22" i="119"/>
  <c r="L22" i="119"/>
  <c r="Z15" i="132"/>
  <c r="T15" i="132"/>
  <c r="P15" i="132"/>
  <c r="N15" i="132"/>
  <c r="L15" i="132"/>
  <c r="K15" i="132" l="1"/>
  <c r="M15" i="132" l="1"/>
  <c r="V15" i="132"/>
  <c r="Q15" i="132"/>
  <c r="O15" i="132"/>
  <c r="M12" i="119" l="1"/>
  <c r="J11" i="131" l="1"/>
  <c r="J12" i="131"/>
  <c r="J13" i="131"/>
  <c r="J15" i="131"/>
  <c r="J16" i="131"/>
  <c r="J17" i="131"/>
  <c r="J18" i="131"/>
  <c r="J10" i="131"/>
  <c r="J11" i="118"/>
  <c r="J12" i="118"/>
  <c r="J10" i="118"/>
  <c r="J34" i="123"/>
  <c r="J15" i="123"/>
  <c r="J12" i="123"/>
  <c r="J28" i="121"/>
  <c r="Y20" i="131" l="1"/>
  <c r="M20" i="131"/>
  <c r="K20" i="131"/>
  <c r="N20" i="131" l="1"/>
  <c r="L20" i="131"/>
  <c r="O20" i="131" l="1"/>
  <c r="S20" i="131"/>
  <c r="P20" i="131" l="1"/>
  <c r="M12" i="118" l="1"/>
  <c r="M14" i="118" l="1"/>
  <c r="N14" i="118"/>
  <c r="N40" i="123"/>
  <c r="N31" i="121"/>
  <c r="N28" i="120"/>
  <c r="K14" i="118" l="1"/>
  <c r="O40" i="123"/>
  <c r="O31" i="121"/>
  <c r="O14" i="118" l="1"/>
  <c r="N22" i="119" l="1"/>
  <c r="M19" i="119"/>
  <c r="M14" i="119" l="1"/>
  <c r="M8" i="119"/>
  <c r="M22" i="119" l="1"/>
  <c r="O22" i="119"/>
  <c r="Z18" i="131" l="1"/>
  <c r="R23" i="135"/>
  <c r="AA16" i="123"/>
  <c r="AA27" i="120"/>
  <c r="V15" i="134"/>
  <c r="Z12" i="131"/>
  <c r="AA13" i="119"/>
  <c r="X13" i="119"/>
  <c r="W15" i="131"/>
  <c r="W16" i="135"/>
  <c r="Z11" i="131"/>
  <c r="W11" i="131"/>
  <c r="N23" i="135"/>
  <c r="Z10" i="131"/>
  <c r="Z16" i="131"/>
  <c r="W16" i="131"/>
  <c r="W17" i="131"/>
  <c r="Z17" i="131"/>
  <c r="AA9" i="121"/>
  <c r="R31" i="121"/>
  <c r="AA18" i="121"/>
  <c r="AA10" i="121"/>
  <c r="V19" i="133"/>
  <c r="R19" i="133"/>
  <c r="R15" i="132"/>
  <c r="X11" i="119"/>
  <c r="U20" i="131"/>
  <c r="Q20" i="131"/>
  <c r="T28" i="120"/>
  <c r="R40" i="123"/>
  <c r="V22" i="119"/>
  <c r="V40" i="123"/>
  <c r="T31" i="121"/>
  <c r="P28" i="120"/>
  <c r="P40" i="123"/>
  <c r="V14" i="118"/>
  <c r="R22" i="119"/>
  <c r="T14" i="118"/>
  <c r="T40" i="123"/>
  <c r="V31" i="121"/>
  <c r="P22" i="119"/>
  <c r="T22" i="119"/>
  <c r="R14" i="118"/>
  <c r="P14" i="118"/>
  <c r="P31" i="121"/>
  <c r="AA17" i="133" l="1"/>
  <c r="AA19" i="133" s="1"/>
  <c r="Y19" i="133"/>
  <c r="AA14" i="123"/>
  <c r="Z15" i="131"/>
  <c r="AA15" i="131" s="1"/>
  <c r="W18" i="131"/>
  <c r="AA18" i="131" s="1"/>
  <c r="W15" i="135"/>
  <c r="X15" i="135" s="1"/>
  <c r="W10" i="135"/>
  <c r="X10" i="135" s="1"/>
  <c r="W12" i="131"/>
  <c r="AA12" i="131" s="1"/>
  <c r="AB27" i="120"/>
  <c r="AB16" i="123"/>
  <c r="AB10" i="121"/>
  <c r="AB18" i="121"/>
  <c r="AB9" i="121"/>
  <c r="AA16" i="131"/>
  <c r="AA10" i="131"/>
  <c r="AA11" i="131"/>
  <c r="X27" i="121"/>
  <c r="W15" i="134"/>
  <c r="AA28" i="121"/>
  <c r="AA27" i="121" s="1"/>
  <c r="Y27" i="121"/>
  <c r="AB13" i="119"/>
  <c r="AA17" i="131"/>
  <c r="X14" i="123"/>
  <c r="X16" i="135"/>
  <c r="O23" i="135"/>
  <c r="X11" i="123"/>
  <c r="AA11" i="123"/>
  <c r="AA40" i="123" s="1"/>
  <c r="Y11" i="123"/>
  <c r="Y8" i="121"/>
  <c r="X8" i="121"/>
  <c r="AA11" i="118"/>
  <c r="AB11" i="118" s="1"/>
  <c r="S19" i="133"/>
  <c r="AB11" i="119"/>
  <c r="AA33" i="123"/>
  <c r="AA31" i="123" s="1"/>
  <c r="Y33" i="123"/>
  <c r="Y31" i="123" s="1"/>
  <c r="R20" i="131"/>
  <c r="U15" i="132"/>
  <c r="S15" i="132"/>
  <c r="X33" i="123"/>
  <c r="X31" i="123" s="1"/>
  <c r="AA12" i="118"/>
  <c r="AB12" i="118" s="1"/>
  <c r="Q40" i="123"/>
  <c r="Q22" i="119"/>
  <c r="X14" i="119"/>
  <c r="Q31" i="121"/>
  <c r="X19" i="119"/>
  <c r="Y19" i="119"/>
  <c r="Q14" i="118"/>
  <c r="X40" i="123" l="1"/>
  <c r="AB17" i="133"/>
  <c r="AB19" i="133" s="1"/>
  <c r="Y31" i="121"/>
  <c r="X31" i="121"/>
  <c r="Y14" i="123"/>
  <c r="Y40" i="123" s="1"/>
  <c r="AB28" i="121"/>
  <c r="AB27" i="121" s="1"/>
  <c r="AB14" i="123"/>
  <c r="Q23" i="135"/>
  <c r="AB11" i="123"/>
  <c r="AA8" i="121"/>
  <c r="AA31" i="121" s="1"/>
  <c r="AB8" i="121"/>
  <c r="U19" i="133"/>
  <c r="AB33" i="123"/>
  <c r="AB31" i="123" s="1"/>
  <c r="X12" i="119"/>
  <c r="W15" i="132"/>
  <c r="T20" i="131"/>
  <c r="AA12" i="119"/>
  <c r="Y12" i="119"/>
  <c r="AA14" i="119"/>
  <c r="Y14" i="119"/>
  <c r="AA19" i="119"/>
  <c r="S14" i="118"/>
  <c r="S31" i="121"/>
  <c r="S40" i="123"/>
  <c r="S22" i="119"/>
  <c r="AB40" i="123" l="1"/>
  <c r="AB31" i="121"/>
  <c r="S23" i="135"/>
  <c r="W19" i="133"/>
  <c r="Y15" i="132"/>
  <c r="AA15" i="132"/>
  <c r="X15" i="132"/>
  <c r="V20" i="131"/>
  <c r="AB12" i="119"/>
  <c r="AB14" i="119"/>
  <c r="AB20" i="119"/>
  <c r="AB19" i="119" s="1"/>
  <c r="U31" i="121"/>
  <c r="U40" i="123"/>
  <c r="U14" i="118"/>
  <c r="U22" i="119"/>
  <c r="T23" i="135" l="1"/>
  <c r="U23" i="135"/>
  <c r="W9" i="135"/>
  <c r="X19" i="133"/>
  <c r="AB15" i="132"/>
  <c r="Z20" i="131"/>
  <c r="X20" i="131"/>
  <c r="W20" i="131"/>
  <c r="Y8" i="119"/>
  <c r="Y22" i="119" s="1"/>
  <c r="W22" i="119"/>
  <c r="X8" i="119"/>
  <c r="X22" i="119" s="1"/>
  <c r="X14" i="118"/>
  <c r="Y14" i="118"/>
  <c r="W14" i="118"/>
  <c r="W40" i="123"/>
  <c r="W31" i="121"/>
  <c r="W23" i="135" l="1"/>
  <c r="X9" i="135"/>
  <c r="X23" i="135" s="1"/>
  <c r="AA20" i="131"/>
  <c r="AA8" i="119"/>
  <c r="AA22" i="119" s="1"/>
  <c r="AA14" i="118"/>
  <c r="AB8" i="119" l="1"/>
  <c r="AB22" i="119" s="1"/>
  <c r="AB14" i="118"/>
  <c r="K28" i="120"/>
  <c r="J9" i="120"/>
  <c r="V28" i="120" l="1"/>
  <c r="R28" i="120"/>
  <c r="O28" i="120"/>
  <c r="Q28" i="120"/>
  <c r="M28" i="120"/>
  <c r="S28" i="120" l="1"/>
  <c r="U28" i="120" l="1"/>
  <c r="W28" i="120" l="1"/>
  <c r="X28" i="120" l="1"/>
  <c r="AA28" i="120"/>
  <c r="Y28" i="120" l="1"/>
  <c r="AB28" i="120"/>
</calcChain>
</file>

<file path=xl/sharedStrings.xml><?xml version="1.0" encoding="utf-8"?>
<sst xmlns="http://schemas.openxmlformats.org/spreadsheetml/2006/main" count="1308" uniqueCount="485">
  <si>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</si>
  <si>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</si>
  <si>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</si>
  <si>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</si>
  <si>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</si>
  <si>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</si>
  <si>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</si>
  <si>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</si>
  <si>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</si>
  <si>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</si>
  <si>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</si>
  <si>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</si>
  <si>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</si>
  <si>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</si>
  <si>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</si>
  <si>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</si>
  <si>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</si>
  <si>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</si>
  <si>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</si>
  <si>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</si>
  <si>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</si>
  <si>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</si>
  <si>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</si>
  <si>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</si>
  <si>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</si>
  <si>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</si>
  <si>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</si>
  <si>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</si>
  <si>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</si>
  <si>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</si>
  <si>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</si>
  <si>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</si>
  <si>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</si>
  <si>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</si>
  <si>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</si>
  <si>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</si>
  <si>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</si>
  <si>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</si>
  <si>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</si>
  <si>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</si>
  <si>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</si>
  <si>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</si>
  <si>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</si>
  <si>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</si>
  <si>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</si>
  <si>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</si>
  <si>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</si>
  <si>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</si>
  <si>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</si>
  <si>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</si>
  <si>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</si>
  <si>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</si>
  <si>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</si>
  <si>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</si>
  <si>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</si>
  <si>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</si>
  <si>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Prestamo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</si>
  <si>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</si>
  <si>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</si>
  <si>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</si>
  <si>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</si>
  <si>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</si>
  <si>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</si>
  <si>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</si>
  <si>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</si>
  <si>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</si>
  <si>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</si>
  <si>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</si>
  <si>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</si>
  <si>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</si>
  <si>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</si>
  <si>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</si>
  <si>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</si>
  <si>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</si>
  <si>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</si>
  <si>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</si>
  <si>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</si>
  <si>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</si>
  <si>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</si>
  <si>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</si>
  <si>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</si>
  <si>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</si>
  <si>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</si>
  <si>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</si>
  <si>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</si>
  <si>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</si>
  <si>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</si>
  <si>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</si>
  <si>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</si>
  <si>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</si>
  <si>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</si>
  <si>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</si>
  <si>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LOIDA MARIA OROZCO VILLALOBOS 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</si>
  <si>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</si>
  <si>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</si>
  <si>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</si>
  <si>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</si>
  <si>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</si>
  <si>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SILVIA ALEJANDRA SANDOVAL SOTO</t>
  </si>
  <si>
    <t>CESAR JESUS LANDEROS MORA</t>
  </si>
  <si>
    <t>DIRECTORA DEL INSTITUTO MUNICIPAL DE LA MUJER</t>
  </si>
  <si>
    <t>Núm de Empleado</t>
  </si>
  <si>
    <t>RFC</t>
  </si>
  <si>
    <t>AFANADOR PARQUE LA ISLA</t>
  </si>
  <si>
    <t>052</t>
  </si>
  <si>
    <t>002</t>
  </si>
  <si>
    <t>ROAE8305268D9</t>
  </si>
  <si>
    <t>088</t>
  </si>
  <si>
    <t>N°</t>
  </si>
  <si>
    <t>007</t>
  </si>
  <si>
    <t>PELG8902233V7</t>
  </si>
  <si>
    <t>009</t>
  </si>
  <si>
    <t>SASS90022203B3</t>
  </si>
  <si>
    <t>CACG8412204R1</t>
  </si>
  <si>
    <t>096</t>
  </si>
  <si>
    <t>OOVL880419UZ9</t>
  </si>
  <si>
    <t>102</t>
  </si>
  <si>
    <t>LAMC910610LB9</t>
  </si>
  <si>
    <t>PECI880515LKA</t>
  </si>
  <si>
    <t>105</t>
  </si>
  <si>
    <t>CAAS900829JN3</t>
  </si>
  <si>
    <t>HACIENDA PÚBLICA MPAL</t>
  </si>
  <si>
    <t>111</t>
  </si>
  <si>
    <t>UUAJ620306516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</si>
  <si>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</si>
  <si>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</si>
  <si>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</si>
  <si>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</si>
  <si>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</si>
  <si>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</si>
  <si>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</si>
  <si>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COMPUTO E INFÓRMATICA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</si>
  <si>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</si>
  <si>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</si>
  <si>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</si>
  <si>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</si>
  <si>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</si>
  <si>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</si>
  <si>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</si>
  <si>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</si>
  <si>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</si>
  <si>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</si>
  <si>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IARM881208T31</t>
  </si>
  <si>
    <t>FRANCISCO JAVIER MERIN SOTO</t>
  </si>
  <si>
    <t>SAUL CASTRO CASTAÑEDA</t>
  </si>
  <si>
    <t>PARAMÉDICO</t>
  </si>
  <si>
    <t>CHOFER AMBULANCIA</t>
  </si>
  <si>
    <t>SERVICIOS MÉDICOS MUNICIPALES</t>
  </si>
  <si>
    <t>146</t>
  </si>
  <si>
    <t>153</t>
  </si>
  <si>
    <t>154</t>
  </si>
  <si>
    <t>CACS7103203Q9</t>
  </si>
  <si>
    <t>MESF850913II3</t>
  </si>
  <si>
    <t>MARIA GUADALUPE SOLIS CASILLAS</t>
  </si>
  <si>
    <t>FRED DE JESUS VILLALOBOS CASTILLO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</si>
  <si>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</si>
  <si>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</si>
  <si>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</si>
  <si>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</si>
  <si>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</si>
  <si>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</si>
  <si>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AUXILIAR DE COMPUTACION</t>
  </si>
  <si>
    <t>EDUARDO CASILLAS SOLIS</t>
  </si>
  <si>
    <t>INSPECTOR DE GANADERÍA</t>
  </si>
  <si>
    <t>OMAR CARRANZA CASILLAS</t>
  </si>
  <si>
    <t>SALVADOR GARCIA CASILLAS</t>
  </si>
  <si>
    <t>EDUARDO ROBLES CORONA</t>
  </si>
  <si>
    <t>02</t>
  </si>
  <si>
    <t>SOCG8710244C0</t>
  </si>
  <si>
    <t>VICF940917FW7</t>
  </si>
  <si>
    <t>CAAM750115HV3</t>
  </si>
  <si>
    <t>CASE8710163P8</t>
  </si>
  <si>
    <t>GACG750625B70</t>
  </si>
  <si>
    <t>CACX8112279U5</t>
  </si>
  <si>
    <t>ROCE781126IN0</t>
  </si>
  <si>
    <t>GACS7702262M3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</si>
  <si>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</si>
  <si>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</si>
  <si>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</si>
  <si>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</si>
  <si>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</si>
  <si>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</si>
  <si>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</si>
  <si>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</si>
  <si>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</si>
  <si>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NUSM8008193D2</t>
  </si>
  <si>
    <t>ENRIQUE GARCIA ROJAS</t>
  </si>
  <si>
    <t>INDALECIO LLAMAS ESPARZA</t>
  </si>
  <si>
    <t>AUXILIAR BASICO DE PROTECCION CIVIL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</si>
  <si>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</si>
  <si>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</si>
  <si>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</si>
  <si>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</si>
  <si>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</si>
  <si>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</si>
  <si>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</si>
  <si>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CASJ6506143H0</t>
  </si>
  <si>
    <t>GARE510603JR0</t>
  </si>
  <si>
    <t>CARD630626GL5</t>
  </si>
  <si>
    <t>LAEI990815JE7</t>
  </si>
  <si>
    <t>SOCS710314EB3</t>
  </si>
  <si>
    <t>AOGA8509167A4</t>
  </si>
  <si>
    <t>191</t>
  </si>
  <si>
    <t>190</t>
  </si>
  <si>
    <t>193</t>
  </si>
  <si>
    <t>195</t>
  </si>
  <si>
    <t>198</t>
  </si>
  <si>
    <t>201</t>
  </si>
  <si>
    <t>210</t>
  </si>
  <si>
    <t>216</t>
  </si>
  <si>
    <t>JULIAN MADERA CASTRO</t>
  </si>
  <si>
    <t>MACJ900422JF8</t>
  </si>
  <si>
    <t>ENCARGADA DEL COMEDOR ESCOLAR</t>
  </si>
  <si>
    <t>MARIO AVILA AVILA</t>
  </si>
  <si>
    <t>CHOFER DE DESARROLLO SOCIAL</t>
  </si>
  <si>
    <t>AIAM870428GG7</t>
  </si>
  <si>
    <t>221</t>
  </si>
  <si>
    <t>220</t>
  </si>
  <si>
    <t>226</t>
  </si>
  <si>
    <t>HERIBERTA AVILA VEGA</t>
  </si>
  <si>
    <t>AIVH7703037R6</t>
  </si>
  <si>
    <t>228</t>
  </si>
  <si>
    <t>SUELDO  DEL 16 AL 31 DE OCTUBRE DE 2019</t>
  </si>
  <si>
    <t>236</t>
  </si>
  <si>
    <t>241</t>
  </si>
  <si>
    <t>JOSE SANDOVAL VITELA</t>
  </si>
  <si>
    <t>SAVJ640113NX2</t>
  </si>
  <si>
    <t>015</t>
  </si>
  <si>
    <t>242</t>
  </si>
  <si>
    <t>245</t>
  </si>
  <si>
    <t>DAVID CASTRO AVILA</t>
  </si>
  <si>
    <t>CAAD880427EC1</t>
  </si>
  <si>
    <t>248</t>
  </si>
  <si>
    <t>GILBERTO CASTRO BALTIERRA</t>
  </si>
  <si>
    <t>CABG900204C29</t>
  </si>
  <si>
    <t>EMILIA RAMIREZ CASTRO</t>
  </si>
  <si>
    <t>RACE731012RZ4</t>
  </si>
  <si>
    <t>251</t>
  </si>
  <si>
    <t>SAMUEL LLAMAS AGUAYO</t>
  </si>
  <si>
    <t>256</t>
  </si>
  <si>
    <t xml:space="preserve">SALARIO MINIMO GENERAL </t>
  </si>
  <si>
    <t>UMA</t>
  </si>
  <si>
    <t>LAAS570228G56</t>
  </si>
  <si>
    <t>DIAS</t>
  </si>
  <si>
    <t xml:space="preserve"> Descuentos</t>
  </si>
  <si>
    <t>264</t>
  </si>
  <si>
    <t>155</t>
  </si>
  <si>
    <t>MARIA LUZ ELENA GUZMAN CARDONA</t>
  </si>
  <si>
    <t>GUCL810316MN5</t>
  </si>
  <si>
    <t>PRESIDENTE MUNICIPAL</t>
  </si>
  <si>
    <t xml:space="preserve">SECRETARIO GENERAL </t>
  </si>
  <si>
    <t>170</t>
  </si>
  <si>
    <t>CARLOS ADRIAN AVILA LLAMAS</t>
  </si>
  <si>
    <t>AILC9808299Q6</t>
  </si>
  <si>
    <t>GUILLERMINA GARCIA CASTRO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</si>
  <si>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</si>
  <si>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</si>
  <si>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</si>
  <si>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DIRECTOR DE PROYECTOS PRODUCTIVOS</t>
  </si>
  <si>
    <t>269</t>
  </si>
  <si>
    <t>270</t>
  </si>
  <si>
    <t>271</t>
  </si>
  <si>
    <t>272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</si>
  <si>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</si>
  <si>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</si>
  <si>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</si>
  <si>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</si>
  <si>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</si>
  <si>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</si>
  <si>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</si>
  <si>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</si>
  <si>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</si>
  <si>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</si>
  <si>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</si>
  <si>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CARA7406217J3</t>
  </si>
  <si>
    <t>JORGE LOPEZ GARCIA</t>
  </si>
  <si>
    <t>LOGJ9608024T3</t>
  </si>
  <si>
    <t>HOGN7707044S3</t>
  </si>
  <si>
    <t>TERA870128LC3</t>
  </si>
  <si>
    <t>LOMG001010I98</t>
  </si>
  <si>
    <t>VIGL8311141P7</t>
  </si>
  <si>
    <t>GULR780405N43</t>
  </si>
  <si>
    <t>MA GRISELDA SILVA NUÑEZ</t>
  </si>
  <si>
    <t>SING830607MHA</t>
  </si>
  <si>
    <t>ROSA ESMERALDA SANDOVAL MACHUCA</t>
  </si>
  <si>
    <t>SAMR9804042T6</t>
  </si>
  <si>
    <t>MARGARITA SOLIS CASILLAS</t>
  </si>
  <si>
    <t>SOCM780618J44</t>
  </si>
  <si>
    <t>PEDRO DAMIAN RUVALCABA VILLALOBOS</t>
  </si>
  <si>
    <t>RUVP990821QB6</t>
  </si>
  <si>
    <t>EFRAIN ROBLES FLORES</t>
  </si>
  <si>
    <t>ROFE870509J60</t>
  </si>
  <si>
    <t>VICTORIANO SANDOVAL FLORES</t>
  </si>
  <si>
    <t>SAFV890702G75</t>
  </si>
  <si>
    <t>MUMG740311J20</t>
  </si>
  <si>
    <t>GOGL7709164H2</t>
  </si>
  <si>
    <t>194</t>
  </si>
  <si>
    <t>EFRAIN SILVA NUÑEZ</t>
  </si>
  <si>
    <t>SINE910215840</t>
  </si>
  <si>
    <t>276</t>
  </si>
  <si>
    <t>279</t>
  </si>
  <si>
    <t>280</t>
  </si>
  <si>
    <t>281</t>
  </si>
  <si>
    <t>282</t>
  </si>
  <si>
    <t>283</t>
  </si>
  <si>
    <t xml:space="preserve">  </t>
  </si>
  <si>
    <t>GABRIELA CASTRO SOTO</t>
  </si>
  <si>
    <t>CASG940509UY3</t>
  </si>
  <si>
    <t>AFANADORA PRESIDENCIA MUNICIPAL</t>
  </si>
  <si>
    <t>285</t>
  </si>
  <si>
    <t>AFANADORA SANITARIOS PÙBLICOS</t>
  </si>
  <si>
    <t>MA GUADALUPE MARISCAL ARELLANO</t>
  </si>
  <si>
    <t>LUCIA GONZALEZ GUZMAN</t>
  </si>
  <si>
    <t>136</t>
  </si>
  <si>
    <t>261</t>
  </si>
  <si>
    <t>ERIDANI OROZCO VILLALOBOS</t>
  </si>
  <si>
    <t>OOVE840411MK4</t>
  </si>
  <si>
    <t xml:space="preserve">JUEZ MUNICIPAL </t>
  </si>
  <si>
    <t>CONTRALORIA MUNICIPAL</t>
  </si>
  <si>
    <t>FRANCISCO GUTIERREZ ÁVILA</t>
  </si>
  <si>
    <t>GUAF780107TW9</t>
  </si>
  <si>
    <t>TITULAR DEL ORGANO INTERNO DE CONTROL</t>
  </si>
  <si>
    <t>SINDICO MUNICIPAL</t>
  </si>
  <si>
    <t>CHOFER DE AUTOBUS</t>
  </si>
  <si>
    <t>ROSA VIRIDIANA ARELLANO VEGA</t>
  </si>
  <si>
    <t>AEVR730416EG0</t>
  </si>
  <si>
    <t>CURP</t>
  </si>
  <si>
    <t>PECI880515MJCRSS02</t>
  </si>
  <si>
    <t>SASS900220MJCNTL02</t>
  </si>
  <si>
    <t>PELG890223MJCRLD06</t>
  </si>
  <si>
    <t>CACG841220MJCSSD03</t>
  </si>
  <si>
    <t>CARA740621HJCSDL00</t>
  </si>
  <si>
    <t>ROAE830526HJCDRV07</t>
  </si>
  <si>
    <t>OOVL880419MJCRLD03</t>
  </si>
  <si>
    <t>LAMC910610HJCNRS00</t>
  </si>
  <si>
    <t>CAAS900829MJCSVF05</t>
  </si>
  <si>
    <t>UUAJ620306HJCRVL01</t>
  </si>
  <si>
    <t>SOCM780618MJCLSR05</t>
  </si>
  <si>
    <t>IARM881208HZSBDR03</t>
  </si>
  <si>
    <t>CACS710320HJCSSL08</t>
  </si>
  <si>
    <t>MESF850913HJCRTR09</t>
  </si>
  <si>
    <t>GUCL810316MJCZRZ05</t>
  </si>
  <si>
    <t>SOCG871024MJCLSD09</t>
  </si>
  <si>
    <t>VICF940917HJCLSR05</t>
  </si>
  <si>
    <t>GUAF780107HJCTVR01</t>
  </si>
  <si>
    <t>CAAM750115HJCSVG03</t>
  </si>
  <si>
    <t>AILC980829HJCVLR00</t>
  </si>
  <si>
    <t>CASE871016HJCSLD02</t>
  </si>
  <si>
    <t>GACG750625MJCRSL06</t>
  </si>
  <si>
    <t>CXCO811227HJCRSM04</t>
  </si>
  <si>
    <t>ROCE781126HJCBRD03</t>
  </si>
  <si>
    <t>GACS770226HJCRSL00</t>
  </si>
  <si>
    <t>NUSM800819HJCXLR05</t>
  </si>
  <si>
    <t>AOGA850916HJCNRB08</t>
  </si>
  <si>
    <t>CASJ650614HJCSNR02</t>
  </si>
  <si>
    <t>GARE510603HJCRJN02</t>
  </si>
  <si>
    <t>SINE910215HJCLXF01</t>
  </si>
  <si>
    <t>SOCS710314HJCLSN05</t>
  </si>
  <si>
    <t>CARD630626HJCSMV08</t>
  </si>
  <si>
    <t>MACJ900422HJCDSL04</t>
  </si>
  <si>
    <t>AIAM870428HJCVVR02</t>
  </si>
  <si>
    <t>AIVH770303MJCVGR09</t>
  </si>
  <si>
    <t>SAVJ640113HJCNTS12</t>
  </si>
  <si>
    <t>CAAD880427HZSSVV05</t>
  </si>
  <si>
    <t>CABG900204HJCSLL01</t>
  </si>
  <si>
    <t>RACE731012MJCMSM04</t>
  </si>
  <si>
    <t>LAAS570228HJCLGM06</t>
  </si>
  <si>
    <t>OOVE840411MJCRLR07</t>
  </si>
  <si>
    <t>SAMR980404MJCNCS05</t>
  </si>
  <si>
    <t>SAFV890702HJCNLC08</t>
  </si>
  <si>
    <t>ROFE870509HDGBLF05</t>
  </si>
  <si>
    <t>SING830607MJCLXR08</t>
  </si>
  <si>
    <t>CASG940509MJCSTB07</t>
  </si>
  <si>
    <t>GULR780405HJCTNB02</t>
  </si>
  <si>
    <t>TERA870128MJCRML06</t>
  </si>
  <si>
    <t>VIGL831114HJCLRS02</t>
  </si>
  <si>
    <t>HOGN770704MJCRRM07</t>
  </si>
  <si>
    <t>LOMG001010MJCPGDA9</t>
  </si>
  <si>
    <t>MUMG740311MJCXRD01</t>
  </si>
  <si>
    <t>LOGJ960802HJCPRR09</t>
  </si>
  <si>
    <t>GOGL770916MZSNZC07</t>
  </si>
  <si>
    <t>RUVP990821HJCVLD03</t>
  </si>
  <si>
    <t>MAAG781030MJCRRD08</t>
  </si>
  <si>
    <t>AEVR730416MJCRGS03</t>
  </si>
  <si>
    <t>291</t>
  </si>
  <si>
    <t>292</t>
  </si>
  <si>
    <t>ENCARGADO DEL MODULO DE MAQUINA Y BODEGA MUNICIPAL</t>
  </si>
  <si>
    <t>AUXILIAR DE LA BODEGA MUNICIPAL</t>
  </si>
  <si>
    <t>SUPERVISOR DE TURNO</t>
  </si>
  <si>
    <t>296</t>
  </si>
  <si>
    <t>RAMIRO CASTRO HORTA</t>
  </si>
  <si>
    <t>CAHR900320NQ0</t>
  </si>
  <si>
    <t>CAHR900320HJCSRN09</t>
  </si>
  <si>
    <t>BAFJ64022457A</t>
  </si>
  <si>
    <t>BAFJ640224HJCLRS16</t>
  </si>
  <si>
    <t>JOSE BLANCO FRIAS</t>
  </si>
  <si>
    <t>MECANICO MUNICIPAL</t>
  </si>
  <si>
    <t>032</t>
  </si>
  <si>
    <t>ULISES LOPEZ RODRIGUEZ</t>
  </si>
  <si>
    <t>LORU840304TS8</t>
  </si>
  <si>
    <t>298</t>
  </si>
  <si>
    <t>SECRETARIA DE PROYECTOS PRODUCTIVOS</t>
  </si>
  <si>
    <t>LORU840304HJCPDL05</t>
  </si>
  <si>
    <t>BIBLIOTECA PÙBLICA MUNICIPAL</t>
  </si>
  <si>
    <t>MAAM781030138</t>
  </si>
  <si>
    <t>AUXILIAR DEL REGISTRO CIVIL</t>
  </si>
  <si>
    <t>ANGELBERTO CASILLAS SOLIS</t>
  </si>
  <si>
    <t>301</t>
  </si>
  <si>
    <t>CASA730128UJ7</t>
  </si>
  <si>
    <t>CASA730128HJCSLN01</t>
  </si>
  <si>
    <t>AUXILIAR DE LA BIBLIOTECA PÙBLICA MUNICIPAL</t>
  </si>
  <si>
    <t>300</t>
  </si>
  <si>
    <t>OMAR RENE DAVALOS HERNANDEZ</t>
  </si>
  <si>
    <t>DAHO810112BZA</t>
  </si>
  <si>
    <t>DAHO810212HJCVRM05</t>
  </si>
  <si>
    <t>MEDICO MUNICIPAL</t>
  </si>
  <si>
    <t>302</t>
  </si>
  <si>
    <t>303</t>
  </si>
  <si>
    <t>PAOLA ARACELI CORTEZ VARELA</t>
  </si>
  <si>
    <t>COVP990629626</t>
  </si>
  <si>
    <t>COVP990629MJCRRL01</t>
  </si>
  <si>
    <t>DIRECTORA DE CULTURA</t>
  </si>
  <si>
    <t>CULTURA</t>
  </si>
  <si>
    <t>LAEI990815HJCLSN01</t>
  </si>
  <si>
    <t>304</t>
  </si>
  <si>
    <t>AISG820930HJCVLR04</t>
  </si>
  <si>
    <t>SUPERVISOR BODEGA MUNICIPAL</t>
  </si>
  <si>
    <t>AISG820930134</t>
  </si>
  <si>
    <t>GERARDO AVILA SILVA</t>
  </si>
  <si>
    <t>305</t>
  </si>
  <si>
    <t>RAFAEL NUÑEZ SILVA</t>
  </si>
  <si>
    <t>NUSR670406TB4</t>
  </si>
  <si>
    <t>NUSR670406HJCXLF02</t>
  </si>
  <si>
    <t>ISR Salarios</t>
  </si>
  <si>
    <t>TABLAS PUBLICADAS EL 27 DE DICIEMBRE DE 2022</t>
  </si>
  <si>
    <t>VIGENTES PARA 2023</t>
  </si>
  <si>
    <t>EJERCICIO 2023</t>
  </si>
  <si>
    <t>306</t>
  </si>
  <si>
    <t>ALICIA CASTRO CASTRO</t>
  </si>
  <si>
    <t>CACX031118NV2</t>
  </si>
  <si>
    <t>CXCA031118MJCSSLA</t>
  </si>
  <si>
    <t>307</t>
  </si>
  <si>
    <t>308</t>
  </si>
  <si>
    <t>ALEJANDRA URZUA AVILA</t>
  </si>
  <si>
    <t>UUAA890903CI9</t>
  </si>
  <si>
    <t>UUAA890903MJCRVL08</t>
  </si>
  <si>
    <t>AFANADORA CASA DE LA CULTURA</t>
  </si>
  <si>
    <t>309</t>
  </si>
  <si>
    <t>TANIA LIZBETH ALVAREZ HERNANDEZ</t>
  </si>
  <si>
    <t>AAHT990809FI1</t>
  </si>
  <si>
    <t>AAHT990809MDFLRN03</t>
  </si>
  <si>
    <t>310</t>
  </si>
  <si>
    <t>DANIEL RODRIGUEZ VEGA</t>
  </si>
  <si>
    <t>ROVD970919SI6</t>
  </si>
  <si>
    <t>ROVD790919HJCDGN08</t>
  </si>
  <si>
    <t>311</t>
  </si>
  <si>
    <t>SANDRA SUJEY RODRIGUEZ GONZALEZ</t>
  </si>
  <si>
    <t>ROGS8710228D9</t>
  </si>
  <si>
    <t>ROGS871022MJCDNN00</t>
  </si>
  <si>
    <t>312</t>
  </si>
  <si>
    <t>CEME950131GZ7</t>
  </si>
  <si>
    <t>CEME950131HJCJXD02</t>
  </si>
  <si>
    <t>EGDAR ALEJANDRO CEJA MUÑOZ</t>
  </si>
  <si>
    <t>313</t>
  </si>
  <si>
    <t>EUNICE MIREN HERNANDEZ BARAJAS</t>
  </si>
  <si>
    <t>HEBE970910MA3</t>
  </si>
  <si>
    <t>HEBE970910MJCRRN03</t>
  </si>
  <si>
    <t>FEHA DE INGRESO</t>
  </si>
  <si>
    <t>FECHA DE INGRESO</t>
  </si>
  <si>
    <t>DIRECTOR DE OBRAS PÚBLICAS</t>
  </si>
  <si>
    <t>CARG920319CA1</t>
  </si>
  <si>
    <t>113</t>
  </si>
  <si>
    <t>MA. GUADALUPE CASTRO RAMIREZ</t>
  </si>
  <si>
    <t>CARG920319MJCSMD07</t>
  </si>
  <si>
    <t>314</t>
  </si>
  <si>
    <t>SUELDO  DEL 16 AL30 DE ABRIL DE 2023</t>
  </si>
  <si>
    <t>J NIEVES RAMRIEZ AVELAR</t>
  </si>
  <si>
    <t>SUELDO  DEL 16 AL 30 DE ABRIL DE 2023</t>
  </si>
  <si>
    <t>AERJ860323SE7</t>
  </si>
  <si>
    <t>143</t>
  </si>
  <si>
    <t>AERN860323HJCVMV12</t>
  </si>
  <si>
    <t>CESAR ALBERTO GUZMAN LOPEZ</t>
  </si>
  <si>
    <t>GULC030602HJCZPSA4</t>
  </si>
  <si>
    <t>315</t>
  </si>
  <si>
    <t>GULC030602IR2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</si>
</sst>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  <font>
      <sz val="8"/>
      <name val="Arial"/>
    </font>
    <font>
      <sz val="14"/>
      <color rgb="FF404041"/>
      <name val="Arial"/>
      <family val="2"/>
    </font>
    <font>
      <sz val="14"/>
      <color rgb="FF47474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54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18" fillId="5" borderId="4" xfId="0" applyFont="1" applyFill="1" applyBorder="1"/>
    <xf numFmtId="0" fontId="18" fillId="5" borderId="0" xfId="0" applyFont="1" applyFill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7" fillId="4" borderId="2" xfId="0" applyFont="1" applyFill="1" applyBorder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165" fontId="27" fillId="2" borderId="0" xfId="2" applyNumberFormat="1" applyFont="1" applyFill="1" applyBorder="1" applyAlignment="1" applyProtection="1">
      <alignment horizontal="right"/>
    </xf>
    <xf numFmtId="10" fontId="27" fillId="2" borderId="0" xfId="3" applyNumberFormat="1" applyFont="1" applyFill="1" applyBorder="1" applyAlignment="1" applyProtection="1">
      <alignment horizontal="right"/>
    </xf>
    <xf numFmtId="165" fontId="27" fillId="7" borderId="0" xfId="2" applyNumberFormat="1" applyFont="1" applyFill="1" applyBorder="1" applyAlignment="1" applyProtection="1">
      <alignment horizontal="right"/>
    </xf>
    <xf numFmtId="165" fontId="27" fillId="3" borderId="0" xfId="2" applyNumberFormat="1" applyFont="1" applyFill="1" applyBorder="1" applyAlignment="1" applyProtection="1">
      <alignment horizontal="right"/>
    </xf>
    <xf numFmtId="166" fontId="27" fillId="0" borderId="0" xfId="2" applyNumberFormat="1" applyFont="1" applyBorder="1" applyAlignment="1" applyProtection="1">
      <alignment horizontal="right"/>
      <protection locked="0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6" fontId="29" fillId="0" borderId="4" xfId="2" applyNumberFormat="1" applyFont="1" applyBorder="1" applyAlignment="1" applyProtection="1">
      <alignment horizontal="right"/>
      <protection locked="0"/>
    </xf>
    <xf numFmtId="49" fontId="29" fillId="0" borderId="4" xfId="5" applyNumberFormat="1" applyFont="1" applyBorder="1" applyAlignment="1" applyProtection="1">
      <alignment vertical="center" wrapText="1"/>
      <protection locked="0"/>
    </xf>
    <xf numFmtId="49" fontId="29" fillId="5" borderId="4" xfId="5" applyNumberFormat="1" applyFont="1" applyFill="1" applyBorder="1" applyAlignment="1" applyProtection="1">
      <alignment vertical="center" wrapText="1"/>
      <protection locked="0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165" fontId="29" fillId="5" borderId="4" xfId="2" applyNumberFormat="1" applyFont="1" applyFill="1" applyBorder="1" applyAlignment="1" applyProtection="1">
      <alignment horizontal="right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0" fontId="29" fillId="0" borderId="2" xfId="0" applyFont="1" applyBorder="1"/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5" borderId="2" xfId="5" applyNumberFormat="1" applyFont="1" applyFill="1" applyBorder="1" applyAlignment="1" applyProtection="1">
      <alignment vertical="center" wrapText="1"/>
      <protection locked="0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5" borderId="4" xfId="0" applyFont="1" applyFill="1" applyBorder="1"/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2" fontId="29" fillId="0" borderId="4" xfId="0" applyNumberFormat="1" applyFont="1" applyBorder="1" applyAlignment="1" applyProtection="1">
      <alignment horizontal="left"/>
      <protection locked="0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166" fontId="29" fillId="0" borderId="0" xfId="2" applyNumberFormat="1" applyFont="1" applyBorder="1" applyAlignment="1" applyProtection="1">
      <alignment horizontal="right"/>
      <protection locked="0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166" fontId="29" fillId="5" borderId="4" xfId="2" applyNumberFormat="1" applyFont="1" applyFill="1" applyBorder="1" applyAlignment="1" applyProtection="1">
      <alignment horizontal="right"/>
      <protection locked="0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/>
      <protection locked="0"/>
    </xf>
    <xf numFmtId="14" fontId="29" fillId="0" borderId="4" xfId="5" applyNumberFormat="1" applyFont="1" applyBorder="1" applyAlignment="1" applyProtection="1">
      <alignment horizontal="center" vertical="center" wrapText="1"/>
      <protection locked="0"/>
    </xf>
    <xf numFmtId="14" fontId="29" fillId="0" borderId="4" xfId="0" applyNumberFormat="1" applyFont="1" applyBorder="1" applyAlignment="1" applyProtection="1">
      <alignment horizontal="center"/>
      <protection locked="0"/>
    </xf>
    <xf numFmtId="14" fontId="29" fillId="5" borderId="2" xfId="5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0" applyNumberFormat="1" applyFont="1" applyBorder="1" applyAlignment="1">
      <alignment horizontal="center"/>
    </xf>
    <xf numFmtId="14" fontId="29" fillId="5" borderId="4" xfId="5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/>
      <protection locked="0"/>
    </xf>
    <xf numFmtId="14" fontId="29" fillId="5" borderId="4" xfId="0" applyNumberFormat="1" applyFont="1" applyFill="1" applyBorder="1" applyAlignment="1">
      <alignment horizontal="center"/>
    </xf>
    <xf numFmtId="14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/>
    </xf>
    <xf numFmtId="165" fontId="32" fillId="4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7" borderId="1" xfId="0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 applyProtection="1">
      <alignment horizontal="left"/>
      <protection locked="0"/>
    </xf>
    <xf numFmtId="2" fontId="29" fillId="0" borderId="17" xfId="0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Fill="1" applyBorder="1" applyAlignment="1" applyProtection="1">
      <alignment horizontal="right"/>
    </xf>
    <xf numFmtId="165" fontId="29" fillId="0" borderId="3" xfId="2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Border="1" applyAlignment="1" applyProtection="1">
      <alignment horizontal="right"/>
    </xf>
    <xf numFmtId="165" fontId="29" fillId="2" borderId="3" xfId="2" applyNumberFormat="1" applyFont="1" applyFill="1" applyBorder="1" applyAlignment="1" applyProtection="1">
      <alignment horizontal="right"/>
    </xf>
    <xf numFmtId="10" fontId="29" fillId="2" borderId="3" xfId="3" applyNumberFormat="1" applyFont="1" applyFill="1" applyBorder="1" applyAlignment="1" applyProtection="1">
      <alignment horizontal="right"/>
    </xf>
    <xf numFmtId="166" fontId="29" fillId="0" borderId="3" xfId="2" applyNumberFormat="1" applyFont="1" applyBorder="1" applyAlignment="1" applyProtection="1">
      <alignment horizontal="right"/>
      <protection locked="0"/>
    </xf>
    <xf numFmtId="0" fontId="32" fillId="4" borderId="3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165" fontId="32" fillId="4" borderId="4" xfId="0" applyNumberFormat="1" applyFont="1" applyFill="1" applyBorder="1" applyAlignment="1">
      <alignment horizontal="center"/>
    </xf>
    <xf numFmtId="0" fontId="29" fillId="4" borderId="2" xfId="0" applyFont="1" applyFill="1" applyBorder="1"/>
    <xf numFmtId="0" fontId="32" fillId="7" borderId="4" xfId="0" applyFont="1" applyFill="1" applyBorder="1" applyAlignment="1">
      <alignment horizontal="center"/>
    </xf>
    <xf numFmtId="0" fontId="29" fillId="4" borderId="4" xfId="0" applyFont="1" applyFill="1" applyBorder="1"/>
    <xf numFmtId="9" fontId="29" fillId="0" borderId="0" xfId="0" applyNumberFormat="1" applyFont="1"/>
    <xf numFmtId="1" fontId="32" fillId="0" borderId="4" xfId="2" applyNumberFormat="1" applyFont="1" applyBorder="1" applyAlignment="1" applyProtection="1">
      <alignment horizontal="right"/>
    </xf>
    <xf numFmtId="1" fontId="32" fillId="0" borderId="4" xfId="2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center"/>
    </xf>
    <xf numFmtId="49" fontId="29" fillId="5" borderId="1" xfId="0" applyNumberFormat="1" applyFont="1" applyFill="1" applyBorder="1" applyAlignment="1">
      <alignment horizontal="center"/>
    </xf>
    <xf numFmtId="0" fontId="29" fillId="0" borderId="1" xfId="0" applyFont="1" applyBorder="1" applyAlignment="1" applyProtection="1">
      <alignment horizontal="left"/>
      <protection locked="0"/>
    </xf>
    <xf numFmtId="2" fontId="29" fillId="0" borderId="1" xfId="0" applyNumberFormat="1" applyFont="1" applyBorder="1" applyAlignment="1" applyProtection="1">
      <alignment horizontal="left"/>
      <protection locked="0"/>
    </xf>
    <xf numFmtId="14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33" fillId="0" borderId="3" xfId="0" applyFont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 wrapText="1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49" fontId="29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3" fontId="28" fillId="0" borderId="1" xfId="2" applyFont="1" applyBorder="1" applyAlignment="1" applyProtection="1">
      <alignment horizontal="center"/>
    </xf>
    <xf numFmtId="0" fontId="5" fillId="4" borderId="1" xfId="0" applyFont="1" applyFill="1" applyBorder="1" applyAlignment="1">
      <alignment horizontal="center" wrapText="1"/>
    </xf>
    <xf numFmtId="0" fontId="35" fillId="0" borderId="0" xfId="0" applyFont="1" applyAlignment="1">
      <alignment horizontal="left"/>
    </xf>
    <xf numFmtId="0" fontId="29" fillId="0" borderId="3" xfId="0" applyFont="1" applyBorder="1"/>
    <xf numFmtId="0" fontId="35" fillId="0" borderId="4" xfId="0" applyFont="1" applyBorder="1" applyAlignment="1">
      <alignment horizontal="left"/>
    </xf>
    <xf numFmtId="0" fontId="36" fillId="0" borderId="0" xfId="0" applyFont="1"/>
    <xf numFmtId="0" fontId="9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104262</xdr:colOff>
      <xdr:row>0</xdr:row>
      <xdr:rowOff>5941</xdr:rowOff>
    </xdr:from>
    <xdr:to>
      <xdr:col>3</xdr:col>
      <xdr:colOff>1249983</xdr:colOff>
      <xdr:row>3</xdr:row>
      <xdr:rowOff>46473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85" y="5941"/>
          <a:ext cx="1145721" cy="79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57150</xdr:rowOff>
    </xdr:from>
    <xdr:to>
      <xdr:col>4</xdr:col>
      <xdr:colOff>123184</xdr:colOff>
      <xdr:row>3</xdr:row>
      <xdr:rowOff>92869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28575</xdr:rowOff>
    </xdr:from>
    <xdr:to>
      <xdr:col>3</xdr:col>
      <xdr:colOff>1612446</xdr:colOff>
      <xdr:row>3</xdr:row>
      <xdr:rowOff>95250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8575"/>
          <a:ext cx="114572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38101</xdr:rowOff>
    </xdr:from>
    <xdr:to>
      <xdr:col>3</xdr:col>
      <xdr:colOff>1717221</xdr:colOff>
      <xdr:row>3</xdr:row>
      <xdr:rowOff>120073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8101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571500</xdr:colOff>
      <xdr:row>16</xdr:row>
      <xdr:rowOff>38101</xdr:rowOff>
    </xdr:from>
    <xdr:ext cx="1145721" cy="817995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1405C1DB-CF25-45BB-BAD3-1B31A9B8BB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6955" y="38101"/>
          <a:ext cx="1145721" cy="81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95250</xdr:rowOff>
    </xdr:from>
    <xdr:to>
      <xdr:col>3</xdr:col>
      <xdr:colOff>1593396</xdr:colOff>
      <xdr:row>4</xdr:row>
      <xdr:rowOff>8595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11457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302012</xdr:colOff>
      <xdr:row>21</xdr:row>
      <xdr:rowOff>267164</xdr:rowOff>
    </xdr:from>
    <xdr:to>
      <xdr:col>3</xdr:col>
      <xdr:colOff>1447733</xdr:colOff>
      <xdr:row>24</xdr:row>
      <xdr:rowOff>145660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7225" y="12916829"/>
          <a:ext cx="1145721" cy="80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3</xdr:col>
      <xdr:colOff>1945821</xdr:colOff>
      <xdr:row>3</xdr:row>
      <xdr:rowOff>126845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14300"/>
          <a:ext cx="11457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2506577</xdr:colOff>
      <xdr:row>26</xdr:row>
      <xdr:rowOff>50132</xdr:rowOff>
    </xdr:from>
    <xdr:ext cx="1570791" cy="885658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7CF60062-1025-425F-9099-96B147390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7235" y="17178421"/>
          <a:ext cx="1570791" cy="8856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1250496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1631496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1374321</xdr:colOff>
      <xdr:row>4</xdr:row>
      <xdr:rowOff>142875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0"/>
          <a:ext cx="114572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66675</xdr:rowOff>
    </xdr:from>
    <xdr:to>
      <xdr:col>3</xdr:col>
      <xdr:colOff>1850571</xdr:colOff>
      <xdr:row>3</xdr:row>
      <xdr:rowOff>104775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66675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workbookViewId="0">
      <selection activeCell="I9" sqref="I9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14" t="s">
        <v>240</v>
      </c>
    </row>
    <row r="3" spans="1:9" x14ac:dyDescent="0.25">
      <c r="B3" s="8" t="s">
        <v>47</v>
      </c>
      <c r="C3" s="7"/>
      <c r="D3" s="7"/>
      <c r="E3" s="7"/>
      <c r="F3" s="7"/>
      <c r="G3" s="7"/>
      <c r="I3" s="113">
        <v>207.44</v>
      </c>
    </row>
    <row r="4" spans="1:9" x14ac:dyDescent="0.25">
      <c r="B4" s="19" t="s">
        <v>436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96" t="s">
        <v>10</v>
      </c>
      <c r="C7" s="296"/>
      <c r="D7" s="296"/>
      <c r="E7" s="7"/>
      <c r="F7" s="297" t="s">
        <v>48</v>
      </c>
      <c r="G7" s="298"/>
      <c r="I7" s="114" t="s">
        <v>241</v>
      </c>
    </row>
    <row r="8" spans="1:9" ht="14.25" customHeight="1" x14ac:dyDescent="0.25">
      <c r="B8" s="299" t="s">
        <v>9</v>
      </c>
      <c r="C8" s="299"/>
      <c r="D8" s="299"/>
      <c r="E8" s="7"/>
      <c r="F8" s="300" t="s">
        <v>49</v>
      </c>
      <c r="G8" s="301"/>
      <c r="I8" s="113">
        <v>96.22</v>
      </c>
    </row>
    <row r="9" spans="1:9" ht="8.25" customHeight="1" x14ac:dyDescent="0.25">
      <c r="B9" s="293"/>
      <c r="C9" s="293"/>
      <c r="D9" s="293"/>
      <c r="E9" s="7"/>
      <c r="F9" s="294"/>
      <c r="G9" s="295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407.02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1768.97</v>
      </c>
      <c r="G14" s="20">
        <v>406.83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2653.39</v>
      </c>
      <c r="G15" s="20">
        <v>406.62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3472.85</v>
      </c>
      <c r="G16" s="20">
        <v>392.77</v>
      </c>
    </row>
    <row r="17" spans="1:7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3537.88</v>
      </c>
      <c r="G17" s="20">
        <v>382.46</v>
      </c>
    </row>
    <row r="18" spans="1:7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4446.16</v>
      </c>
      <c r="G18" s="20">
        <v>354.23</v>
      </c>
    </row>
    <row r="19" spans="1:7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4717.1899999999996</v>
      </c>
      <c r="G19" s="20">
        <v>324.87</v>
      </c>
    </row>
    <row r="20" spans="1:7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5335.43</v>
      </c>
      <c r="G20" s="20">
        <v>294.63</v>
      </c>
    </row>
    <row r="21" spans="1:7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6224.68</v>
      </c>
      <c r="G21" s="20">
        <v>253.54</v>
      </c>
    </row>
    <row r="22" spans="1:7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7113.91</v>
      </c>
      <c r="G22" s="20">
        <v>217.61</v>
      </c>
    </row>
    <row r="23" spans="1:7" x14ac:dyDescent="0.25">
      <c r="B23" s="20">
        <v>375975.62</v>
      </c>
      <c r="C23" s="20">
        <v>117912.32000000001</v>
      </c>
      <c r="D23" s="21">
        <v>0.35</v>
      </c>
      <c r="E23" s="7"/>
      <c r="F23" s="20">
        <v>7382.34</v>
      </c>
      <c r="G23" s="20">
        <v>0</v>
      </c>
    </row>
    <row r="24" spans="1:7" x14ac:dyDescent="0.25">
      <c r="B24" s="15"/>
      <c r="C24" s="15"/>
      <c r="D24" s="16"/>
      <c r="E24" s="7"/>
      <c r="F24" s="17"/>
      <c r="G24" s="17"/>
    </row>
    <row r="25" spans="1:7" x14ac:dyDescent="0.25">
      <c r="E25" s="7"/>
      <c r="F25" s="7"/>
      <c r="G25" s="7"/>
    </row>
    <row r="26" spans="1:7" x14ac:dyDescent="0.25">
      <c r="B26" s="7"/>
      <c r="C26" s="7"/>
      <c r="D26" s="7"/>
      <c r="E26" s="7"/>
      <c r="F26" s="7"/>
      <c r="G26" s="7"/>
    </row>
    <row r="27" spans="1:7" x14ac:dyDescent="0.25">
      <c r="B27" s="8" t="s">
        <v>19</v>
      </c>
      <c r="C27" s="7"/>
      <c r="D27" s="7"/>
    </row>
    <row r="28" spans="1:7" ht="15.6" x14ac:dyDescent="0.3">
      <c r="B28" s="18" t="s">
        <v>434</v>
      </c>
      <c r="C28" s="7"/>
      <c r="D28" s="7"/>
    </row>
    <row r="29" spans="1:7" x14ac:dyDescent="0.25">
      <c r="B29" s="32" t="s">
        <v>435</v>
      </c>
      <c r="C29" s="7"/>
      <c r="D29" s="7"/>
    </row>
    <row r="32" spans="1:7" ht="17.25" customHeight="1" x14ac:dyDescent="0.25">
      <c r="B32" s="5" t="s">
        <v>45</v>
      </c>
      <c r="E32" s="7"/>
      <c r="F32" s="297" t="s">
        <v>53</v>
      </c>
      <c r="G32" s="298"/>
    </row>
    <row r="33" spans="2:7" x14ac:dyDescent="0.25">
      <c r="E33" s="7"/>
      <c r="F33" s="300" t="s">
        <v>54</v>
      </c>
      <c r="G33" s="301"/>
    </row>
    <row r="34" spans="2:7" ht="5.25" customHeight="1" x14ac:dyDescent="0.25">
      <c r="E34" s="7"/>
      <c r="F34" s="294"/>
      <c r="G34" s="295"/>
    </row>
    <row r="35" spans="2:7" x14ac:dyDescent="0.25">
      <c r="B35" s="296" t="s">
        <v>10</v>
      </c>
      <c r="C35" s="296"/>
      <c r="D35" s="296"/>
      <c r="E35" s="7"/>
      <c r="F35" s="9" t="s">
        <v>16</v>
      </c>
      <c r="G35" s="9" t="s">
        <v>17</v>
      </c>
    </row>
    <row r="36" spans="2:7" x14ac:dyDescent="0.25">
      <c r="B36" s="299" t="s">
        <v>9</v>
      </c>
      <c r="C36" s="299"/>
      <c r="D36" s="299"/>
      <c r="E36" s="7"/>
      <c r="F36" s="9"/>
      <c r="G36" s="9" t="s">
        <v>18</v>
      </c>
    </row>
    <row r="37" spans="2:7" x14ac:dyDescent="0.25">
      <c r="B37" s="293"/>
      <c r="C37" s="293"/>
      <c r="D37" s="293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200.85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872.86</v>
      </c>
      <c r="G39" s="12">
        <v>200.7</v>
      </c>
    </row>
    <row r="40" spans="2:7" ht="15.9" customHeight="1" x14ac:dyDescent="0.25">
      <c r="B40" s="10"/>
      <c r="C40" s="10"/>
      <c r="D40" s="10"/>
      <c r="E40" s="14"/>
      <c r="F40" s="12">
        <v>1309.21</v>
      </c>
      <c r="G40" s="12">
        <v>200.7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1713.61</v>
      </c>
      <c r="G41" s="12">
        <v>193.8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1745.71</v>
      </c>
      <c r="G42" s="12">
        <v>188.7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2193.7600000000002</v>
      </c>
      <c r="G43" s="12">
        <v>174.75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2327.56</v>
      </c>
      <c r="G44" s="12">
        <v>160.35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2632.66</v>
      </c>
      <c r="G45" s="12">
        <v>145.35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3071.41</v>
      </c>
      <c r="G46" s="12">
        <v>125.1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3510.16</v>
      </c>
      <c r="G47" s="12">
        <v>107.4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3642.61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37:D37"/>
    <mergeCell ref="F34:G34"/>
    <mergeCell ref="B35:D35"/>
    <mergeCell ref="F32:G32"/>
    <mergeCell ref="B36:D36"/>
    <mergeCell ref="F33:G33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opLeftCell="B12" zoomScale="77" zoomScaleNormal="77" workbookViewId="0">
      <selection activeCell="B21" sqref="A21:XFD28"/>
    </sheetView>
  </sheetViews>
  <sheetFormatPr baseColWidth="10" defaultRowHeight="13.2" x14ac:dyDescent="0.25"/>
  <cols>
    <col min="1" max="1" width="4.109375" hidden="1" customWidth="1"/>
    <col min="2" max="2" width="10.5546875" customWidth="1"/>
    <col min="3" max="3" width="8.88671875" customWidth="1"/>
    <col min="4" max="4" width="31" customWidth="1"/>
    <col min="5" max="5" width="23.5546875" customWidth="1"/>
    <col min="6" max="6" width="34" customWidth="1"/>
    <col min="7" max="7" width="16.5546875" customWidth="1"/>
    <col min="8" max="8" width="18.88671875" customWidth="1"/>
    <col min="9" max="9" width="8.33203125" hidden="1" customWidth="1"/>
    <col min="10" max="10" width="0.33203125" hidden="1" customWidth="1"/>
    <col min="11" max="11" width="14.5546875" customWidth="1"/>
    <col min="12" max="12" width="10.109375" customWidth="1"/>
    <col min="13" max="13" width="13.88671875" customWidth="1"/>
    <col min="14" max="14" width="11.44140625" hidden="1" customWidth="1"/>
    <col min="15" max="17" width="16" hidden="1" customWidth="1"/>
    <col min="18" max="23" width="11.44140625" hidden="1" customWidth="1"/>
    <col min="24" max="24" width="9" customWidth="1"/>
    <col min="25" max="25" width="13" customWidth="1"/>
    <col min="26" max="27" width="12.88671875" bestFit="1" customWidth="1"/>
    <col min="28" max="28" width="14.33203125" customWidth="1"/>
    <col min="29" max="29" width="85.5546875" customWidth="1"/>
  </cols>
  <sheetData>
    <row r="1" spans="1:29" ht="17.399999999999999" x14ac:dyDescent="0.3">
      <c r="A1" s="316" t="s">
        <v>78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</row>
    <row r="2" spans="1:29" ht="17.399999999999999" x14ac:dyDescent="0.3">
      <c r="A2" s="316" t="s">
        <v>64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</row>
    <row r="3" spans="1:29" ht="19.8" x14ac:dyDescent="0.3">
      <c r="A3" s="306" t="s">
        <v>477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</row>
    <row r="4" spans="1:29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</row>
    <row r="5" spans="1:29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x14ac:dyDescent="0.25">
      <c r="A6" s="22"/>
      <c r="B6" s="342" t="s">
        <v>101</v>
      </c>
      <c r="C6" s="342" t="s">
        <v>125</v>
      </c>
      <c r="D6" s="22"/>
      <c r="E6" s="22"/>
      <c r="F6" s="22"/>
      <c r="G6" s="22"/>
      <c r="H6" s="22"/>
      <c r="I6" s="23" t="s">
        <v>22</v>
      </c>
      <c r="J6" s="23" t="s">
        <v>5</v>
      </c>
      <c r="K6" s="317" t="s">
        <v>1</v>
      </c>
      <c r="L6" s="318"/>
      <c r="M6" s="319"/>
      <c r="N6" s="24" t="s">
        <v>25</v>
      </c>
      <c r="O6" s="25"/>
      <c r="P6" s="320" t="s">
        <v>8</v>
      </c>
      <c r="Q6" s="321"/>
      <c r="R6" s="321"/>
      <c r="S6" s="321"/>
      <c r="T6" s="321"/>
      <c r="U6" s="322"/>
      <c r="V6" s="24" t="s">
        <v>29</v>
      </c>
      <c r="W6" s="24" t="s">
        <v>9</v>
      </c>
      <c r="X6" s="23" t="s">
        <v>52</v>
      </c>
      <c r="Y6" s="323" t="s">
        <v>2</v>
      </c>
      <c r="Z6" s="324"/>
      <c r="AA6" s="325"/>
      <c r="AB6" s="23" t="s">
        <v>0</v>
      </c>
      <c r="AC6" s="34"/>
    </row>
    <row r="7" spans="1:29" ht="12.75" customHeight="1" x14ac:dyDescent="0.25">
      <c r="A7" s="26" t="s">
        <v>20</v>
      </c>
      <c r="B7" s="343"/>
      <c r="C7" s="343"/>
      <c r="D7" s="26" t="s">
        <v>21</v>
      </c>
      <c r="E7" s="26"/>
      <c r="F7" s="26"/>
      <c r="G7" s="26"/>
      <c r="H7" s="26"/>
      <c r="I7" s="27" t="s">
        <v>23</v>
      </c>
      <c r="J7" s="26" t="s">
        <v>24</v>
      </c>
      <c r="K7" s="23" t="s">
        <v>5</v>
      </c>
      <c r="L7" s="23" t="s">
        <v>58</v>
      </c>
      <c r="M7" s="23" t="s">
        <v>27</v>
      </c>
      <c r="N7" s="28" t="s">
        <v>26</v>
      </c>
      <c r="O7" s="25" t="s">
        <v>31</v>
      </c>
      <c r="P7" s="25" t="s">
        <v>11</v>
      </c>
      <c r="Q7" s="25" t="s">
        <v>33</v>
      </c>
      <c r="R7" s="25" t="s">
        <v>35</v>
      </c>
      <c r="S7" s="25" t="s">
        <v>36</v>
      </c>
      <c r="T7" s="25" t="s">
        <v>13</v>
      </c>
      <c r="U7" s="25" t="s">
        <v>9</v>
      </c>
      <c r="V7" s="28" t="s">
        <v>39</v>
      </c>
      <c r="W7" s="28" t="s">
        <v>40</v>
      </c>
      <c r="X7" s="26" t="s">
        <v>30</v>
      </c>
      <c r="Y7" s="23" t="s">
        <v>433</v>
      </c>
      <c r="Z7" s="23" t="s">
        <v>56</v>
      </c>
      <c r="AA7" s="23" t="s">
        <v>6</v>
      </c>
      <c r="AB7" s="26" t="s">
        <v>3</v>
      </c>
      <c r="AC7" s="36" t="s">
        <v>57</v>
      </c>
    </row>
    <row r="8" spans="1:29" x14ac:dyDescent="0.25">
      <c r="A8" s="29"/>
      <c r="B8" s="344"/>
      <c r="C8" s="344"/>
      <c r="D8" s="29"/>
      <c r="E8" s="29"/>
      <c r="F8" s="29"/>
      <c r="G8" s="29"/>
      <c r="H8" s="29"/>
      <c r="I8" s="29"/>
      <c r="J8" s="29"/>
      <c r="K8" s="29" t="s">
        <v>46</v>
      </c>
      <c r="L8" s="29" t="s">
        <v>59</v>
      </c>
      <c r="M8" s="29" t="s">
        <v>28</v>
      </c>
      <c r="N8" s="30" t="s">
        <v>42</v>
      </c>
      <c r="O8" s="24" t="s">
        <v>32</v>
      </c>
      <c r="P8" s="24" t="s">
        <v>12</v>
      </c>
      <c r="Q8" s="24" t="s">
        <v>34</v>
      </c>
      <c r="R8" s="24" t="s">
        <v>34</v>
      </c>
      <c r="S8" s="24" t="s">
        <v>37</v>
      </c>
      <c r="T8" s="24" t="s">
        <v>14</v>
      </c>
      <c r="U8" s="24" t="s">
        <v>38</v>
      </c>
      <c r="V8" s="28" t="s">
        <v>18</v>
      </c>
      <c r="W8" s="31" t="s">
        <v>41</v>
      </c>
      <c r="X8" s="29" t="s">
        <v>51</v>
      </c>
      <c r="Y8" s="29"/>
      <c r="Z8" s="29" t="s">
        <v>244</v>
      </c>
      <c r="AA8" s="29" t="s">
        <v>43</v>
      </c>
      <c r="AB8" s="29" t="s">
        <v>4</v>
      </c>
      <c r="AC8" s="35"/>
    </row>
    <row r="9" spans="1:29" ht="42" customHeight="1" x14ac:dyDescent="0.3">
      <c r="A9" s="132"/>
      <c r="B9" s="197"/>
      <c r="C9" s="116"/>
      <c r="D9" s="135" t="s">
        <v>126</v>
      </c>
      <c r="E9" s="116" t="s">
        <v>102</v>
      </c>
      <c r="F9" s="116" t="s">
        <v>326</v>
      </c>
      <c r="G9" s="135" t="s">
        <v>468</v>
      </c>
      <c r="H9" s="132" t="s">
        <v>61</v>
      </c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3"/>
      <c r="X9" s="132"/>
      <c r="Y9" s="132"/>
      <c r="Z9" s="132"/>
      <c r="AA9" s="132"/>
      <c r="AB9" s="132"/>
      <c r="AC9" s="41"/>
    </row>
    <row r="10" spans="1:29" s="93" customFormat="1" ht="126" customHeight="1" x14ac:dyDescent="0.3">
      <c r="A10" s="109" t="s">
        <v>85</v>
      </c>
      <c r="B10" s="152" t="s">
        <v>182</v>
      </c>
      <c r="C10" s="199" t="s">
        <v>124</v>
      </c>
      <c r="D10" s="224" t="s">
        <v>166</v>
      </c>
      <c r="E10" s="198" t="s">
        <v>174</v>
      </c>
      <c r="F10" s="198" t="s">
        <v>350</v>
      </c>
      <c r="G10" s="233">
        <v>43374</v>
      </c>
      <c r="H10" s="154" t="s">
        <v>127</v>
      </c>
      <c r="I10" s="156">
        <v>9</v>
      </c>
      <c r="J10" s="157"/>
      <c r="K10" s="158">
        <v>3985</v>
      </c>
      <c r="L10" s="159">
        <v>0</v>
      </c>
      <c r="M10" s="160">
        <f>SUM(K10:L10)</f>
        <v>3985</v>
      </c>
      <c r="N10" s="161">
        <f>IF(K10/15&lt;=SMG,0,L10/2)</f>
        <v>0</v>
      </c>
      <c r="O10" s="161">
        <f t="shared" ref="O10" si="0">K10+N10</f>
        <v>3985</v>
      </c>
      <c r="P10" s="161">
        <f>VLOOKUP(O10,Tarifa1,1)</f>
        <v>3124.36</v>
      </c>
      <c r="Q10" s="161">
        <f t="shared" ref="Q10" si="1">O10-P10</f>
        <v>860.63999999999987</v>
      </c>
      <c r="R10" s="162">
        <f>VLOOKUP(O10,Tarifa1,3)</f>
        <v>0.10879999999999999</v>
      </c>
      <c r="S10" s="161">
        <f t="shared" ref="S10" si="2">Q10*R10</f>
        <v>93.637631999999982</v>
      </c>
      <c r="T10" s="163">
        <f>VLOOKUP(O10,Tarifa1,2)</f>
        <v>183.45</v>
      </c>
      <c r="U10" s="161">
        <f t="shared" ref="U10" si="3">S10+T10</f>
        <v>277.08763199999999</v>
      </c>
      <c r="V10" s="161">
        <f>VLOOKUP(O10,Credito1,2)</f>
        <v>0</v>
      </c>
      <c r="W10" s="161">
        <f t="shared" ref="W10" si="4">ROUND(U10-V10,2)</f>
        <v>277.08999999999997</v>
      </c>
      <c r="X10" s="160">
        <f t="shared" ref="X10" si="5">-IF(W10&gt;0,0,W10)</f>
        <v>0</v>
      </c>
      <c r="Y10" s="160">
        <f>IF(K10/15&lt;=SMG,0,IF(W10&lt;0,0,W10))</f>
        <v>277.08999999999997</v>
      </c>
      <c r="Z10" s="164">
        <v>0</v>
      </c>
      <c r="AA10" s="160">
        <f>SUM(Y10:Z10)</f>
        <v>277.08999999999997</v>
      </c>
      <c r="AB10" s="160">
        <f>M10+X10-AA10</f>
        <v>3707.91</v>
      </c>
      <c r="AC10" s="92"/>
    </row>
    <row r="11" spans="1:29" s="93" customFormat="1" ht="126" customHeight="1" x14ac:dyDescent="0.35">
      <c r="A11" s="169"/>
      <c r="B11" s="191">
        <v>188</v>
      </c>
      <c r="C11" s="199" t="s">
        <v>124</v>
      </c>
      <c r="D11" s="278" t="s">
        <v>183</v>
      </c>
      <c r="E11" s="192" t="s">
        <v>185</v>
      </c>
      <c r="F11" s="192" t="s">
        <v>352</v>
      </c>
      <c r="G11" s="234">
        <v>43389</v>
      </c>
      <c r="H11" s="155" t="s">
        <v>323</v>
      </c>
      <c r="I11" s="156">
        <v>15</v>
      </c>
      <c r="J11" s="157"/>
      <c r="K11" s="158">
        <v>6253</v>
      </c>
      <c r="L11" s="159">
        <v>416.87</v>
      </c>
      <c r="M11" s="158">
        <f>K11</f>
        <v>6253</v>
      </c>
      <c r="N11" s="161">
        <f t="shared" ref="N11" si="6">IF(K11/15&lt;=SMG,0,L11/2)</f>
        <v>208.435</v>
      </c>
      <c r="O11" s="161">
        <f t="shared" ref="O11:O13" si="7">K11+N11</f>
        <v>6461.4350000000004</v>
      </c>
      <c r="P11" s="161">
        <f>VLOOKUP(O11,Tarifa1,1)</f>
        <v>6382.81</v>
      </c>
      <c r="Q11" s="161">
        <f t="shared" ref="Q11:Q13" si="8">O11-P11</f>
        <v>78.625</v>
      </c>
      <c r="R11" s="162">
        <f>VLOOKUP(O11,Tarifa1,3)</f>
        <v>0.1792</v>
      </c>
      <c r="S11" s="161">
        <f t="shared" ref="S11:S13" si="9">Q11*R11</f>
        <v>14.089599999999999</v>
      </c>
      <c r="T11" s="163">
        <f>VLOOKUP(O11,Tarifa1,2)</f>
        <v>583.65</v>
      </c>
      <c r="U11" s="161">
        <f t="shared" ref="U11:U13" si="10">S11+T11</f>
        <v>597.7396</v>
      </c>
      <c r="V11" s="161">
        <f>VLOOKUP(O11,Credito1,2)</f>
        <v>0</v>
      </c>
      <c r="W11" s="161">
        <f t="shared" ref="W11:W13" si="11">ROUND(U11-V11,2)</f>
        <v>597.74</v>
      </c>
      <c r="X11" s="160">
        <f t="shared" ref="X11:X13" si="12">-IF(W11&gt;0,0,W11)</f>
        <v>0</v>
      </c>
      <c r="Y11" s="160">
        <f>IF(K11/15&lt;=SMG,0,IF(W11&lt;0,0,W11))</f>
        <v>597.74</v>
      </c>
      <c r="Z11" s="164">
        <v>0</v>
      </c>
      <c r="AA11" s="160">
        <f>SUM(Y11:Z11)</f>
        <v>597.74</v>
      </c>
      <c r="AB11" s="160">
        <f>M11+X11-AA11+L11</f>
        <v>6072.13</v>
      </c>
      <c r="AC11" s="92"/>
    </row>
    <row r="12" spans="1:29" s="93" customFormat="1" ht="126" customHeight="1" x14ac:dyDescent="0.35">
      <c r="A12" s="200"/>
      <c r="B12" s="153" t="s">
        <v>296</v>
      </c>
      <c r="C12" s="153" t="s">
        <v>124</v>
      </c>
      <c r="D12" s="225" t="s">
        <v>297</v>
      </c>
      <c r="E12" s="165" t="s">
        <v>298</v>
      </c>
      <c r="F12" s="165" t="s">
        <v>356</v>
      </c>
      <c r="G12" s="231">
        <v>43512</v>
      </c>
      <c r="H12" s="154" t="s">
        <v>127</v>
      </c>
      <c r="I12" s="156">
        <v>15</v>
      </c>
      <c r="J12" s="157"/>
      <c r="K12" s="158">
        <v>3985</v>
      </c>
      <c r="L12" s="159">
        <v>0</v>
      </c>
      <c r="M12" s="160">
        <f>SUM(K12:L12)</f>
        <v>3985</v>
      </c>
      <c r="N12" s="161">
        <f>IF(K12/15&lt;=SMG,0,L12/2)</f>
        <v>0</v>
      </c>
      <c r="O12" s="161">
        <f t="shared" si="7"/>
        <v>3985</v>
      </c>
      <c r="P12" s="161">
        <f>VLOOKUP(O12,Tarifa1,1)</f>
        <v>3124.36</v>
      </c>
      <c r="Q12" s="161">
        <f t="shared" si="8"/>
        <v>860.63999999999987</v>
      </c>
      <c r="R12" s="162">
        <f>VLOOKUP(O12,Tarifa1,3)</f>
        <v>0.10879999999999999</v>
      </c>
      <c r="S12" s="161">
        <f t="shared" si="9"/>
        <v>93.637631999999982</v>
      </c>
      <c r="T12" s="163">
        <f>VLOOKUP(O12,Tarifa1,2)</f>
        <v>183.45</v>
      </c>
      <c r="U12" s="161">
        <f t="shared" si="10"/>
        <v>277.08763199999999</v>
      </c>
      <c r="V12" s="161">
        <f>VLOOKUP(O12,Credito1,2)</f>
        <v>0</v>
      </c>
      <c r="W12" s="161">
        <f t="shared" si="11"/>
        <v>277.08999999999997</v>
      </c>
      <c r="X12" s="160">
        <f t="shared" si="12"/>
        <v>0</v>
      </c>
      <c r="Y12" s="160">
        <f>IF(K12/15&lt;=SMG,0,IF(W12&lt;0,0,W12))</f>
        <v>277.08999999999997</v>
      </c>
      <c r="Z12" s="164">
        <v>0</v>
      </c>
      <c r="AA12" s="160">
        <f>SUM(Y12:Z12)</f>
        <v>277.08999999999997</v>
      </c>
      <c r="AB12" s="160">
        <f>M12+X12-AA12</f>
        <v>3707.91</v>
      </c>
      <c r="AC12" s="92"/>
    </row>
    <row r="13" spans="1:29" s="93" customFormat="1" ht="126" customHeight="1" x14ac:dyDescent="0.3">
      <c r="A13" s="200"/>
      <c r="B13" s="191">
        <v>284</v>
      </c>
      <c r="C13" s="153" t="s">
        <v>124</v>
      </c>
      <c r="D13" s="226" t="s">
        <v>288</v>
      </c>
      <c r="E13" s="198" t="s">
        <v>289</v>
      </c>
      <c r="F13" s="198" t="s">
        <v>381</v>
      </c>
      <c r="G13" s="233">
        <v>44473</v>
      </c>
      <c r="H13" s="154" t="s">
        <v>127</v>
      </c>
      <c r="I13" s="156">
        <v>15</v>
      </c>
      <c r="J13" s="157"/>
      <c r="K13" s="158">
        <v>3985</v>
      </c>
      <c r="L13" s="159">
        <v>0</v>
      </c>
      <c r="M13" s="160">
        <f>SUM(K13:L13)</f>
        <v>3985</v>
      </c>
      <c r="N13" s="161">
        <f>IF(K13/15&lt;=SMG,0,L13/2)</f>
        <v>0</v>
      </c>
      <c r="O13" s="161">
        <f t="shared" si="7"/>
        <v>3985</v>
      </c>
      <c r="P13" s="161">
        <f>VLOOKUP(O13,Tarifa1,1)</f>
        <v>3124.36</v>
      </c>
      <c r="Q13" s="161">
        <f t="shared" si="8"/>
        <v>860.63999999999987</v>
      </c>
      <c r="R13" s="162">
        <f>VLOOKUP(O13,Tarifa1,3)</f>
        <v>0.10879999999999999</v>
      </c>
      <c r="S13" s="161">
        <f t="shared" si="9"/>
        <v>93.637631999999982</v>
      </c>
      <c r="T13" s="163">
        <f>VLOOKUP(O13,Tarifa1,2)</f>
        <v>183.45</v>
      </c>
      <c r="U13" s="161">
        <f t="shared" si="10"/>
        <v>277.08763199999999</v>
      </c>
      <c r="V13" s="161">
        <f>VLOOKUP(O13,Credito1,2)</f>
        <v>0</v>
      </c>
      <c r="W13" s="161">
        <f t="shared" si="11"/>
        <v>277.08999999999997</v>
      </c>
      <c r="X13" s="160">
        <f t="shared" si="12"/>
        <v>0</v>
      </c>
      <c r="Y13" s="160">
        <f>IF(K13/15&lt;=SMG,0,IF(W13&lt;0,0,W13))</f>
        <v>277.08999999999997</v>
      </c>
      <c r="Z13" s="164">
        <v>0</v>
      </c>
      <c r="AA13" s="160">
        <f>SUM(Y13:Z13)</f>
        <v>277.08999999999997</v>
      </c>
      <c r="AB13" s="160">
        <f>M13+X13-AA13</f>
        <v>3707.91</v>
      </c>
      <c r="AC13" s="92"/>
    </row>
    <row r="14" spans="1:29" ht="17.399999999999999" x14ac:dyDescent="0.3">
      <c r="A14" s="180"/>
      <c r="B14" s="180"/>
      <c r="C14" s="180"/>
      <c r="D14" s="180"/>
      <c r="E14" s="180"/>
      <c r="F14" s="180"/>
      <c r="G14" s="180"/>
      <c r="H14" s="180"/>
      <c r="I14" s="181"/>
      <c r="J14" s="180"/>
      <c r="K14" s="182"/>
      <c r="L14" s="182"/>
      <c r="M14" s="182"/>
      <c r="N14" s="183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</row>
    <row r="15" spans="1:29" ht="45" customHeight="1" thickBot="1" x14ac:dyDescent="0.35">
      <c r="A15" s="302" t="s">
        <v>44</v>
      </c>
      <c r="B15" s="303"/>
      <c r="C15" s="303"/>
      <c r="D15" s="303"/>
      <c r="E15" s="303"/>
      <c r="F15" s="303"/>
      <c r="G15" s="303"/>
      <c r="H15" s="303"/>
      <c r="I15" s="303"/>
      <c r="J15" s="304"/>
      <c r="K15" s="167">
        <f t="shared" ref="K15:AB15" si="13">SUM(K10:K14)</f>
        <v>18208</v>
      </c>
      <c r="L15" s="167">
        <f t="shared" si="13"/>
        <v>416.87</v>
      </c>
      <c r="M15" s="167">
        <f t="shared" si="13"/>
        <v>18208</v>
      </c>
      <c r="N15" s="168">
        <f t="shared" si="13"/>
        <v>208.435</v>
      </c>
      <c r="O15" s="168">
        <f t="shared" si="13"/>
        <v>18416.435000000001</v>
      </c>
      <c r="P15" s="168">
        <f t="shared" si="13"/>
        <v>15755.890000000001</v>
      </c>
      <c r="Q15" s="168">
        <f t="shared" si="13"/>
        <v>2660.5449999999996</v>
      </c>
      <c r="R15" s="168">
        <f t="shared" si="13"/>
        <v>0.50559999999999994</v>
      </c>
      <c r="S15" s="168">
        <f t="shared" si="13"/>
        <v>295.00249599999995</v>
      </c>
      <c r="T15" s="168">
        <f t="shared" si="13"/>
        <v>1134</v>
      </c>
      <c r="U15" s="168">
        <f t="shared" si="13"/>
        <v>1429.0024959999998</v>
      </c>
      <c r="V15" s="168">
        <f t="shared" si="13"/>
        <v>0</v>
      </c>
      <c r="W15" s="168">
        <f t="shared" si="13"/>
        <v>1429.0099999999998</v>
      </c>
      <c r="X15" s="167">
        <f t="shared" si="13"/>
        <v>0</v>
      </c>
      <c r="Y15" s="167">
        <f t="shared" si="13"/>
        <v>1429.0099999999998</v>
      </c>
      <c r="Z15" s="167">
        <f t="shared" si="13"/>
        <v>0</v>
      </c>
      <c r="AA15" s="167">
        <f t="shared" si="13"/>
        <v>1429.0099999999998</v>
      </c>
      <c r="AB15" s="167">
        <f t="shared" si="13"/>
        <v>17195.86</v>
      </c>
    </row>
    <row r="16" spans="1:29" ht="13.8" thickTop="1" x14ac:dyDescent="0.25"/>
  </sheetData>
  <mergeCells count="9">
    <mergeCell ref="Y6:AA6"/>
    <mergeCell ref="A15:J15"/>
    <mergeCell ref="A1:AC1"/>
    <mergeCell ref="A2:AC2"/>
    <mergeCell ref="A3:AC3"/>
    <mergeCell ref="K6:M6"/>
    <mergeCell ref="P6:U6"/>
    <mergeCell ref="B6:B8"/>
    <mergeCell ref="C6:C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0:G10 D12:G13"/>
  </dataValidation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opLeftCell="B20" zoomScale="68" zoomScaleNormal="68" workbookViewId="0">
      <selection activeCell="B26" sqref="A26:XFD33"/>
    </sheetView>
  </sheetViews>
  <sheetFormatPr baseColWidth="10" defaultColWidth="11.44140625" defaultRowHeight="13.2" x14ac:dyDescent="0.25"/>
  <cols>
    <col min="1" max="1" width="5.5546875" style="67" hidden="1" customWidth="1"/>
    <col min="2" max="2" width="10.5546875" style="67" customWidth="1"/>
    <col min="3" max="3" width="9" style="67" customWidth="1"/>
    <col min="4" max="4" width="15.33203125" style="67" customWidth="1"/>
    <col min="5" max="5" width="22" style="67" customWidth="1"/>
    <col min="6" max="6" width="11.33203125" style="67" hidden="1" customWidth="1"/>
    <col min="7" max="7" width="17.5546875" style="67" customWidth="1"/>
    <col min="8" max="8" width="14" style="67" customWidth="1"/>
    <col min="9" max="9" width="15.44140625" style="67" customWidth="1"/>
    <col min="10" max="10" width="12.6640625" style="67" hidden="1" customWidth="1"/>
    <col min="11" max="11" width="13.109375" style="67" hidden="1" customWidth="1"/>
    <col min="12" max="12" width="14.44140625" style="67" hidden="1" customWidth="1"/>
    <col min="13" max="13" width="15" style="67" hidden="1" customWidth="1"/>
    <col min="14" max="14" width="11" style="67" hidden="1" customWidth="1"/>
    <col min="15" max="16" width="13.109375" style="67" hidden="1" customWidth="1"/>
    <col min="17" max="17" width="15.44140625" style="67" hidden="1" customWidth="1"/>
    <col min="18" max="18" width="10.44140625" style="67" hidden="1" customWidth="1"/>
    <col min="19" max="19" width="13.109375" style="67" hidden="1" customWidth="1"/>
    <col min="20" max="20" width="11.5546875" style="67" customWidth="1"/>
    <col min="21" max="21" width="15.5546875" style="67" customWidth="1"/>
    <col min="22" max="22" width="13.109375" style="67" customWidth="1"/>
    <col min="23" max="23" width="15.88671875" style="67" customWidth="1"/>
    <col min="24" max="24" width="15.44140625" style="67" customWidth="1"/>
    <col min="25" max="25" width="71" style="67" customWidth="1"/>
    <col min="26" max="26" width="73.44140625" style="67" customWidth="1"/>
    <col min="27" max="16384" width="11.44140625" style="67"/>
  </cols>
  <sheetData>
    <row r="1" spans="1:27" ht="17.399999999999999" x14ac:dyDescent="0.3">
      <c r="A1" s="316" t="s">
        <v>77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4"/>
    </row>
    <row r="2" spans="1:27" ht="17.399999999999999" x14ac:dyDescent="0.3">
      <c r="A2" s="316" t="s">
        <v>64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4"/>
    </row>
    <row r="3" spans="1:27" ht="19.8" x14ac:dyDescent="0.3">
      <c r="A3" s="42" t="s">
        <v>222</v>
      </c>
      <c r="B3" s="306" t="s">
        <v>477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206"/>
      <c r="AA3" s="206"/>
    </row>
    <row r="4" spans="1:27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"/>
    </row>
    <row r="5" spans="1:27" x14ac:dyDescent="0.25">
      <c r="A5" s="22"/>
      <c r="B5" s="22"/>
      <c r="C5" s="22"/>
      <c r="D5" s="22"/>
      <c r="E5" s="22"/>
      <c r="F5" s="23" t="s">
        <v>22</v>
      </c>
      <c r="G5" s="317" t="s">
        <v>1</v>
      </c>
      <c r="H5" s="318"/>
      <c r="I5" s="319"/>
      <c r="J5" s="24" t="s">
        <v>25</v>
      </c>
      <c r="K5" s="25"/>
      <c r="L5" s="320" t="s">
        <v>8</v>
      </c>
      <c r="M5" s="321"/>
      <c r="N5" s="321"/>
      <c r="O5" s="321"/>
      <c r="P5" s="321"/>
      <c r="Q5" s="322"/>
      <c r="R5" s="24" t="s">
        <v>29</v>
      </c>
      <c r="S5" s="24" t="s">
        <v>9</v>
      </c>
      <c r="T5" s="23" t="s">
        <v>52</v>
      </c>
      <c r="U5" s="323" t="s">
        <v>2</v>
      </c>
      <c r="V5" s="324"/>
      <c r="W5" s="325"/>
      <c r="X5" s="23" t="s">
        <v>0</v>
      </c>
      <c r="Y5" s="103"/>
      <c r="Z5" s="4"/>
    </row>
    <row r="6" spans="1:27" ht="32.25" customHeight="1" x14ac:dyDescent="0.25">
      <c r="A6" s="26" t="s">
        <v>20</v>
      </c>
      <c r="B6" s="44" t="s">
        <v>101</v>
      </c>
      <c r="C6" s="44" t="s">
        <v>125</v>
      </c>
      <c r="D6" s="26"/>
      <c r="E6" s="26"/>
      <c r="F6" s="27" t="s">
        <v>23</v>
      </c>
      <c r="G6" s="23" t="s">
        <v>5</v>
      </c>
      <c r="H6" s="23" t="s">
        <v>58</v>
      </c>
      <c r="I6" s="23" t="s">
        <v>27</v>
      </c>
      <c r="J6" s="28" t="s">
        <v>26</v>
      </c>
      <c r="K6" s="25" t="s">
        <v>31</v>
      </c>
      <c r="L6" s="25" t="s">
        <v>11</v>
      </c>
      <c r="M6" s="25" t="s">
        <v>33</v>
      </c>
      <c r="N6" s="25" t="s">
        <v>35</v>
      </c>
      <c r="O6" s="25" t="s">
        <v>36</v>
      </c>
      <c r="P6" s="25" t="s">
        <v>13</v>
      </c>
      <c r="Q6" s="25" t="s">
        <v>9</v>
      </c>
      <c r="R6" s="28" t="s">
        <v>39</v>
      </c>
      <c r="S6" s="28" t="s">
        <v>40</v>
      </c>
      <c r="T6" s="26" t="s">
        <v>30</v>
      </c>
      <c r="U6" s="23" t="s">
        <v>433</v>
      </c>
      <c r="V6" s="23" t="s">
        <v>56</v>
      </c>
      <c r="W6" s="23" t="s">
        <v>6</v>
      </c>
      <c r="X6" s="26" t="s">
        <v>3</v>
      </c>
      <c r="Y6" s="36" t="s">
        <v>57</v>
      </c>
      <c r="Z6" s="4"/>
    </row>
    <row r="7" spans="1:27" x14ac:dyDescent="0.25">
      <c r="A7" s="29"/>
      <c r="B7" s="26"/>
      <c r="C7" s="26"/>
      <c r="D7" s="26"/>
      <c r="E7" s="26"/>
      <c r="F7" s="26"/>
      <c r="G7" s="26" t="s">
        <v>46</v>
      </c>
      <c r="H7" s="26" t="s">
        <v>59</v>
      </c>
      <c r="I7" s="26" t="s">
        <v>28</v>
      </c>
      <c r="J7" s="28" t="s">
        <v>42</v>
      </c>
      <c r="K7" s="24" t="s">
        <v>32</v>
      </c>
      <c r="L7" s="24" t="s">
        <v>12</v>
      </c>
      <c r="M7" s="24" t="s">
        <v>34</v>
      </c>
      <c r="N7" s="24" t="s">
        <v>34</v>
      </c>
      <c r="O7" s="24" t="s">
        <v>37</v>
      </c>
      <c r="P7" s="24" t="s">
        <v>14</v>
      </c>
      <c r="Q7" s="24" t="s">
        <v>38</v>
      </c>
      <c r="R7" s="28" t="s">
        <v>18</v>
      </c>
      <c r="S7" s="31" t="s">
        <v>139</v>
      </c>
      <c r="T7" s="26" t="s">
        <v>51</v>
      </c>
      <c r="U7" s="26"/>
      <c r="V7" s="26"/>
      <c r="W7" s="26" t="s">
        <v>43</v>
      </c>
      <c r="X7" s="26" t="s">
        <v>4</v>
      </c>
      <c r="Y7" s="104"/>
      <c r="Z7" s="4"/>
    </row>
    <row r="8" spans="1:27" ht="28.5" customHeight="1" x14ac:dyDescent="0.25">
      <c r="A8" s="39"/>
      <c r="B8" s="102"/>
      <c r="C8" s="102"/>
      <c r="D8" s="100" t="s">
        <v>468</v>
      </c>
      <c r="E8" s="37" t="s">
        <v>61</v>
      </c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98"/>
      <c r="Z8" s="4"/>
    </row>
    <row r="9" spans="1:27" ht="77.099999999999994" customHeight="1" x14ac:dyDescent="0.3">
      <c r="A9" s="109" t="s">
        <v>83</v>
      </c>
      <c r="B9" s="153" t="s">
        <v>148</v>
      </c>
      <c r="C9" s="153" t="s">
        <v>124</v>
      </c>
      <c r="D9" s="237">
        <v>43101</v>
      </c>
      <c r="E9" s="154" t="s">
        <v>66</v>
      </c>
      <c r="F9" s="156">
        <v>15</v>
      </c>
      <c r="G9" s="158">
        <v>10293</v>
      </c>
      <c r="H9" s="159">
        <v>1372.4</v>
      </c>
      <c r="I9" s="160">
        <f t="shared" ref="I9:I15" si="0">SUM(G9:H9)</f>
        <v>11665.4</v>
      </c>
      <c r="J9" s="161">
        <f t="shared" ref="J9:J16" si="1">IF(G9/15&lt;=SMG,0,H9/2)</f>
        <v>686.2</v>
      </c>
      <c r="K9" s="161">
        <f t="shared" ref="K9" si="2">G9+J9</f>
        <v>10979.2</v>
      </c>
      <c r="L9" s="161">
        <f t="shared" ref="L9:L22" si="3">VLOOKUP(K9,Tarifa1,1)</f>
        <v>7641.91</v>
      </c>
      <c r="M9" s="161">
        <f>K9-L9</f>
        <v>3337.2900000000009</v>
      </c>
      <c r="N9" s="162">
        <f t="shared" ref="N9:N22" si="4">VLOOKUP(K9,Tarifa1,3)</f>
        <v>0.21360000000000001</v>
      </c>
      <c r="O9" s="161">
        <f>M9*N9</f>
        <v>712.84514400000023</v>
      </c>
      <c r="P9" s="163">
        <f t="shared" ref="P9:P22" si="5">VLOOKUP(K9,Tarifa1,2)</f>
        <v>809.25</v>
      </c>
      <c r="Q9" s="161">
        <f>O9+P9</f>
        <v>1522.0951440000003</v>
      </c>
      <c r="R9" s="161">
        <f t="shared" ref="R9:R22" si="6">VLOOKUP(K9,Credito1,2)</f>
        <v>0</v>
      </c>
      <c r="S9" s="161">
        <f>ROUND(Q9-R9,2)</f>
        <v>1522.1</v>
      </c>
      <c r="T9" s="160">
        <f>-IF(S9&gt;0,0,S9)</f>
        <v>0</v>
      </c>
      <c r="U9" s="160">
        <f t="shared" ref="U9:U22" si="7">IF(G9/15&lt;=SMG,0,IF(S9&lt;0,0,S9))</f>
        <v>1522.1</v>
      </c>
      <c r="V9" s="164">
        <v>1500</v>
      </c>
      <c r="W9" s="160">
        <f t="shared" ref="W9:W10" si="8">SUM(U9:V9)</f>
        <v>3022.1</v>
      </c>
      <c r="X9" s="160">
        <f>I9+T9-W9</f>
        <v>8643.2999999999993</v>
      </c>
      <c r="Y9" s="88"/>
      <c r="Z9" s="4"/>
    </row>
    <row r="10" spans="1:27" s="93" customFormat="1" ht="77.099999999999994" customHeight="1" x14ac:dyDescent="0.3">
      <c r="A10" s="109"/>
      <c r="B10" s="153" t="s">
        <v>221</v>
      </c>
      <c r="C10" s="153" t="s">
        <v>124</v>
      </c>
      <c r="D10" s="237">
        <v>43739</v>
      </c>
      <c r="E10" s="154" t="s">
        <v>79</v>
      </c>
      <c r="F10" s="156">
        <v>15</v>
      </c>
      <c r="G10" s="158">
        <v>8409</v>
      </c>
      <c r="H10" s="159">
        <v>0</v>
      </c>
      <c r="I10" s="160">
        <f t="shared" si="0"/>
        <v>8409</v>
      </c>
      <c r="J10" s="161">
        <f t="shared" si="1"/>
        <v>0</v>
      </c>
      <c r="K10" s="161">
        <f t="shared" ref="K10:K16" si="9">G10+J10</f>
        <v>8409</v>
      </c>
      <c r="L10" s="161">
        <f t="shared" si="3"/>
        <v>7641.91</v>
      </c>
      <c r="M10" s="161">
        <f t="shared" ref="M10:M22" si="10">K10-L10</f>
        <v>767.09000000000015</v>
      </c>
      <c r="N10" s="162">
        <f t="shared" si="4"/>
        <v>0.21360000000000001</v>
      </c>
      <c r="O10" s="161">
        <f t="shared" ref="O10:O22" si="11">M10*N10</f>
        <v>163.85042400000003</v>
      </c>
      <c r="P10" s="163">
        <f t="shared" si="5"/>
        <v>809.25</v>
      </c>
      <c r="Q10" s="161">
        <f t="shared" ref="Q10:Q22" si="12">O10+P10</f>
        <v>973.10042399999998</v>
      </c>
      <c r="R10" s="161">
        <f t="shared" si="6"/>
        <v>0</v>
      </c>
      <c r="S10" s="161">
        <f t="shared" ref="S10:S22" si="13">ROUND(Q10-R10,2)</f>
        <v>973.1</v>
      </c>
      <c r="T10" s="160">
        <f t="shared" ref="T10:T22" si="14">-IF(S10&gt;0,0,S10)</f>
        <v>0</v>
      </c>
      <c r="U10" s="160">
        <f t="shared" si="7"/>
        <v>973.1</v>
      </c>
      <c r="V10" s="164">
        <v>1500</v>
      </c>
      <c r="W10" s="160">
        <f t="shared" si="8"/>
        <v>2473.1</v>
      </c>
      <c r="X10" s="160">
        <f t="shared" ref="X10:X15" si="15">I10+T10-W10</f>
        <v>5935.9</v>
      </c>
      <c r="Y10" s="88"/>
      <c r="Z10" s="4"/>
    </row>
    <row r="11" spans="1:27" s="93" customFormat="1" ht="77.099999999999994" customHeight="1" x14ac:dyDescent="0.3">
      <c r="A11" s="200"/>
      <c r="B11" s="153" t="s">
        <v>208</v>
      </c>
      <c r="C11" s="153" t="s">
        <v>124</v>
      </c>
      <c r="D11" s="237">
        <v>43601</v>
      </c>
      <c r="E11" s="155" t="s">
        <v>79</v>
      </c>
      <c r="F11" s="156">
        <v>15</v>
      </c>
      <c r="G11" s="158">
        <v>8409</v>
      </c>
      <c r="H11" s="159">
        <v>1121.2</v>
      </c>
      <c r="I11" s="160">
        <f t="shared" ref="I11:I12" si="16">SUM(G11:H11)</f>
        <v>9530.2000000000007</v>
      </c>
      <c r="J11" s="161">
        <f t="shared" ref="J11:J12" si="17">IF(G11/15&lt;=SMG,0,H11/2)</f>
        <v>560.6</v>
      </c>
      <c r="K11" s="161">
        <f t="shared" ref="K11:K12" si="18">G11+J11</f>
        <v>8969.6</v>
      </c>
      <c r="L11" s="161">
        <f t="shared" si="3"/>
        <v>7641.91</v>
      </c>
      <c r="M11" s="161">
        <f t="shared" si="10"/>
        <v>1327.6900000000005</v>
      </c>
      <c r="N11" s="162">
        <f t="shared" si="4"/>
        <v>0.21360000000000001</v>
      </c>
      <c r="O11" s="161">
        <f t="shared" si="11"/>
        <v>283.59458400000011</v>
      </c>
      <c r="P11" s="163">
        <f t="shared" si="5"/>
        <v>809.25</v>
      </c>
      <c r="Q11" s="161">
        <f t="shared" si="12"/>
        <v>1092.8445840000002</v>
      </c>
      <c r="R11" s="161">
        <f t="shared" si="6"/>
        <v>0</v>
      </c>
      <c r="S11" s="161">
        <f t="shared" si="13"/>
        <v>1092.8399999999999</v>
      </c>
      <c r="T11" s="160">
        <f t="shared" si="14"/>
        <v>0</v>
      </c>
      <c r="U11" s="160">
        <f t="shared" si="7"/>
        <v>1092.8399999999999</v>
      </c>
      <c r="V11" s="164">
        <v>0</v>
      </c>
      <c r="W11" s="160">
        <f t="shared" ref="W11:W12" si="19">SUM(U11:V11)</f>
        <v>1092.8399999999999</v>
      </c>
      <c r="X11" s="160">
        <f t="shared" ref="X11:X12" si="20">I11+T11-W11</f>
        <v>8437.36</v>
      </c>
      <c r="Y11" s="88"/>
      <c r="Z11" s="4"/>
    </row>
    <row r="12" spans="1:27" s="93" customFormat="1" ht="77.099999999999994" customHeight="1" x14ac:dyDescent="0.3">
      <c r="A12" s="200"/>
      <c r="B12" s="153" t="s">
        <v>228</v>
      </c>
      <c r="C12" s="153" t="s">
        <v>124</v>
      </c>
      <c r="D12" s="237">
        <v>43937</v>
      </c>
      <c r="E12" s="155" t="s">
        <v>388</v>
      </c>
      <c r="F12" s="156">
        <v>15</v>
      </c>
      <c r="G12" s="158">
        <v>8016</v>
      </c>
      <c r="H12" s="159">
        <v>1068.8</v>
      </c>
      <c r="I12" s="160">
        <f t="shared" si="16"/>
        <v>9084.7999999999993</v>
      </c>
      <c r="J12" s="161">
        <f t="shared" si="17"/>
        <v>534.4</v>
      </c>
      <c r="K12" s="161">
        <f t="shared" si="18"/>
        <v>8550.4</v>
      </c>
      <c r="L12" s="161">
        <f t="shared" ref="L12" si="21">VLOOKUP(K12,Tarifa1,1)</f>
        <v>7641.91</v>
      </c>
      <c r="M12" s="161">
        <f t="shared" ref="M12" si="22">K12-L12</f>
        <v>908.48999999999978</v>
      </c>
      <c r="N12" s="162">
        <f t="shared" ref="N12" si="23">VLOOKUP(K12,Tarifa1,3)</f>
        <v>0.21360000000000001</v>
      </c>
      <c r="O12" s="161">
        <f t="shared" ref="O12" si="24">M12*N12</f>
        <v>194.05346399999996</v>
      </c>
      <c r="P12" s="163">
        <f t="shared" ref="P12" si="25">VLOOKUP(K12,Tarifa1,2)</f>
        <v>809.25</v>
      </c>
      <c r="Q12" s="161">
        <f t="shared" ref="Q12" si="26">O12+P12</f>
        <v>1003.303464</v>
      </c>
      <c r="R12" s="161">
        <f t="shared" ref="R12" si="27">VLOOKUP(K12,Credito1,2)</f>
        <v>0</v>
      </c>
      <c r="S12" s="161">
        <f t="shared" ref="S12" si="28">ROUND(Q12-R12,2)</f>
        <v>1003.3</v>
      </c>
      <c r="T12" s="160">
        <f t="shared" ref="T12" si="29">-IF(S12&gt;0,0,S12)</f>
        <v>0</v>
      </c>
      <c r="U12" s="160">
        <f t="shared" ref="U12" si="30">IF(G12/15&lt;=SMG,0,IF(S12&lt;0,0,S12))</f>
        <v>1003.3</v>
      </c>
      <c r="V12" s="164">
        <v>0</v>
      </c>
      <c r="W12" s="160">
        <f t="shared" si="19"/>
        <v>1003.3</v>
      </c>
      <c r="X12" s="160">
        <f t="shared" si="20"/>
        <v>8081.4999999999991</v>
      </c>
      <c r="Y12" s="88"/>
      <c r="Z12" s="4"/>
    </row>
    <row r="13" spans="1:27" s="93" customFormat="1" ht="77.099999999999994" customHeight="1" x14ac:dyDescent="0.3">
      <c r="A13" s="200"/>
      <c r="B13" s="153" t="s">
        <v>259</v>
      </c>
      <c r="C13" s="153" t="s">
        <v>124</v>
      </c>
      <c r="D13" s="237">
        <v>44470</v>
      </c>
      <c r="E13" s="155" t="s">
        <v>388</v>
      </c>
      <c r="F13" s="156">
        <v>15</v>
      </c>
      <c r="G13" s="158">
        <v>8016</v>
      </c>
      <c r="H13" s="159">
        <v>0</v>
      </c>
      <c r="I13" s="160">
        <f t="shared" ref="I13:I14" si="31">SUM(G13:H13)</f>
        <v>8016</v>
      </c>
      <c r="J13" s="161">
        <f t="shared" ref="J13:J14" si="32">IF(G13/15&lt;=SMG,0,H13/2)</f>
        <v>0</v>
      </c>
      <c r="K13" s="161">
        <f t="shared" ref="K13:K14" si="33">G13+J13</f>
        <v>8016</v>
      </c>
      <c r="L13" s="161">
        <f t="shared" si="3"/>
        <v>7641.91</v>
      </c>
      <c r="M13" s="161">
        <f t="shared" si="10"/>
        <v>374.09000000000015</v>
      </c>
      <c r="N13" s="162">
        <f t="shared" si="4"/>
        <v>0.21360000000000001</v>
      </c>
      <c r="O13" s="161">
        <f t="shared" si="11"/>
        <v>79.905624000000032</v>
      </c>
      <c r="P13" s="163">
        <f t="shared" si="5"/>
        <v>809.25</v>
      </c>
      <c r="Q13" s="161">
        <f t="shared" si="12"/>
        <v>889.15562399999999</v>
      </c>
      <c r="R13" s="161">
        <f t="shared" si="6"/>
        <v>0</v>
      </c>
      <c r="S13" s="161">
        <f t="shared" si="13"/>
        <v>889.16</v>
      </c>
      <c r="T13" s="160">
        <f t="shared" si="14"/>
        <v>0</v>
      </c>
      <c r="U13" s="160">
        <f t="shared" si="7"/>
        <v>889.16</v>
      </c>
      <c r="V13" s="164">
        <v>0</v>
      </c>
      <c r="W13" s="160">
        <f t="shared" ref="W13" si="34">SUM(U13:V13)</f>
        <v>889.16</v>
      </c>
      <c r="X13" s="160">
        <f t="shared" ref="X13:X14" si="35">I13+T13-W13</f>
        <v>7126.84</v>
      </c>
      <c r="Y13" s="88"/>
      <c r="Z13" s="4"/>
    </row>
    <row r="14" spans="1:27" s="93" customFormat="1" ht="77.099999999999994" customHeight="1" x14ac:dyDescent="0.3">
      <c r="A14" s="200"/>
      <c r="B14" s="153" t="s">
        <v>216</v>
      </c>
      <c r="C14" s="153" t="s">
        <v>124</v>
      </c>
      <c r="D14" s="237">
        <v>43617</v>
      </c>
      <c r="E14" s="155" t="s">
        <v>80</v>
      </c>
      <c r="F14" s="156">
        <v>15</v>
      </c>
      <c r="G14" s="158">
        <v>7623</v>
      </c>
      <c r="H14" s="159">
        <v>1016.4</v>
      </c>
      <c r="I14" s="160">
        <f t="shared" si="31"/>
        <v>8639.4</v>
      </c>
      <c r="J14" s="161">
        <f t="shared" si="32"/>
        <v>508.2</v>
      </c>
      <c r="K14" s="161">
        <f t="shared" si="33"/>
        <v>8131.2</v>
      </c>
      <c r="L14" s="161">
        <f t="shared" ref="L14" si="36">VLOOKUP(K14,Tarifa1,1)</f>
        <v>7641.91</v>
      </c>
      <c r="M14" s="161">
        <f t="shared" ref="M14" si="37">K14-L14</f>
        <v>489.28999999999996</v>
      </c>
      <c r="N14" s="162">
        <f t="shared" ref="N14" si="38">VLOOKUP(K14,Tarifa1,3)</f>
        <v>0.21360000000000001</v>
      </c>
      <c r="O14" s="161">
        <f t="shared" ref="O14" si="39">M14*N14</f>
        <v>104.512344</v>
      </c>
      <c r="P14" s="163">
        <f t="shared" ref="P14" si="40">VLOOKUP(K14,Tarifa1,2)</f>
        <v>809.25</v>
      </c>
      <c r="Q14" s="161">
        <f t="shared" ref="Q14" si="41">O14+P14</f>
        <v>913.76234399999998</v>
      </c>
      <c r="R14" s="161">
        <f t="shared" ref="R14" si="42">VLOOKUP(K14,Credito1,2)</f>
        <v>0</v>
      </c>
      <c r="S14" s="161">
        <f t="shared" ref="S14" si="43">ROUND(Q14-R14,2)</f>
        <v>913.76</v>
      </c>
      <c r="T14" s="160">
        <f t="shared" ref="T14" si="44">-IF(S14&gt;0,0,S14)</f>
        <v>0</v>
      </c>
      <c r="U14" s="160">
        <f t="shared" ref="U14" si="45">IF(G14/15&lt;=SMG,0,IF(S14&lt;0,0,S14))</f>
        <v>913.76</v>
      </c>
      <c r="V14" s="164">
        <v>0</v>
      </c>
      <c r="W14" s="160">
        <f t="shared" ref="W14" si="46">SUM(U14:V14)</f>
        <v>913.76</v>
      </c>
      <c r="X14" s="160">
        <f t="shared" si="35"/>
        <v>7725.6399999999994</v>
      </c>
      <c r="Y14" s="88"/>
      <c r="Z14" s="4"/>
    </row>
    <row r="15" spans="1:27" s="93" customFormat="1" ht="77.099999999999994" customHeight="1" x14ac:dyDescent="0.3">
      <c r="A15" s="200"/>
      <c r="B15" s="153" t="s">
        <v>107</v>
      </c>
      <c r="C15" s="153" t="s">
        <v>124</v>
      </c>
      <c r="D15" s="238">
        <v>41898</v>
      </c>
      <c r="E15" s="155" t="s">
        <v>80</v>
      </c>
      <c r="F15" s="156">
        <v>15</v>
      </c>
      <c r="G15" s="158">
        <v>7623</v>
      </c>
      <c r="H15" s="159">
        <v>1016.4</v>
      </c>
      <c r="I15" s="160">
        <f t="shared" si="0"/>
        <v>8639.4</v>
      </c>
      <c r="J15" s="161">
        <f t="shared" si="1"/>
        <v>508.2</v>
      </c>
      <c r="K15" s="161">
        <f t="shared" si="9"/>
        <v>8131.2</v>
      </c>
      <c r="L15" s="161">
        <f t="shared" si="3"/>
        <v>7641.91</v>
      </c>
      <c r="M15" s="161">
        <f t="shared" si="10"/>
        <v>489.28999999999996</v>
      </c>
      <c r="N15" s="162">
        <f t="shared" si="4"/>
        <v>0.21360000000000001</v>
      </c>
      <c r="O15" s="161">
        <f t="shared" si="11"/>
        <v>104.512344</v>
      </c>
      <c r="P15" s="163">
        <f t="shared" si="5"/>
        <v>809.25</v>
      </c>
      <c r="Q15" s="161">
        <f t="shared" si="12"/>
        <v>913.76234399999998</v>
      </c>
      <c r="R15" s="161">
        <f t="shared" si="6"/>
        <v>0</v>
      </c>
      <c r="S15" s="161">
        <f t="shared" si="13"/>
        <v>913.76</v>
      </c>
      <c r="T15" s="160">
        <f t="shared" si="14"/>
        <v>0</v>
      </c>
      <c r="U15" s="160">
        <f t="shared" si="7"/>
        <v>913.76</v>
      </c>
      <c r="V15" s="164">
        <v>0</v>
      </c>
      <c r="W15" s="160">
        <f t="shared" ref="W15" si="47">SUM(U15:V15)</f>
        <v>913.76</v>
      </c>
      <c r="X15" s="160">
        <f t="shared" si="15"/>
        <v>7725.6399999999994</v>
      </c>
      <c r="Y15" s="89"/>
      <c r="Z15" s="4"/>
    </row>
    <row r="16" spans="1:27" ht="77.099999999999994" customHeight="1" x14ac:dyDescent="0.3">
      <c r="A16" s="200"/>
      <c r="B16" s="153" t="s">
        <v>223</v>
      </c>
      <c r="C16" s="153" t="s">
        <v>124</v>
      </c>
      <c r="D16" s="237">
        <v>43831</v>
      </c>
      <c r="E16" s="155" t="s">
        <v>80</v>
      </c>
      <c r="F16" s="203">
        <v>15</v>
      </c>
      <c r="G16" s="158">
        <v>7623</v>
      </c>
      <c r="H16" s="159">
        <v>1016.4</v>
      </c>
      <c r="I16" s="160">
        <f t="shared" ref="I16" si="48">SUM(G16:H16)</f>
        <v>8639.4</v>
      </c>
      <c r="J16" s="161">
        <f t="shared" si="1"/>
        <v>508.2</v>
      </c>
      <c r="K16" s="161">
        <f t="shared" si="9"/>
        <v>8131.2</v>
      </c>
      <c r="L16" s="161">
        <f t="shared" si="3"/>
        <v>7641.91</v>
      </c>
      <c r="M16" s="161">
        <f t="shared" si="10"/>
        <v>489.28999999999996</v>
      </c>
      <c r="N16" s="162">
        <f t="shared" si="4"/>
        <v>0.21360000000000001</v>
      </c>
      <c r="O16" s="161">
        <f t="shared" si="11"/>
        <v>104.512344</v>
      </c>
      <c r="P16" s="163">
        <f t="shared" si="5"/>
        <v>809.25</v>
      </c>
      <c r="Q16" s="161">
        <f t="shared" si="12"/>
        <v>913.76234399999998</v>
      </c>
      <c r="R16" s="161">
        <f t="shared" si="6"/>
        <v>0</v>
      </c>
      <c r="S16" s="161">
        <f t="shared" si="13"/>
        <v>913.76</v>
      </c>
      <c r="T16" s="160">
        <f t="shared" si="14"/>
        <v>0</v>
      </c>
      <c r="U16" s="160">
        <f t="shared" si="7"/>
        <v>913.76</v>
      </c>
      <c r="V16" s="164">
        <v>0</v>
      </c>
      <c r="W16" s="160">
        <f t="shared" ref="W16" si="49">SUM(U16:V16)</f>
        <v>913.76</v>
      </c>
      <c r="X16" s="160">
        <f t="shared" ref="X16" si="50">I16+T16-W16</f>
        <v>7725.6399999999994</v>
      </c>
      <c r="Y16" s="89"/>
      <c r="Z16" s="4"/>
    </row>
    <row r="17" spans="1:26" ht="77.099999999999994" customHeight="1" x14ac:dyDescent="0.3">
      <c r="A17" s="200"/>
      <c r="B17" s="153" t="s">
        <v>245</v>
      </c>
      <c r="C17" s="153" t="s">
        <v>124</v>
      </c>
      <c r="D17" s="237">
        <v>44332</v>
      </c>
      <c r="E17" s="155" t="s">
        <v>80</v>
      </c>
      <c r="F17" s="156"/>
      <c r="G17" s="158">
        <v>7623</v>
      </c>
      <c r="H17" s="159">
        <v>1016.4</v>
      </c>
      <c r="I17" s="160">
        <f t="shared" ref="I17" si="51">SUM(G17:H17)</f>
        <v>8639.4</v>
      </c>
      <c r="J17" s="161">
        <f t="shared" ref="J17:J21" si="52">IF(G17/15&lt;=SMG,0,H17/2)</f>
        <v>508.2</v>
      </c>
      <c r="K17" s="161">
        <f t="shared" ref="K17" si="53">G17+J17</f>
        <v>8131.2</v>
      </c>
      <c r="L17" s="161">
        <f t="shared" si="3"/>
        <v>7641.91</v>
      </c>
      <c r="M17" s="161">
        <f t="shared" si="10"/>
        <v>489.28999999999996</v>
      </c>
      <c r="N17" s="162">
        <f t="shared" si="4"/>
        <v>0.21360000000000001</v>
      </c>
      <c r="O17" s="161">
        <f t="shared" si="11"/>
        <v>104.512344</v>
      </c>
      <c r="P17" s="163">
        <f t="shared" si="5"/>
        <v>809.25</v>
      </c>
      <c r="Q17" s="161">
        <f t="shared" si="12"/>
        <v>913.76234399999998</v>
      </c>
      <c r="R17" s="161">
        <f t="shared" si="6"/>
        <v>0</v>
      </c>
      <c r="S17" s="161">
        <f t="shared" si="13"/>
        <v>913.76</v>
      </c>
      <c r="T17" s="160">
        <f t="shared" si="14"/>
        <v>0</v>
      </c>
      <c r="U17" s="160">
        <f t="shared" si="7"/>
        <v>913.76</v>
      </c>
      <c r="V17" s="164">
        <v>0</v>
      </c>
      <c r="W17" s="160">
        <f t="shared" ref="W17" si="54">SUM(U17:V17)</f>
        <v>913.76</v>
      </c>
      <c r="X17" s="160">
        <f t="shared" ref="X17" si="55">I17+T17-W17</f>
        <v>7725.6399999999994</v>
      </c>
      <c r="Y17" s="89"/>
      <c r="Z17" s="4"/>
    </row>
    <row r="18" spans="1:26" ht="77.099999999999994" customHeight="1" x14ac:dyDescent="0.3">
      <c r="A18" s="200"/>
      <c r="B18" s="153" t="s">
        <v>384</v>
      </c>
      <c r="C18" s="153" t="s">
        <v>124</v>
      </c>
      <c r="D18" s="237">
        <v>44608</v>
      </c>
      <c r="E18" s="155" t="s">
        <v>80</v>
      </c>
      <c r="F18" s="156"/>
      <c r="G18" s="158">
        <v>7623</v>
      </c>
      <c r="H18" s="159">
        <v>1016.4</v>
      </c>
      <c r="I18" s="160">
        <f t="shared" ref="I18:I20" si="56">SUM(G18:H18)</f>
        <v>8639.4</v>
      </c>
      <c r="J18" s="161">
        <f t="shared" si="52"/>
        <v>508.2</v>
      </c>
      <c r="K18" s="161">
        <f t="shared" ref="K18:K21" si="57">G18+J18</f>
        <v>8131.2</v>
      </c>
      <c r="L18" s="161">
        <f t="shared" si="3"/>
        <v>7641.91</v>
      </c>
      <c r="M18" s="161">
        <f t="shared" si="10"/>
        <v>489.28999999999996</v>
      </c>
      <c r="N18" s="162">
        <f t="shared" si="4"/>
        <v>0.21360000000000001</v>
      </c>
      <c r="O18" s="161">
        <f t="shared" si="11"/>
        <v>104.512344</v>
      </c>
      <c r="P18" s="163">
        <f t="shared" si="5"/>
        <v>809.25</v>
      </c>
      <c r="Q18" s="161">
        <f t="shared" si="12"/>
        <v>913.76234399999998</v>
      </c>
      <c r="R18" s="161">
        <f t="shared" si="6"/>
        <v>0</v>
      </c>
      <c r="S18" s="161">
        <f t="shared" si="13"/>
        <v>913.76</v>
      </c>
      <c r="T18" s="160">
        <f t="shared" si="14"/>
        <v>0</v>
      </c>
      <c r="U18" s="160">
        <f t="shared" si="7"/>
        <v>913.76</v>
      </c>
      <c r="V18" s="164">
        <v>0</v>
      </c>
      <c r="W18" s="160">
        <f t="shared" ref="W18:W19" si="58">SUM(U18:V18)</f>
        <v>913.76</v>
      </c>
      <c r="X18" s="160">
        <f t="shared" ref="X18:X21" si="59">I18+T18-W18</f>
        <v>7725.6399999999994</v>
      </c>
      <c r="Y18" s="89"/>
      <c r="Z18" s="4"/>
    </row>
    <row r="19" spans="1:26" ht="77.099999999999994" customHeight="1" x14ac:dyDescent="0.3">
      <c r="A19" s="200"/>
      <c r="B19" s="153" t="s">
        <v>385</v>
      </c>
      <c r="C19" s="153" t="s">
        <v>124</v>
      </c>
      <c r="D19" s="237">
        <v>44608</v>
      </c>
      <c r="E19" s="155" t="s">
        <v>80</v>
      </c>
      <c r="F19" s="156"/>
      <c r="G19" s="158">
        <v>7623</v>
      </c>
      <c r="H19" s="159">
        <v>0</v>
      </c>
      <c r="I19" s="160">
        <f t="shared" si="56"/>
        <v>7623</v>
      </c>
      <c r="J19" s="161">
        <f t="shared" si="52"/>
        <v>0</v>
      </c>
      <c r="K19" s="161">
        <f t="shared" si="57"/>
        <v>7623</v>
      </c>
      <c r="L19" s="161">
        <f t="shared" si="3"/>
        <v>6382.81</v>
      </c>
      <c r="M19" s="161">
        <f t="shared" si="10"/>
        <v>1240.1899999999996</v>
      </c>
      <c r="N19" s="162">
        <f t="shared" si="4"/>
        <v>0.1792</v>
      </c>
      <c r="O19" s="161">
        <f t="shared" si="11"/>
        <v>222.24204799999993</v>
      </c>
      <c r="P19" s="163">
        <f t="shared" si="5"/>
        <v>583.65</v>
      </c>
      <c r="Q19" s="161">
        <f t="shared" si="12"/>
        <v>805.89204799999993</v>
      </c>
      <c r="R19" s="161">
        <f t="shared" si="6"/>
        <v>0</v>
      </c>
      <c r="S19" s="161">
        <f t="shared" si="13"/>
        <v>805.89</v>
      </c>
      <c r="T19" s="160">
        <f t="shared" si="14"/>
        <v>0</v>
      </c>
      <c r="U19" s="160">
        <f t="shared" si="7"/>
        <v>805.89</v>
      </c>
      <c r="V19" s="164">
        <v>0</v>
      </c>
      <c r="W19" s="160">
        <f t="shared" si="58"/>
        <v>805.89</v>
      </c>
      <c r="X19" s="160">
        <f t="shared" si="59"/>
        <v>6817.11</v>
      </c>
      <c r="Y19" s="89"/>
      <c r="Z19" s="4"/>
    </row>
    <row r="20" spans="1:26" ht="77.099999999999994" customHeight="1" x14ac:dyDescent="0.3">
      <c r="A20" s="200"/>
      <c r="B20" s="153" t="s">
        <v>411</v>
      </c>
      <c r="C20" s="153" t="s">
        <v>124</v>
      </c>
      <c r="D20" s="238">
        <v>44745</v>
      </c>
      <c r="E20" s="155" t="s">
        <v>80</v>
      </c>
      <c r="F20" s="156"/>
      <c r="G20" s="158">
        <v>7623</v>
      </c>
      <c r="H20" s="159">
        <v>0</v>
      </c>
      <c r="I20" s="160">
        <f t="shared" si="56"/>
        <v>7623</v>
      </c>
      <c r="J20" s="161">
        <f t="shared" si="52"/>
        <v>0</v>
      </c>
      <c r="K20" s="161">
        <f t="shared" si="57"/>
        <v>7623</v>
      </c>
      <c r="L20" s="161">
        <f t="shared" ref="L20:L21" si="60">VLOOKUP(K20,Tarifa1,1)</f>
        <v>6382.81</v>
      </c>
      <c r="M20" s="161">
        <f t="shared" ref="M20:M21" si="61">K20-L20</f>
        <v>1240.1899999999996</v>
      </c>
      <c r="N20" s="162">
        <f t="shared" ref="N20:N21" si="62">VLOOKUP(K20,Tarifa1,3)</f>
        <v>0.1792</v>
      </c>
      <c r="O20" s="161">
        <f t="shared" ref="O20:O21" si="63">M20*N20</f>
        <v>222.24204799999993</v>
      </c>
      <c r="P20" s="163">
        <f t="shared" ref="P20:P21" si="64">VLOOKUP(K20,Tarifa1,2)</f>
        <v>583.65</v>
      </c>
      <c r="Q20" s="161">
        <f t="shared" ref="Q20:Q21" si="65">O20+P20</f>
        <v>805.89204799999993</v>
      </c>
      <c r="R20" s="161">
        <f t="shared" ref="R20:R21" si="66">VLOOKUP(K20,Credito1,2)</f>
        <v>0</v>
      </c>
      <c r="S20" s="161">
        <f t="shared" ref="S20:S21" si="67">ROUND(Q20-R20,2)</f>
        <v>805.89</v>
      </c>
      <c r="T20" s="160">
        <f t="shared" ref="T20:T21" si="68">-IF(S20&gt;0,0,S20)</f>
        <v>0</v>
      </c>
      <c r="U20" s="160">
        <f t="shared" ref="U20:U21" si="69">IF(G20/15&lt;=SMG,0,IF(S20&lt;0,0,S20))</f>
        <v>805.89</v>
      </c>
      <c r="V20" s="164">
        <v>0</v>
      </c>
      <c r="W20" s="160">
        <f t="shared" ref="W20:W21" si="70">SUM(U20:V20)</f>
        <v>805.89</v>
      </c>
      <c r="X20" s="160">
        <f t="shared" si="59"/>
        <v>6817.11</v>
      </c>
      <c r="Y20" s="89"/>
      <c r="Z20" s="4"/>
    </row>
    <row r="21" spans="1:26" ht="77.099999999999994" customHeight="1" x14ac:dyDescent="0.3">
      <c r="A21" s="200"/>
      <c r="B21" s="153" t="s">
        <v>437</v>
      </c>
      <c r="C21" s="153" t="s">
        <v>124</v>
      </c>
      <c r="D21" s="238">
        <v>44942</v>
      </c>
      <c r="E21" s="155" t="s">
        <v>80</v>
      </c>
      <c r="F21" s="156"/>
      <c r="G21" s="158">
        <v>7623</v>
      </c>
      <c r="H21" s="159">
        <v>0</v>
      </c>
      <c r="I21" s="160">
        <f t="shared" ref="I21" si="71">SUM(G21:H21)</f>
        <v>7623</v>
      </c>
      <c r="J21" s="161">
        <f t="shared" si="52"/>
        <v>0</v>
      </c>
      <c r="K21" s="161">
        <f t="shared" si="57"/>
        <v>7623</v>
      </c>
      <c r="L21" s="161">
        <f t="shared" si="60"/>
        <v>6382.81</v>
      </c>
      <c r="M21" s="161">
        <f t="shared" si="61"/>
        <v>1240.1899999999996</v>
      </c>
      <c r="N21" s="162">
        <f t="shared" si="62"/>
        <v>0.1792</v>
      </c>
      <c r="O21" s="161">
        <f t="shared" si="63"/>
        <v>222.24204799999993</v>
      </c>
      <c r="P21" s="163">
        <f t="shared" si="64"/>
        <v>583.65</v>
      </c>
      <c r="Q21" s="161">
        <f t="shared" si="65"/>
        <v>805.89204799999993</v>
      </c>
      <c r="R21" s="161">
        <f t="shared" si="66"/>
        <v>0</v>
      </c>
      <c r="S21" s="161">
        <f t="shared" si="67"/>
        <v>805.89</v>
      </c>
      <c r="T21" s="160">
        <f t="shared" si="68"/>
        <v>0</v>
      </c>
      <c r="U21" s="160">
        <f t="shared" si="69"/>
        <v>805.89</v>
      </c>
      <c r="V21" s="164">
        <v>0</v>
      </c>
      <c r="W21" s="160">
        <f t="shared" si="70"/>
        <v>805.89</v>
      </c>
      <c r="X21" s="160">
        <f t="shared" si="59"/>
        <v>6817.11</v>
      </c>
      <c r="Y21" s="89"/>
      <c r="Z21" s="4"/>
    </row>
    <row r="22" spans="1:26" ht="77.099999999999994" customHeight="1" x14ac:dyDescent="0.3">
      <c r="A22" s="200"/>
      <c r="B22" s="153" t="s">
        <v>474</v>
      </c>
      <c r="C22" s="153" t="s">
        <v>124</v>
      </c>
      <c r="D22" s="238">
        <v>44986</v>
      </c>
      <c r="E22" s="155" t="s">
        <v>80</v>
      </c>
      <c r="F22" s="156"/>
      <c r="G22" s="158">
        <v>7623</v>
      </c>
      <c r="H22" s="159">
        <v>0</v>
      </c>
      <c r="I22" s="160">
        <f t="shared" ref="I22" si="72">SUM(G22:H22)</f>
        <v>7623</v>
      </c>
      <c r="J22" s="161">
        <f t="shared" ref="J22" si="73">IF(G22/15&lt;=SMG,0,H22/2)</f>
        <v>0</v>
      </c>
      <c r="K22" s="161">
        <f t="shared" ref="K22" si="74">G22+J22</f>
        <v>7623</v>
      </c>
      <c r="L22" s="161">
        <f t="shared" si="3"/>
        <v>6382.81</v>
      </c>
      <c r="M22" s="161">
        <f t="shared" si="10"/>
        <v>1240.1899999999996</v>
      </c>
      <c r="N22" s="162">
        <f t="shared" si="4"/>
        <v>0.1792</v>
      </c>
      <c r="O22" s="161">
        <f t="shared" si="11"/>
        <v>222.24204799999993</v>
      </c>
      <c r="P22" s="163">
        <f t="shared" si="5"/>
        <v>583.65</v>
      </c>
      <c r="Q22" s="161">
        <f t="shared" si="12"/>
        <v>805.89204799999993</v>
      </c>
      <c r="R22" s="161">
        <f t="shared" si="6"/>
        <v>0</v>
      </c>
      <c r="S22" s="161">
        <f t="shared" si="13"/>
        <v>805.89</v>
      </c>
      <c r="T22" s="160">
        <f t="shared" si="14"/>
        <v>0</v>
      </c>
      <c r="U22" s="160">
        <f t="shared" si="7"/>
        <v>805.89</v>
      </c>
      <c r="V22" s="164">
        <v>0</v>
      </c>
      <c r="W22" s="160">
        <f t="shared" ref="W22" si="75">SUM(U22:V22)</f>
        <v>805.89</v>
      </c>
      <c r="X22" s="160">
        <f t="shared" ref="X22" si="76">I22+T22-W22</f>
        <v>6817.11</v>
      </c>
      <c r="Y22" s="89"/>
      <c r="Z22" s="4"/>
    </row>
    <row r="23" spans="1:26" ht="29.25" customHeight="1" thickBot="1" x14ac:dyDescent="0.35">
      <c r="A23" s="302" t="s">
        <v>44</v>
      </c>
      <c r="B23" s="303"/>
      <c r="C23" s="303"/>
      <c r="D23" s="303"/>
      <c r="E23" s="303"/>
      <c r="F23" s="303"/>
      <c r="G23" s="167">
        <f>SUM(G9:G22)</f>
        <v>111750</v>
      </c>
      <c r="H23" s="167">
        <f>SUM(H9:H22)</f>
        <v>8644.4</v>
      </c>
      <c r="I23" s="167">
        <f>SUM(I9:I22)</f>
        <v>120394.4</v>
      </c>
      <c r="J23" s="168">
        <f t="shared" ref="J23:S23" si="77">SUM(J9:J15)</f>
        <v>2797.6</v>
      </c>
      <c r="K23" s="168">
        <f t="shared" si="77"/>
        <v>61186.6</v>
      </c>
      <c r="L23" s="168">
        <f t="shared" si="77"/>
        <v>53493.37000000001</v>
      </c>
      <c r="M23" s="168">
        <f t="shared" si="77"/>
        <v>7693.2300000000014</v>
      </c>
      <c r="N23" s="168">
        <f t="shared" si="77"/>
        <v>1.4952000000000001</v>
      </c>
      <c r="O23" s="168">
        <f t="shared" si="77"/>
        <v>1643.2739280000005</v>
      </c>
      <c r="P23" s="168">
        <f t="shared" si="77"/>
        <v>5664.75</v>
      </c>
      <c r="Q23" s="168">
        <f t="shared" si="77"/>
        <v>7308.0239279999996</v>
      </c>
      <c r="R23" s="168">
        <f t="shared" si="77"/>
        <v>0</v>
      </c>
      <c r="S23" s="168">
        <f t="shared" si="77"/>
        <v>7308.02</v>
      </c>
      <c r="T23" s="167">
        <f>SUM(T9:T22)</f>
        <v>0</v>
      </c>
      <c r="U23" s="167">
        <f>SUM(U9:U22)</f>
        <v>13272.859999999999</v>
      </c>
      <c r="V23" s="167">
        <f>SUM(V9:V22)</f>
        <v>3000</v>
      </c>
      <c r="W23" s="167">
        <f>SUM(W9:W22)</f>
        <v>16272.859999999999</v>
      </c>
      <c r="X23" s="167">
        <f>SUM(X9:X22)</f>
        <v>104121.54</v>
      </c>
      <c r="Y23" s="4"/>
      <c r="Z23" s="4"/>
    </row>
    <row r="24" spans="1:26" ht="13.8" thickTop="1" x14ac:dyDescent="0.25"/>
  </sheetData>
  <mergeCells count="7">
    <mergeCell ref="A23:F23"/>
    <mergeCell ref="A1:Y1"/>
    <mergeCell ref="A2:Y2"/>
    <mergeCell ref="G5:I5"/>
    <mergeCell ref="L5:Q5"/>
    <mergeCell ref="U5:W5"/>
    <mergeCell ref="B3:Y3"/>
  </mergeCells>
  <pageMargins left="0.27559055118110237" right="0.27559055118110237" top="0.39370078740157483" bottom="7.874015748031496E-2" header="0.31496062992125984" footer="0.31496062992125984"/>
  <pageSetup scale="4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opLeftCell="B16" zoomScale="73" zoomScaleNormal="73" workbookViewId="0">
      <selection activeCell="B21" sqref="A21:XFD28"/>
    </sheetView>
  </sheetViews>
  <sheetFormatPr baseColWidth="10" defaultColWidth="11.44140625" defaultRowHeight="13.2" x14ac:dyDescent="0.25"/>
  <cols>
    <col min="1" max="1" width="5.5546875" style="67" hidden="1" customWidth="1"/>
    <col min="2" max="2" width="9.44140625" style="67" customWidth="1"/>
    <col min="3" max="3" width="7.6640625" style="67" customWidth="1"/>
    <col min="4" max="4" width="27.5546875" style="67" customWidth="1"/>
    <col min="5" max="5" width="24.33203125" style="67" customWidth="1"/>
    <col min="6" max="6" width="33.33203125" style="67" customWidth="1"/>
    <col min="7" max="7" width="17.5546875" style="67" customWidth="1"/>
    <col min="8" max="8" width="19.5546875" style="67" customWidth="1"/>
    <col min="9" max="9" width="6.5546875" style="67" hidden="1" customWidth="1"/>
    <col min="10" max="10" width="10" style="67" hidden="1" customWidth="1"/>
    <col min="11" max="11" width="16.33203125" style="67" customWidth="1"/>
    <col min="12" max="12" width="14" style="67" customWidth="1"/>
    <col min="13" max="13" width="15.6640625" style="67" customWidth="1"/>
    <col min="14" max="14" width="13.109375" style="67" hidden="1" customWidth="1"/>
    <col min="15" max="17" width="14.33203125" style="67" hidden="1" customWidth="1"/>
    <col min="18" max="19" width="13.109375" style="67" hidden="1" customWidth="1"/>
    <col min="20" max="20" width="10.5546875" style="67" hidden="1" customWidth="1"/>
    <col min="21" max="22" width="13.109375" style="67" hidden="1" customWidth="1"/>
    <col min="23" max="23" width="11.5546875" style="67" hidden="1" customWidth="1"/>
    <col min="24" max="24" width="9.6640625" style="67" customWidth="1"/>
    <col min="25" max="25" width="14.44140625" style="67" customWidth="1"/>
    <col min="26" max="26" width="13.33203125" style="67" customWidth="1"/>
    <col min="27" max="27" width="13" style="67" customWidth="1"/>
    <col min="28" max="28" width="15.88671875" style="67" customWidth="1"/>
    <col min="29" max="29" width="50" style="67" customWidth="1"/>
    <col min="30" max="16384" width="11.44140625" style="67"/>
  </cols>
  <sheetData>
    <row r="1" spans="1:29" ht="17.399999999999999" x14ac:dyDescent="0.3">
      <c r="A1" s="316" t="s">
        <v>77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</row>
    <row r="2" spans="1:29" ht="17.399999999999999" x14ac:dyDescent="0.3">
      <c r="A2" s="316" t="s">
        <v>64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</row>
    <row r="3" spans="1:29" ht="19.8" x14ac:dyDescent="0.3">
      <c r="A3" s="306" t="s">
        <v>477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</row>
    <row r="4" spans="1:29" ht="16.2" x14ac:dyDescent="0.3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</row>
    <row r="5" spans="1:29" ht="16.2" x14ac:dyDescent="0.3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</row>
    <row r="6" spans="1:29" x14ac:dyDescent="0.25">
      <c r="A6" s="68"/>
      <c r="B6" s="68"/>
      <c r="C6" s="68"/>
      <c r="D6" s="68"/>
      <c r="E6" s="68"/>
      <c r="F6" s="68"/>
      <c r="G6" s="68"/>
      <c r="H6" s="68"/>
      <c r="I6" s="69" t="s">
        <v>22</v>
      </c>
      <c r="J6" s="69" t="s">
        <v>5</v>
      </c>
      <c r="K6" s="345" t="s">
        <v>1</v>
      </c>
      <c r="L6" s="346"/>
      <c r="M6" s="347"/>
      <c r="N6" s="70" t="s">
        <v>25</v>
      </c>
      <c r="O6" s="71"/>
      <c r="P6" s="348" t="s">
        <v>8</v>
      </c>
      <c r="Q6" s="349"/>
      <c r="R6" s="349"/>
      <c r="S6" s="349"/>
      <c r="T6" s="349"/>
      <c r="U6" s="350"/>
      <c r="V6" s="70" t="s">
        <v>29</v>
      </c>
      <c r="W6" s="70" t="s">
        <v>9</v>
      </c>
      <c r="X6" s="69" t="s">
        <v>52</v>
      </c>
      <c r="Y6" s="351" t="s">
        <v>2</v>
      </c>
      <c r="Z6" s="352"/>
      <c r="AA6" s="353"/>
      <c r="AB6" s="69" t="s">
        <v>0</v>
      </c>
      <c r="AC6" s="72"/>
    </row>
    <row r="7" spans="1:29" ht="21" x14ac:dyDescent="0.25">
      <c r="A7" s="73" t="s">
        <v>20</v>
      </c>
      <c r="B7" s="74" t="s">
        <v>101</v>
      </c>
      <c r="C7" s="74" t="s">
        <v>125</v>
      </c>
      <c r="D7" s="73" t="s">
        <v>21</v>
      </c>
      <c r="E7" s="73"/>
      <c r="F7" s="73"/>
      <c r="G7" s="73"/>
      <c r="H7" s="73"/>
      <c r="I7" s="75" t="s">
        <v>23</v>
      </c>
      <c r="J7" s="73" t="s">
        <v>24</v>
      </c>
      <c r="K7" s="69" t="s">
        <v>5</v>
      </c>
      <c r="L7" s="69" t="s">
        <v>58</v>
      </c>
      <c r="M7" s="69" t="s">
        <v>27</v>
      </c>
      <c r="N7" s="76" t="s">
        <v>26</v>
      </c>
      <c r="O7" s="71" t="s">
        <v>31</v>
      </c>
      <c r="P7" s="71" t="s">
        <v>11</v>
      </c>
      <c r="Q7" s="71" t="s">
        <v>33</v>
      </c>
      <c r="R7" s="71" t="s">
        <v>35</v>
      </c>
      <c r="S7" s="71" t="s">
        <v>36</v>
      </c>
      <c r="T7" s="71" t="s">
        <v>13</v>
      </c>
      <c r="U7" s="71" t="s">
        <v>9</v>
      </c>
      <c r="V7" s="76" t="s">
        <v>39</v>
      </c>
      <c r="W7" s="76" t="s">
        <v>40</v>
      </c>
      <c r="X7" s="73" t="s">
        <v>30</v>
      </c>
      <c r="Y7" s="23" t="s">
        <v>433</v>
      </c>
      <c r="Z7" s="69" t="s">
        <v>56</v>
      </c>
      <c r="AA7" s="69" t="s">
        <v>6</v>
      </c>
      <c r="AB7" s="73" t="s">
        <v>3</v>
      </c>
      <c r="AC7" s="77" t="s">
        <v>57</v>
      </c>
    </row>
    <row r="8" spans="1:29" x14ac:dyDescent="0.25">
      <c r="A8" s="78"/>
      <c r="B8" s="73"/>
      <c r="C8" s="73"/>
      <c r="D8" s="73"/>
      <c r="E8" s="73"/>
      <c r="F8" s="73"/>
      <c r="G8" s="73"/>
      <c r="H8" s="73"/>
      <c r="I8" s="73"/>
      <c r="J8" s="73"/>
      <c r="K8" s="73" t="s">
        <v>46</v>
      </c>
      <c r="L8" s="73" t="s">
        <v>59</v>
      </c>
      <c r="M8" s="73" t="s">
        <v>28</v>
      </c>
      <c r="N8" s="76" t="s">
        <v>42</v>
      </c>
      <c r="O8" s="70" t="s">
        <v>32</v>
      </c>
      <c r="P8" s="70" t="s">
        <v>12</v>
      </c>
      <c r="Q8" s="70" t="s">
        <v>34</v>
      </c>
      <c r="R8" s="70" t="s">
        <v>34</v>
      </c>
      <c r="S8" s="70" t="s">
        <v>37</v>
      </c>
      <c r="T8" s="70" t="s">
        <v>14</v>
      </c>
      <c r="U8" s="70" t="s">
        <v>38</v>
      </c>
      <c r="V8" s="76" t="s">
        <v>18</v>
      </c>
      <c r="W8" s="79" t="s">
        <v>139</v>
      </c>
      <c r="X8" s="73" t="s">
        <v>51</v>
      </c>
      <c r="Y8" s="73"/>
      <c r="Z8" s="73"/>
      <c r="AA8" s="73" t="s">
        <v>43</v>
      </c>
      <c r="AB8" s="73" t="s">
        <v>4</v>
      </c>
      <c r="AC8" s="80"/>
    </row>
    <row r="9" spans="1:29" ht="52.2" x14ac:dyDescent="0.3">
      <c r="A9" s="81"/>
      <c r="B9" s="82"/>
      <c r="C9" s="82"/>
      <c r="D9" s="204" t="s">
        <v>147</v>
      </c>
      <c r="E9" s="37" t="s">
        <v>102</v>
      </c>
      <c r="F9" s="37" t="s">
        <v>326</v>
      </c>
      <c r="G9" s="100" t="s">
        <v>467</v>
      </c>
      <c r="H9" s="83" t="s">
        <v>61</v>
      </c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4"/>
    </row>
    <row r="10" spans="1:29" ht="96" customHeight="1" x14ac:dyDescent="0.3">
      <c r="A10" s="223"/>
      <c r="B10" s="153" t="s">
        <v>416</v>
      </c>
      <c r="C10" s="153" t="s">
        <v>124</v>
      </c>
      <c r="D10" s="201" t="s">
        <v>412</v>
      </c>
      <c r="E10" s="202" t="s">
        <v>413</v>
      </c>
      <c r="F10" s="202" t="s">
        <v>414</v>
      </c>
      <c r="G10" s="237">
        <v>44730</v>
      </c>
      <c r="H10" s="155" t="s">
        <v>415</v>
      </c>
      <c r="I10" s="156"/>
      <c r="J10" s="157"/>
      <c r="K10" s="158">
        <v>9547</v>
      </c>
      <c r="L10" s="159">
        <v>0</v>
      </c>
      <c r="M10" s="160">
        <f t="shared" ref="M10" si="0">SUM(K10:L10)</f>
        <v>9547</v>
      </c>
      <c r="N10" s="161">
        <f t="shared" ref="N10" si="1">IF(K10/15&lt;=SMG,0,L10/2)</f>
        <v>0</v>
      </c>
      <c r="O10" s="161">
        <f t="shared" ref="O10" si="2">K10+N10</f>
        <v>9547</v>
      </c>
      <c r="P10" s="161">
        <f t="shared" ref="P10:P18" si="3">VLOOKUP(O10,Tarifa1,1)</f>
        <v>7641.91</v>
      </c>
      <c r="Q10" s="161">
        <f>O10-P10</f>
        <v>1905.0900000000001</v>
      </c>
      <c r="R10" s="162">
        <f t="shared" ref="R10:R18" si="4">VLOOKUP(O10,Tarifa1,3)</f>
        <v>0.21360000000000001</v>
      </c>
      <c r="S10" s="161">
        <f>Q10*R10</f>
        <v>406.92722400000008</v>
      </c>
      <c r="T10" s="163">
        <f t="shared" ref="T10:T18" si="5">VLOOKUP(O10,Tarifa1,2)</f>
        <v>809.25</v>
      </c>
      <c r="U10" s="161">
        <f>S10+T10</f>
        <v>1216.177224</v>
      </c>
      <c r="V10" s="161">
        <f t="shared" ref="V10:V18" si="6">VLOOKUP(O10,Credito1,2)</f>
        <v>0</v>
      </c>
      <c r="W10" s="161">
        <f>ROUND(U10-V10,2)</f>
        <v>1216.18</v>
      </c>
      <c r="X10" s="160">
        <f>-IF(W10&gt;0,0,W10)</f>
        <v>0</v>
      </c>
      <c r="Y10" s="160">
        <f t="shared" ref="Y10:Y18" si="7">IF(K10/15&lt;=SMG,0,IF(W10&lt;0,0,W10))</f>
        <v>1216.18</v>
      </c>
      <c r="Z10" s="164">
        <v>0</v>
      </c>
      <c r="AA10" s="160">
        <f t="shared" ref="AA10" si="8">SUM(Y10:Z10)</f>
        <v>1216.18</v>
      </c>
      <c r="AB10" s="160">
        <f t="shared" ref="AB10" si="9">M10+X10-AA10</f>
        <v>8330.82</v>
      </c>
      <c r="AC10" s="219"/>
    </row>
    <row r="11" spans="1:29" s="93" customFormat="1" ht="96" customHeight="1" x14ac:dyDescent="0.3">
      <c r="A11" s="109"/>
      <c r="B11" s="153" t="s">
        <v>237</v>
      </c>
      <c r="C11" s="153" t="s">
        <v>124</v>
      </c>
      <c r="D11" s="201" t="s">
        <v>235</v>
      </c>
      <c r="E11" s="202" t="s">
        <v>236</v>
      </c>
      <c r="F11" s="202" t="s">
        <v>365</v>
      </c>
      <c r="G11" s="237">
        <v>43998</v>
      </c>
      <c r="H11" s="154" t="s">
        <v>145</v>
      </c>
      <c r="I11" s="156"/>
      <c r="J11" s="157"/>
      <c r="K11" s="158">
        <v>5767.5</v>
      </c>
      <c r="L11" s="159">
        <v>200</v>
      </c>
      <c r="M11" s="160">
        <f t="shared" ref="M11" si="10">SUM(K11:L11)</f>
        <v>5967.5</v>
      </c>
      <c r="N11" s="161">
        <f t="shared" ref="N11" si="11">IF(K11/15&lt;=SMG,0,L11/2)</f>
        <v>100</v>
      </c>
      <c r="O11" s="161">
        <f t="shared" ref="O11:O12" si="12">K11+N11</f>
        <v>5867.5</v>
      </c>
      <c r="P11" s="161">
        <f t="shared" si="3"/>
        <v>5490.76</v>
      </c>
      <c r="Q11" s="161">
        <f t="shared" ref="Q11:Q18" si="13">O11-P11</f>
        <v>376.73999999999978</v>
      </c>
      <c r="R11" s="162">
        <f t="shared" si="4"/>
        <v>0.16</v>
      </c>
      <c r="S11" s="161">
        <f t="shared" ref="S11:S18" si="14">Q11*R11</f>
        <v>60.278399999999969</v>
      </c>
      <c r="T11" s="163">
        <f t="shared" si="5"/>
        <v>441</v>
      </c>
      <c r="U11" s="161">
        <f t="shared" ref="U11:U18" si="15">S11+T11</f>
        <v>501.27839999999998</v>
      </c>
      <c r="V11" s="161">
        <f t="shared" si="6"/>
        <v>0</v>
      </c>
      <c r="W11" s="161">
        <f t="shared" ref="W11:W18" si="16">ROUND(U11-V11,2)</f>
        <v>501.28</v>
      </c>
      <c r="X11" s="160">
        <f t="shared" ref="X11:X18" si="17">-IF(W11&gt;0,0,W11)</f>
        <v>0</v>
      </c>
      <c r="Y11" s="160">
        <f t="shared" si="7"/>
        <v>501.28</v>
      </c>
      <c r="Z11" s="164">
        <v>0</v>
      </c>
      <c r="AA11" s="160">
        <f t="shared" ref="AA11" si="18">SUM(Y11:Z11)</f>
        <v>501.28</v>
      </c>
      <c r="AB11" s="160">
        <f t="shared" ref="AB11" si="19">M11+X11-AA11</f>
        <v>5466.22</v>
      </c>
      <c r="AC11" s="92"/>
    </row>
    <row r="12" spans="1:29" s="93" customFormat="1" ht="96" customHeight="1" x14ac:dyDescent="0.3">
      <c r="A12" s="109"/>
      <c r="B12" s="153" t="s">
        <v>447</v>
      </c>
      <c r="C12" s="153" t="s">
        <v>124</v>
      </c>
      <c r="D12" s="201" t="s">
        <v>448</v>
      </c>
      <c r="E12" s="202" t="s">
        <v>449</v>
      </c>
      <c r="F12" s="202" t="s">
        <v>450</v>
      </c>
      <c r="G12" s="237">
        <v>44942</v>
      </c>
      <c r="H12" s="154" t="s">
        <v>145</v>
      </c>
      <c r="I12" s="156"/>
      <c r="J12" s="157"/>
      <c r="K12" s="158">
        <v>5210.41</v>
      </c>
      <c r="L12" s="159">
        <v>1736.8</v>
      </c>
      <c r="M12" s="160">
        <f t="shared" ref="M12:M18" si="20">SUM(K12:L12)</f>
        <v>6947.21</v>
      </c>
      <c r="N12" s="161">
        <f>IF(K12/15&lt;=SMG,0,L12/2)</f>
        <v>868.4</v>
      </c>
      <c r="O12" s="161">
        <f t="shared" si="12"/>
        <v>6078.8099999999995</v>
      </c>
      <c r="P12" s="161">
        <f t="shared" si="3"/>
        <v>5490.76</v>
      </c>
      <c r="Q12" s="161">
        <f t="shared" si="13"/>
        <v>588.04999999999927</v>
      </c>
      <c r="R12" s="162">
        <f t="shared" si="4"/>
        <v>0.16</v>
      </c>
      <c r="S12" s="161">
        <f t="shared" si="14"/>
        <v>94.08799999999988</v>
      </c>
      <c r="T12" s="163">
        <f t="shared" si="5"/>
        <v>441</v>
      </c>
      <c r="U12" s="161">
        <f t="shared" si="15"/>
        <v>535.08799999999985</v>
      </c>
      <c r="V12" s="161">
        <f t="shared" si="6"/>
        <v>0</v>
      </c>
      <c r="W12" s="161">
        <f t="shared" si="16"/>
        <v>535.09</v>
      </c>
      <c r="X12" s="160">
        <f t="shared" si="17"/>
        <v>0</v>
      </c>
      <c r="Y12" s="160">
        <f t="shared" si="7"/>
        <v>535.09</v>
      </c>
      <c r="Z12" s="164">
        <v>0</v>
      </c>
      <c r="AA12" s="160">
        <f t="shared" ref="AA12:AA18" si="21">SUM(Y12:Z12)</f>
        <v>535.09</v>
      </c>
      <c r="AB12" s="160">
        <f t="shared" ref="AB12:AB18" si="22">M12+X12-AA12</f>
        <v>6412.12</v>
      </c>
      <c r="AC12" s="92"/>
    </row>
    <row r="13" spans="1:29" s="93" customFormat="1" ht="96" customHeight="1" x14ac:dyDescent="0.3">
      <c r="A13" s="109"/>
      <c r="B13" s="153" t="s">
        <v>451</v>
      </c>
      <c r="C13" s="153" t="s">
        <v>124</v>
      </c>
      <c r="D13" s="201" t="s">
        <v>452</v>
      </c>
      <c r="E13" s="202" t="s">
        <v>453</v>
      </c>
      <c r="F13" s="202" t="s">
        <v>454</v>
      </c>
      <c r="G13" s="237">
        <v>44942</v>
      </c>
      <c r="H13" s="154" t="s">
        <v>145</v>
      </c>
      <c r="I13" s="156"/>
      <c r="J13" s="157"/>
      <c r="K13" s="158">
        <v>5210.41</v>
      </c>
      <c r="L13" s="159">
        <v>0</v>
      </c>
      <c r="M13" s="160">
        <f t="shared" si="20"/>
        <v>5210.41</v>
      </c>
      <c r="N13" s="161">
        <f>IF(K13/15&lt;=SMG,0,L13/2)</f>
        <v>0</v>
      </c>
      <c r="O13" s="161">
        <f t="shared" ref="O13" si="23">K13+N13</f>
        <v>5210.41</v>
      </c>
      <c r="P13" s="161">
        <f t="shared" si="3"/>
        <v>3124.36</v>
      </c>
      <c r="Q13" s="161">
        <f t="shared" ref="Q13" si="24">O13-P13</f>
        <v>2086.0499999999997</v>
      </c>
      <c r="R13" s="162">
        <f t="shared" si="4"/>
        <v>0.10879999999999999</v>
      </c>
      <c r="S13" s="161">
        <f t="shared" ref="S13" si="25">Q13*R13</f>
        <v>226.96223999999995</v>
      </c>
      <c r="T13" s="163">
        <f t="shared" si="5"/>
        <v>183.45</v>
      </c>
      <c r="U13" s="161">
        <f t="shared" ref="U13" si="26">S13+T13</f>
        <v>410.41223999999994</v>
      </c>
      <c r="V13" s="161">
        <f t="shared" si="6"/>
        <v>0</v>
      </c>
      <c r="W13" s="161">
        <f t="shared" ref="W13" si="27">ROUND(U13-V13,2)</f>
        <v>410.41</v>
      </c>
      <c r="X13" s="160">
        <f t="shared" ref="X13" si="28">-IF(W13&gt;0,0,W13)</f>
        <v>0</v>
      </c>
      <c r="Y13" s="160">
        <f t="shared" si="7"/>
        <v>410.41</v>
      </c>
      <c r="Z13" s="164">
        <v>0</v>
      </c>
      <c r="AA13" s="160">
        <f t="shared" si="21"/>
        <v>410.41</v>
      </c>
      <c r="AB13" s="160">
        <f t="shared" si="22"/>
        <v>4800</v>
      </c>
      <c r="AC13" s="92"/>
    </row>
    <row r="14" spans="1:29" s="93" customFormat="1" ht="96" customHeight="1" x14ac:dyDescent="0.3">
      <c r="A14" s="109"/>
      <c r="B14" s="153" t="s">
        <v>455</v>
      </c>
      <c r="C14" s="153" t="s">
        <v>124</v>
      </c>
      <c r="D14" s="201" t="s">
        <v>456</v>
      </c>
      <c r="E14" s="202" t="s">
        <v>457</v>
      </c>
      <c r="F14" s="202" t="s">
        <v>458</v>
      </c>
      <c r="G14" s="237">
        <v>44942</v>
      </c>
      <c r="H14" s="154" t="s">
        <v>145</v>
      </c>
      <c r="I14" s="156"/>
      <c r="J14" s="157"/>
      <c r="K14" s="158">
        <v>5210.41</v>
      </c>
      <c r="L14" s="159">
        <v>1736.8</v>
      </c>
      <c r="M14" s="160">
        <f t="shared" si="20"/>
        <v>6947.21</v>
      </c>
      <c r="N14" s="161">
        <f>IF(K14/15&lt;=SMG,0,L14/2)</f>
        <v>868.4</v>
      </c>
      <c r="O14" s="161">
        <f t="shared" ref="O14" si="29">K14+N14</f>
        <v>6078.8099999999995</v>
      </c>
      <c r="P14" s="161">
        <f t="shared" si="3"/>
        <v>5490.76</v>
      </c>
      <c r="Q14" s="161">
        <f t="shared" ref="Q14" si="30">O14-P14</f>
        <v>588.04999999999927</v>
      </c>
      <c r="R14" s="162">
        <f t="shared" si="4"/>
        <v>0.16</v>
      </c>
      <c r="S14" s="161">
        <f t="shared" ref="S14" si="31">Q14*R14</f>
        <v>94.08799999999988</v>
      </c>
      <c r="T14" s="163">
        <f t="shared" si="5"/>
        <v>441</v>
      </c>
      <c r="U14" s="161">
        <f t="shared" ref="U14" si="32">S14+T14</f>
        <v>535.08799999999985</v>
      </c>
      <c r="V14" s="161">
        <f t="shared" si="6"/>
        <v>0</v>
      </c>
      <c r="W14" s="161">
        <f t="shared" ref="W14" si="33">ROUND(U14-V14,2)</f>
        <v>535.09</v>
      </c>
      <c r="X14" s="160">
        <f t="shared" ref="X14" si="34">-IF(W14&gt;0,0,W14)</f>
        <v>0</v>
      </c>
      <c r="Y14" s="160">
        <f t="shared" si="7"/>
        <v>535.09</v>
      </c>
      <c r="Z14" s="164">
        <v>500</v>
      </c>
      <c r="AA14" s="160">
        <f t="shared" si="21"/>
        <v>1035.0900000000001</v>
      </c>
      <c r="AB14" s="160">
        <f t="shared" si="22"/>
        <v>5912.12</v>
      </c>
      <c r="AC14" s="92"/>
    </row>
    <row r="15" spans="1:29" s="93" customFormat="1" ht="96" customHeight="1" x14ac:dyDescent="0.3">
      <c r="A15" s="109"/>
      <c r="B15" s="153" t="s">
        <v>459</v>
      </c>
      <c r="C15" s="153" t="s">
        <v>124</v>
      </c>
      <c r="D15" s="201" t="s">
        <v>462</v>
      </c>
      <c r="E15" s="202" t="s">
        <v>460</v>
      </c>
      <c r="F15" s="202" t="s">
        <v>461</v>
      </c>
      <c r="G15" s="237">
        <v>44942</v>
      </c>
      <c r="H15" s="154" t="s">
        <v>145</v>
      </c>
      <c r="I15" s="156"/>
      <c r="J15" s="157"/>
      <c r="K15" s="158">
        <v>5210.41</v>
      </c>
      <c r="L15" s="159">
        <v>1736.8</v>
      </c>
      <c r="M15" s="160">
        <f t="shared" si="20"/>
        <v>6947.21</v>
      </c>
      <c r="N15" s="161">
        <f>IF(K15/15&lt;=SMG,0,L15/2)</f>
        <v>868.4</v>
      </c>
      <c r="O15" s="161">
        <f t="shared" ref="O15:O16" si="35">K15+N15</f>
        <v>6078.8099999999995</v>
      </c>
      <c r="P15" s="161">
        <f t="shared" si="3"/>
        <v>5490.76</v>
      </c>
      <c r="Q15" s="161">
        <f t="shared" ref="Q15:Q16" si="36">O15-P15</f>
        <v>588.04999999999927</v>
      </c>
      <c r="R15" s="162">
        <f t="shared" si="4"/>
        <v>0.16</v>
      </c>
      <c r="S15" s="161">
        <f t="shared" ref="S15:S16" si="37">Q15*R15</f>
        <v>94.08799999999988</v>
      </c>
      <c r="T15" s="163">
        <f t="shared" si="5"/>
        <v>441</v>
      </c>
      <c r="U15" s="161">
        <f t="shared" ref="U15:U16" si="38">S15+T15</f>
        <v>535.08799999999985</v>
      </c>
      <c r="V15" s="161">
        <f t="shared" si="6"/>
        <v>0</v>
      </c>
      <c r="W15" s="161">
        <f t="shared" ref="W15:W16" si="39">ROUND(U15-V15,2)</f>
        <v>535.09</v>
      </c>
      <c r="X15" s="160">
        <f t="shared" ref="X15:X16" si="40">-IF(W15&gt;0,0,W15)</f>
        <v>0</v>
      </c>
      <c r="Y15" s="160">
        <f t="shared" si="7"/>
        <v>535.09</v>
      </c>
      <c r="Z15" s="164">
        <v>1000</v>
      </c>
      <c r="AA15" s="160">
        <f t="shared" si="21"/>
        <v>1535.0900000000001</v>
      </c>
      <c r="AB15" s="160">
        <f t="shared" si="22"/>
        <v>5412.12</v>
      </c>
      <c r="AC15" s="92"/>
    </row>
    <row r="16" spans="1:29" s="93" customFormat="1" ht="96" customHeight="1" x14ac:dyDescent="0.3">
      <c r="A16" s="109"/>
      <c r="B16" s="153" t="s">
        <v>463</v>
      </c>
      <c r="C16" s="153" t="s">
        <v>124</v>
      </c>
      <c r="D16" s="201" t="s">
        <v>464</v>
      </c>
      <c r="E16" s="202" t="s">
        <v>465</v>
      </c>
      <c r="F16" s="202" t="s">
        <v>466</v>
      </c>
      <c r="G16" s="237">
        <v>44942</v>
      </c>
      <c r="H16" s="154" t="s">
        <v>145</v>
      </c>
      <c r="I16" s="156"/>
      <c r="J16" s="157"/>
      <c r="K16" s="158">
        <v>5210.41</v>
      </c>
      <c r="L16" s="159">
        <v>1736.8</v>
      </c>
      <c r="M16" s="160">
        <f t="shared" si="20"/>
        <v>6947.21</v>
      </c>
      <c r="N16" s="161">
        <f>IF(K16/15&lt;=SMG,0,L16/2)</f>
        <v>868.4</v>
      </c>
      <c r="O16" s="161">
        <f t="shared" si="35"/>
        <v>6078.8099999999995</v>
      </c>
      <c r="P16" s="161">
        <f t="shared" si="3"/>
        <v>5490.76</v>
      </c>
      <c r="Q16" s="161">
        <f t="shared" si="36"/>
        <v>588.04999999999927</v>
      </c>
      <c r="R16" s="162">
        <f t="shared" si="4"/>
        <v>0.16</v>
      </c>
      <c r="S16" s="161">
        <f t="shared" si="37"/>
        <v>94.08799999999988</v>
      </c>
      <c r="T16" s="163">
        <f t="shared" si="5"/>
        <v>441</v>
      </c>
      <c r="U16" s="161">
        <f t="shared" si="38"/>
        <v>535.08799999999985</v>
      </c>
      <c r="V16" s="161">
        <f t="shared" si="6"/>
        <v>0</v>
      </c>
      <c r="W16" s="161">
        <f t="shared" si="39"/>
        <v>535.09</v>
      </c>
      <c r="X16" s="160">
        <f t="shared" si="40"/>
        <v>0</v>
      </c>
      <c r="Y16" s="160">
        <f t="shared" si="7"/>
        <v>535.09</v>
      </c>
      <c r="Z16" s="164">
        <v>0</v>
      </c>
      <c r="AA16" s="160">
        <f t="shared" si="21"/>
        <v>535.09</v>
      </c>
      <c r="AB16" s="160">
        <f t="shared" si="22"/>
        <v>6412.12</v>
      </c>
      <c r="AC16" s="92"/>
    </row>
    <row r="17" spans="1:29" s="93" customFormat="1" ht="96" customHeight="1" x14ac:dyDescent="0.3">
      <c r="A17" s="109" t="s">
        <v>91</v>
      </c>
      <c r="B17" s="153" t="s">
        <v>149</v>
      </c>
      <c r="C17" s="153" t="s">
        <v>167</v>
      </c>
      <c r="D17" s="201" t="s">
        <v>144</v>
      </c>
      <c r="E17" s="202" t="s">
        <v>151</v>
      </c>
      <c r="F17" s="202" t="s">
        <v>339</v>
      </c>
      <c r="G17" s="237">
        <v>43101</v>
      </c>
      <c r="H17" s="155" t="s">
        <v>146</v>
      </c>
      <c r="I17" s="156">
        <v>15</v>
      </c>
      <c r="J17" s="157">
        <f>K17/I17</f>
        <v>308.26666666666665</v>
      </c>
      <c r="K17" s="158">
        <v>4624</v>
      </c>
      <c r="L17" s="159">
        <v>1541.35</v>
      </c>
      <c r="M17" s="160">
        <f t="shared" si="20"/>
        <v>6165.35</v>
      </c>
      <c r="N17" s="161">
        <f t="shared" ref="N17:N18" si="41">IF(K17/15&lt;=SMG,0,L17/2)</f>
        <v>770.67499999999995</v>
      </c>
      <c r="O17" s="161">
        <f t="shared" ref="O17:O18" si="42">K17+N17</f>
        <v>5394.6750000000002</v>
      </c>
      <c r="P17" s="161">
        <f t="shared" si="3"/>
        <v>3124.36</v>
      </c>
      <c r="Q17" s="161">
        <f t="shared" si="13"/>
        <v>2270.3150000000001</v>
      </c>
      <c r="R17" s="162">
        <f t="shared" si="4"/>
        <v>0.10879999999999999</v>
      </c>
      <c r="S17" s="161">
        <f t="shared" si="14"/>
        <v>247.01027199999999</v>
      </c>
      <c r="T17" s="163">
        <f t="shared" si="5"/>
        <v>183.45</v>
      </c>
      <c r="U17" s="161">
        <f t="shared" si="15"/>
        <v>430.46027199999997</v>
      </c>
      <c r="V17" s="161">
        <f t="shared" si="6"/>
        <v>0</v>
      </c>
      <c r="W17" s="161">
        <f t="shared" si="16"/>
        <v>430.46</v>
      </c>
      <c r="X17" s="160">
        <f t="shared" si="17"/>
        <v>0</v>
      </c>
      <c r="Y17" s="160">
        <f t="shared" si="7"/>
        <v>430.46</v>
      </c>
      <c r="Z17" s="164">
        <v>0</v>
      </c>
      <c r="AA17" s="160">
        <f t="shared" si="21"/>
        <v>430.46</v>
      </c>
      <c r="AB17" s="160">
        <f t="shared" si="22"/>
        <v>5734.89</v>
      </c>
      <c r="AC17" s="92"/>
    </row>
    <row r="18" spans="1:29" s="93" customFormat="1" ht="96" customHeight="1" x14ac:dyDescent="0.3">
      <c r="A18" s="200"/>
      <c r="B18" s="153" t="s">
        <v>150</v>
      </c>
      <c r="C18" s="153" t="s">
        <v>124</v>
      </c>
      <c r="D18" s="201" t="s">
        <v>143</v>
      </c>
      <c r="E18" s="202" t="s">
        <v>152</v>
      </c>
      <c r="F18" s="202" t="s">
        <v>340</v>
      </c>
      <c r="G18" s="237">
        <v>43101</v>
      </c>
      <c r="H18" s="155" t="s">
        <v>146</v>
      </c>
      <c r="I18" s="156">
        <v>15</v>
      </c>
      <c r="J18" s="157">
        <f>K18/I18</f>
        <v>308.26666666666665</v>
      </c>
      <c r="K18" s="158">
        <v>4624</v>
      </c>
      <c r="L18" s="159">
        <v>500</v>
      </c>
      <c r="M18" s="160">
        <f t="shared" si="20"/>
        <v>5124</v>
      </c>
      <c r="N18" s="161">
        <f t="shared" si="41"/>
        <v>250</v>
      </c>
      <c r="O18" s="161">
        <f t="shared" si="42"/>
        <v>4874</v>
      </c>
      <c r="P18" s="161">
        <f t="shared" si="3"/>
        <v>3124.36</v>
      </c>
      <c r="Q18" s="161">
        <f t="shared" si="13"/>
        <v>1749.6399999999999</v>
      </c>
      <c r="R18" s="162">
        <f t="shared" si="4"/>
        <v>0.10879999999999999</v>
      </c>
      <c r="S18" s="161">
        <f t="shared" si="14"/>
        <v>190.36083199999999</v>
      </c>
      <c r="T18" s="163">
        <f t="shared" si="5"/>
        <v>183.45</v>
      </c>
      <c r="U18" s="161">
        <f t="shared" si="15"/>
        <v>373.810832</v>
      </c>
      <c r="V18" s="161">
        <f t="shared" si="6"/>
        <v>0</v>
      </c>
      <c r="W18" s="161">
        <f t="shared" si="16"/>
        <v>373.81</v>
      </c>
      <c r="X18" s="160">
        <f t="shared" si="17"/>
        <v>0</v>
      </c>
      <c r="Y18" s="160">
        <f t="shared" si="7"/>
        <v>373.81</v>
      </c>
      <c r="Z18" s="164">
        <v>0</v>
      </c>
      <c r="AA18" s="160">
        <f t="shared" si="21"/>
        <v>373.81</v>
      </c>
      <c r="AB18" s="160">
        <f t="shared" si="22"/>
        <v>4750.1899999999996</v>
      </c>
      <c r="AC18" s="92"/>
    </row>
    <row r="19" spans="1:29" ht="40.5" customHeight="1" thickBot="1" x14ac:dyDescent="0.35">
      <c r="A19" s="302" t="s">
        <v>44</v>
      </c>
      <c r="B19" s="303"/>
      <c r="C19" s="303"/>
      <c r="D19" s="303"/>
      <c r="E19" s="303"/>
      <c r="F19" s="303"/>
      <c r="G19" s="303"/>
      <c r="H19" s="303"/>
      <c r="I19" s="303"/>
      <c r="J19" s="304"/>
      <c r="K19" s="167">
        <f>SUM(K10:K18)</f>
        <v>50614.55</v>
      </c>
      <c r="L19" s="167">
        <f>SUM(L10:L18)</f>
        <v>9188.5499999999993</v>
      </c>
      <c r="M19" s="167">
        <f t="shared" ref="M19:X19" si="43">SUM(M11:M18)</f>
        <v>50256.1</v>
      </c>
      <c r="N19" s="168">
        <f t="shared" si="43"/>
        <v>4594.2749999999996</v>
      </c>
      <c r="O19" s="168">
        <f t="shared" si="43"/>
        <v>45661.824999999997</v>
      </c>
      <c r="P19" s="168">
        <f t="shared" si="43"/>
        <v>36826.880000000005</v>
      </c>
      <c r="Q19" s="168">
        <f t="shared" si="43"/>
        <v>8834.9449999999961</v>
      </c>
      <c r="R19" s="168">
        <f t="shared" si="43"/>
        <v>1.1264000000000001</v>
      </c>
      <c r="S19" s="168">
        <f t="shared" si="43"/>
        <v>1100.9637439999995</v>
      </c>
      <c r="T19" s="168">
        <f t="shared" si="43"/>
        <v>2755.3499999999995</v>
      </c>
      <c r="U19" s="168">
        <f t="shared" si="43"/>
        <v>3856.3137439999991</v>
      </c>
      <c r="V19" s="168">
        <f t="shared" si="43"/>
        <v>0</v>
      </c>
      <c r="W19" s="168">
        <f t="shared" si="43"/>
        <v>3856.32</v>
      </c>
      <c r="X19" s="167">
        <f t="shared" si="43"/>
        <v>0</v>
      </c>
      <c r="Y19" s="167">
        <f>SUM(Y10:Y18)</f>
        <v>5072.5000000000009</v>
      </c>
      <c r="Z19" s="167">
        <f>SUM(Z10:Z18)</f>
        <v>1500</v>
      </c>
      <c r="AA19" s="167">
        <f>SUM(AA10:AA18)</f>
        <v>6572.5000000000009</v>
      </c>
      <c r="AB19" s="167">
        <f>SUM(AB10:AB18)</f>
        <v>53230.600000000006</v>
      </c>
    </row>
    <row r="20" spans="1:29" ht="18" thickTop="1" x14ac:dyDescent="0.3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</row>
  </sheetData>
  <mergeCells count="7">
    <mergeCell ref="A19:J19"/>
    <mergeCell ref="A1:AC1"/>
    <mergeCell ref="A2:AC2"/>
    <mergeCell ref="A3:AC3"/>
    <mergeCell ref="K6:M6"/>
    <mergeCell ref="P6:U6"/>
    <mergeCell ref="Y6:AA6"/>
  </mergeCells>
  <pageMargins left="0.27559055118110237" right="0.27559055118110237" top="0.74803149606299213" bottom="0.74803149606299213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B38"/>
  <sheetViews>
    <sheetView tabSelected="1" topLeftCell="B1" zoomScale="78" zoomScaleNormal="78" workbookViewId="0">
      <pane ySplit="1" topLeftCell="A18" activePane="bottomLeft" state="frozen"/>
      <selection activeCell="B1" sqref="B1"/>
      <selection pane="bottomLeft" activeCell="F31" sqref="F31"/>
    </sheetView>
  </sheetViews>
  <sheetFormatPr baseColWidth="10" defaultColWidth="11.44140625" defaultRowHeight="13.2" x14ac:dyDescent="0.25"/>
  <cols>
    <col min="1" max="1" width="5.5546875" hidden="1" customWidth="1"/>
    <col min="2" max="2" width="14.88671875" customWidth="1"/>
    <col min="3" max="3" width="12.44140625" customWidth="1"/>
    <col min="4" max="4" width="37" customWidth="1"/>
    <col min="5" max="5" width="24" customWidth="1"/>
    <col min="6" max="6" width="32.5546875" customWidth="1"/>
    <col min="7" max="7" width="17.109375" customWidth="1"/>
    <col min="8" max="8" width="27.5546875" customWidth="1"/>
    <col min="9" max="9" width="6.44140625" hidden="1" customWidth="1"/>
    <col min="10" max="10" width="10" hidden="1" customWidth="1"/>
    <col min="11" max="11" width="13.44140625" customWidth="1"/>
    <col min="12" max="12" width="10.33203125" customWidth="1"/>
    <col min="13" max="13" width="14.44140625" bestFit="1" customWidth="1"/>
    <col min="14" max="14" width="11.6640625" hidden="1" customWidth="1"/>
    <col min="15" max="17" width="14.44140625" hidden="1" customWidth="1"/>
    <col min="18" max="18" width="13.44140625" hidden="1" customWidth="1"/>
    <col min="19" max="20" width="12.88671875" hidden="1" customWidth="1"/>
    <col min="21" max="21" width="14.44140625" hidden="1" customWidth="1"/>
    <col min="22" max="22" width="11" hidden="1" customWidth="1"/>
    <col min="23" max="23" width="14.44140625" hidden="1" customWidth="1"/>
    <col min="24" max="24" width="11" bestFit="1" customWidth="1"/>
    <col min="25" max="25" width="14.33203125" customWidth="1"/>
    <col min="26" max="26" width="13.33203125" customWidth="1"/>
    <col min="27" max="27" width="13.88671875" customWidth="1"/>
    <col min="28" max="28" width="13.6640625" customWidth="1"/>
    <col min="29" max="29" width="75.109375" customWidth="1"/>
    <col min="30" max="30" width="1" customWidth="1"/>
  </cols>
  <sheetData>
    <row r="1" spans="1:35" ht="19.8" x14ac:dyDescent="0.3">
      <c r="A1" s="305" t="s">
        <v>77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</row>
    <row r="2" spans="1:35" ht="19.8" x14ac:dyDescent="0.3">
      <c r="A2" s="305" t="s">
        <v>64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</row>
    <row r="3" spans="1:35" ht="19.8" x14ac:dyDescent="0.3">
      <c r="A3" s="306" t="s">
        <v>477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</row>
    <row r="4" spans="1:35" ht="25.5" customHeight="1" x14ac:dyDescent="0.3">
      <c r="A4" s="42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</row>
    <row r="5" spans="1:35" s="51" customFormat="1" ht="15.6" x14ac:dyDescent="0.3">
      <c r="A5" s="47"/>
      <c r="B5" s="119"/>
      <c r="C5" s="119"/>
      <c r="D5" s="119"/>
      <c r="E5" s="119"/>
      <c r="F5" s="119"/>
      <c r="G5" s="119"/>
      <c r="H5" s="281"/>
      <c r="I5" s="120" t="s">
        <v>22</v>
      </c>
      <c r="J5" s="284" t="s">
        <v>5</v>
      </c>
      <c r="K5" s="307" t="s">
        <v>1</v>
      </c>
      <c r="L5" s="308"/>
      <c r="M5" s="309"/>
      <c r="N5" s="121" t="s">
        <v>25</v>
      </c>
      <c r="O5" s="122"/>
      <c r="P5" s="310" t="s">
        <v>8</v>
      </c>
      <c r="Q5" s="311"/>
      <c r="R5" s="311"/>
      <c r="S5" s="311"/>
      <c r="T5" s="311"/>
      <c r="U5" s="312"/>
      <c r="V5" s="121" t="s">
        <v>52</v>
      </c>
      <c r="W5" s="121" t="s">
        <v>9</v>
      </c>
      <c r="X5" s="120" t="s">
        <v>52</v>
      </c>
      <c r="Y5" s="313" t="s">
        <v>2</v>
      </c>
      <c r="Z5" s="314"/>
      <c r="AA5" s="315"/>
      <c r="AB5" s="120" t="s">
        <v>0</v>
      </c>
      <c r="AC5" s="47"/>
    </row>
    <row r="6" spans="1:35" s="51" customFormat="1" ht="29.25" customHeight="1" x14ac:dyDescent="0.3">
      <c r="A6" s="52" t="s">
        <v>20</v>
      </c>
      <c r="B6" s="123" t="s">
        <v>101</v>
      </c>
      <c r="C6" s="123" t="s">
        <v>133</v>
      </c>
      <c r="D6" s="124" t="s">
        <v>21</v>
      </c>
      <c r="E6" s="124"/>
      <c r="F6" s="124"/>
      <c r="G6" s="124"/>
      <c r="H6" s="282"/>
      <c r="I6" s="287" t="s">
        <v>23</v>
      </c>
      <c r="J6" s="285" t="s">
        <v>24</v>
      </c>
      <c r="K6" s="120" t="s">
        <v>5</v>
      </c>
      <c r="L6" s="120" t="s">
        <v>58</v>
      </c>
      <c r="M6" s="120" t="s">
        <v>27</v>
      </c>
      <c r="N6" s="125" t="s">
        <v>26</v>
      </c>
      <c r="O6" s="122" t="s">
        <v>31</v>
      </c>
      <c r="P6" s="122" t="s">
        <v>11</v>
      </c>
      <c r="Q6" s="122" t="s">
        <v>33</v>
      </c>
      <c r="R6" s="122" t="s">
        <v>35</v>
      </c>
      <c r="S6" s="122" t="s">
        <v>36</v>
      </c>
      <c r="T6" s="122" t="s">
        <v>13</v>
      </c>
      <c r="U6" s="122" t="s">
        <v>9</v>
      </c>
      <c r="V6" s="125" t="s">
        <v>39</v>
      </c>
      <c r="W6" s="125" t="s">
        <v>40</v>
      </c>
      <c r="X6" s="124" t="s">
        <v>30</v>
      </c>
      <c r="Y6" s="120" t="s">
        <v>433</v>
      </c>
      <c r="Z6" s="120" t="s">
        <v>56</v>
      </c>
      <c r="AA6" s="120" t="s">
        <v>6</v>
      </c>
      <c r="AB6" s="124" t="s">
        <v>3</v>
      </c>
      <c r="AC6" s="52" t="s">
        <v>57</v>
      </c>
    </row>
    <row r="7" spans="1:35" s="51" customFormat="1" ht="15.6" x14ac:dyDescent="0.3">
      <c r="A7" s="60"/>
      <c r="B7" s="126"/>
      <c r="C7" s="126"/>
      <c r="D7" s="127"/>
      <c r="E7" s="127"/>
      <c r="F7" s="127"/>
      <c r="G7" s="127"/>
      <c r="H7" s="283"/>
      <c r="I7" s="127"/>
      <c r="J7" s="286"/>
      <c r="K7" s="127" t="s">
        <v>46</v>
      </c>
      <c r="L7" s="127" t="s">
        <v>59</v>
      </c>
      <c r="M7" s="127" t="s">
        <v>28</v>
      </c>
      <c r="N7" s="128" t="s">
        <v>42</v>
      </c>
      <c r="O7" s="121" t="s">
        <v>32</v>
      </c>
      <c r="P7" s="121" t="s">
        <v>12</v>
      </c>
      <c r="Q7" s="121" t="s">
        <v>34</v>
      </c>
      <c r="R7" s="121" t="s">
        <v>34</v>
      </c>
      <c r="S7" s="121" t="s">
        <v>37</v>
      </c>
      <c r="T7" s="121" t="s">
        <v>14</v>
      </c>
      <c r="U7" s="121" t="s">
        <v>38</v>
      </c>
      <c r="V7" s="125" t="s">
        <v>51</v>
      </c>
      <c r="W7" s="129" t="s">
        <v>255</v>
      </c>
      <c r="X7" s="127" t="s">
        <v>51</v>
      </c>
      <c r="Y7" s="127"/>
      <c r="Z7" s="127"/>
      <c r="AA7" s="127" t="s">
        <v>43</v>
      </c>
      <c r="AB7" s="127" t="s">
        <v>4</v>
      </c>
      <c r="AC7" s="57"/>
    </row>
    <row r="8" spans="1:35" s="51" customFormat="1" ht="43.5" customHeight="1" x14ac:dyDescent="0.3">
      <c r="A8" s="223"/>
      <c r="B8" s="241" t="s">
        <v>101</v>
      </c>
      <c r="C8" s="241" t="s">
        <v>133</v>
      </c>
      <c r="D8" s="242" t="s">
        <v>62</v>
      </c>
      <c r="E8" s="223" t="s">
        <v>102</v>
      </c>
      <c r="F8" s="223" t="s">
        <v>326</v>
      </c>
      <c r="G8" s="241" t="s">
        <v>468</v>
      </c>
      <c r="H8" s="223" t="s">
        <v>61</v>
      </c>
      <c r="I8" s="223"/>
      <c r="J8" s="223"/>
      <c r="K8" s="243">
        <f>SUM(K9:K11)</f>
        <v>47383</v>
      </c>
      <c r="L8" s="243">
        <f>SUM(L9:L11)</f>
        <v>0</v>
      </c>
      <c r="M8" s="243">
        <f>SUM(M9:M11)</f>
        <v>47383</v>
      </c>
      <c r="N8" s="223"/>
      <c r="O8" s="223"/>
      <c r="P8" s="223"/>
      <c r="Q8" s="223"/>
      <c r="R8" s="223"/>
      <c r="S8" s="223"/>
      <c r="T8" s="223"/>
      <c r="U8" s="223"/>
      <c r="V8" s="223"/>
      <c r="W8" s="244"/>
      <c r="X8" s="243">
        <f>SUM(X9:X11)</f>
        <v>0</v>
      </c>
      <c r="Y8" s="243">
        <f>SUM(Y9:Y11)</f>
        <v>8222.0499999999993</v>
      </c>
      <c r="Z8" s="243">
        <f>SUM(Z9:Z11)</f>
        <v>1500</v>
      </c>
      <c r="AA8" s="243">
        <f>SUM(AA9:AA11)</f>
        <v>9722.0499999999993</v>
      </c>
      <c r="AB8" s="243">
        <f>SUM(AB9:AB11)</f>
        <v>37660.949999999997</v>
      </c>
      <c r="AC8" s="63"/>
    </row>
    <row r="9" spans="1:35" s="51" customFormat="1" ht="102.75" customHeight="1" x14ac:dyDescent="0.35">
      <c r="A9" s="153" t="s">
        <v>83</v>
      </c>
      <c r="B9" s="152" t="s">
        <v>246</v>
      </c>
      <c r="C9" s="153" t="s">
        <v>124</v>
      </c>
      <c r="D9" s="227" t="s">
        <v>247</v>
      </c>
      <c r="E9" s="154" t="s">
        <v>248</v>
      </c>
      <c r="F9" s="205" t="s">
        <v>341</v>
      </c>
      <c r="G9" s="232">
        <v>43374</v>
      </c>
      <c r="H9" s="155" t="s">
        <v>249</v>
      </c>
      <c r="I9" s="156">
        <v>15</v>
      </c>
      <c r="J9" s="157">
        <v>1677.25</v>
      </c>
      <c r="K9" s="158">
        <v>27705</v>
      </c>
      <c r="L9" s="159">
        <v>0</v>
      </c>
      <c r="M9" s="160">
        <f>SUM(K9:L9)</f>
        <v>27705</v>
      </c>
      <c r="N9" s="161">
        <f>IF(K9/15&lt;=SMG,0,L9/2)</f>
        <v>0</v>
      </c>
      <c r="O9" s="161">
        <f>K9+N9</f>
        <v>27705</v>
      </c>
      <c r="P9" s="161">
        <f>VLOOKUP(O9,Tarifa1,1)</f>
        <v>24292.66</v>
      </c>
      <c r="Q9" s="161">
        <f>O9-P9</f>
        <v>3412.34</v>
      </c>
      <c r="R9" s="162">
        <f>VLOOKUP(O9,Tarifa1,3)</f>
        <v>0.3</v>
      </c>
      <c r="S9" s="161">
        <f>Q9*R9</f>
        <v>1023.702</v>
      </c>
      <c r="T9" s="163">
        <f>VLOOKUP(O9,Tarifa1,2)</f>
        <v>4557.75</v>
      </c>
      <c r="U9" s="161">
        <f>S9+T9</f>
        <v>5581.4520000000002</v>
      </c>
      <c r="V9" s="161">
        <f>VLOOKUP(O9,Credito1,2)</f>
        <v>0</v>
      </c>
      <c r="W9" s="161">
        <f>ROUND(U9-V9,2)</f>
        <v>5581.45</v>
      </c>
      <c r="X9" s="160">
        <f>-IF(W9&gt;0,0,W9)</f>
        <v>0</v>
      </c>
      <c r="Y9" s="160">
        <f>IF(K9/15&lt;=SMG,0,IF(W9&lt;0,0,W9))</f>
        <v>5581.45</v>
      </c>
      <c r="Z9" s="164">
        <v>0</v>
      </c>
      <c r="AA9" s="160">
        <f>SUM(Y9:Z9)</f>
        <v>5581.45</v>
      </c>
      <c r="AB9" s="160">
        <f>M9+X9-AA9</f>
        <v>22123.55</v>
      </c>
      <c r="AC9" s="58"/>
    </row>
    <row r="10" spans="1:35" s="51" customFormat="1" ht="102.75" customHeight="1" x14ac:dyDescent="0.35">
      <c r="A10" s="153" t="s">
        <v>84</v>
      </c>
      <c r="B10" s="152" t="s">
        <v>181</v>
      </c>
      <c r="C10" s="153" t="s">
        <v>124</v>
      </c>
      <c r="D10" s="227" t="s">
        <v>164</v>
      </c>
      <c r="E10" s="154" t="s">
        <v>173</v>
      </c>
      <c r="F10" s="205" t="s">
        <v>349</v>
      </c>
      <c r="G10" s="232">
        <v>43101</v>
      </c>
      <c r="H10" s="155" t="s">
        <v>250</v>
      </c>
      <c r="I10" s="156">
        <v>15</v>
      </c>
      <c r="J10" s="157">
        <v>850.15</v>
      </c>
      <c r="K10" s="158">
        <v>14043</v>
      </c>
      <c r="L10" s="159">
        <v>0</v>
      </c>
      <c r="M10" s="160">
        <f>SUM(K10:L10)</f>
        <v>14043</v>
      </c>
      <c r="N10" s="161">
        <f>IF(K10/15&lt;=SMG,0,L10/2)</f>
        <v>0</v>
      </c>
      <c r="O10" s="161">
        <f t="shared" ref="O10" si="0">K10+N10</f>
        <v>14043</v>
      </c>
      <c r="P10" s="161">
        <f>VLOOKUP(O10,Tarifa1,1)</f>
        <v>7641.91</v>
      </c>
      <c r="Q10" s="161">
        <f t="shared" ref="Q10" si="1">O10-P10</f>
        <v>6401.09</v>
      </c>
      <c r="R10" s="162">
        <f>VLOOKUP(O10,Tarifa1,3)</f>
        <v>0.21360000000000001</v>
      </c>
      <c r="S10" s="161">
        <f t="shared" ref="S10" si="2">Q10*R10</f>
        <v>1367.2728240000001</v>
      </c>
      <c r="T10" s="163">
        <f>VLOOKUP(O10,Tarifa1,2)</f>
        <v>809.25</v>
      </c>
      <c r="U10" s="161">
        <f t="shared" ref="U10" si="3">S10+T10</f>
        <v>2176.5228240000001</v>
      </c>
      <c r="V10" s="161">
        <f>VLOOKUP(O10,Credito1,2)</f>
        <v>0</v>
      </c>
      <c r="W10" s="161">
        <f t="shared" ref="W10" si="4">ROUND(U10-V10,2)</f>
        <v>2176.52</v>
      </c>
      <c r="X10" s="160">
        <f>-IF(W10&gt;0,0,W10)</f>
        <v>0</v>
      </c>
      <c r="Y10" s="160">
        <f>IF(K10/15&lt;=SMG,0,IF(W10&lt;0,0,W10))</f>
        <v>2176.52</v>
      </c>
      <c r="Z10" s="164">
        <v>1500</v>
      </c>
      <c r="AA10" s="160">
        <f>SUM(Y10:Z10)</f>
        <v>3676.52</v>
      </c>
      <c r="AB10" s="160">
        <f>M10+X10-AA10</f>
        <v>10366.48</v>
      </c>
      <c r="AC10" s="58"/>
      <c r="AI10" s="59"/>
    </row>
    <row r="11" spans="1:35" s="51" customFormat="1" ht="102.75" customHeight="1" x14ac:dyDescent="0.35">
      <c r="A11" s="153"/>
      <c r="B11" s="153" t="s">
        <v>109</v>
      </c>
      <c r="C11" s="152" t="s">
        <v>124</v>
      </c>
      <c r="D11" s="227" t="s">
        <v>65</v>
      </c>
      <c r="E11" s="154" t="s">
        <v>110</v>
      </c>
      <c r="F11" s="205" t="s">
        <v>329</v>
      </c>
      <c r="G11" s="232">
        <v>40026</v>
      </c>
      <c r="H11" s="154" t="s">
        <v>63</v>
      </c>
      <c r="I11" s="156">
        <v>15</v>
      </c>
      <c r="J11" s="157">
        <v>341.11</v>
      </c>
      <c r="K11" s="158">
        <v>5635</v>
      </c>
      <c r="L11" s="159">
        <v>0</v>
      </c>
      <c r="M11" s="160">
        <f>SUM(K11:L11)</f>
        <v>5635</v>
      </c>
      <c r="N11" s="161">
        <f>IF(K11/15&lt;=SMG,0,L11/2)</f>
        <v>0</v>
      </c>
      <c r="O11" s="161">
        <f t="shared" ref="O11" si="5">K11+N11</f>
        <v>5635</v>
      </c>
      <c r="P11" s="161">
        <f>VLOOKUP(O11,Tarifa1,1)</f>
        <v>5490.76</v>
      </c>
      <c r="Q11" s="161">
        <f t="shared" ref="Q11" si="6">O11-P11</f>
        <v>144.23999999999978</v>
      </c>
      <c r="R11" s="162">
        <f>VLOOKUP(O11,Tarifa1,3)</f>
        <v>0.16</v>
      </c>
      <c r="S11" s="161">
        <f t="shared" ref="S11" si="7">Q11*R11</f>
        <v>23.078399999999966</v>
      </c>
      <c r="T11" s="163">
        <f>VLOOKUP(O11,Tarifa1,2)</f>
        <v>441</v>
      </c>
      <c r="U11" s="161">
        <f t="shared" ref="U11" si="8">S11+T11</f>
        <v>464.07839999999999</v>
      </c>
      <c r="V11" s="161">
        <f>VLOOKUP(O11,Credito1,2)</f>
        <v>0</v>
      </c>
      <c r="W11" s="161">
        <f t="shared" ref="W11" si="9">ROUND(U11-V11,2)</f>
        <v>464.08</v>
      </c>
      <c r="X11" s="160">
        <f>-IF(W11&gt;0,0,W11)</f>
        <v>0</v>
      </c>
      <c r="Y11" s="160">
        <f>IF(K11/15&lt;=SMG,0,IF(W11&lt;0,0,W11))</f>
        <v>464.08</v>
      </c>
      <c r="Z11" s="164">
        <v>0</v>
      </c>
      <c r="AA11" s="160">
        <f>SUM(Y11:Z11)</f>
        <v>464.08</v>
      </c>
      <c r="AB11" s="160">
        <f>M11+X11-AA11</f>
        <v>5170.92</v>
      </c>
      <c r="AC11" s="58"/>
      <c r="AI11" s="59"/>
    </row>
    <row r="12" spans="1:35" s="51" customFormat="1" ht="44.25" customHeight="1" x14ac:dyDescent="0.3">
      <c r="A12" s="153"/>
      <c r="B12" s="241" t="s">
        <v>101</v>
      </c>
      <c r="C12" s="241" t="s">
        <v>133</v>
      </c>
      <c r="D12" s="257" t="s">
        <v>128</v>
      </c>
      <c r="E12" s="223" t="s">
        <v>102</v>
      </c>
      <c r="F12" s="223" t="s">
        <v>326</v>
      </c>
      <c r="G12" s="241" t="s">
        <v>468</v>
      </c>
      <c r="H12" s="223" t="s">
        <v>61</v>
      </c>
      <c r="I12" s="223"/>
      <c r="J12" s="223"/>
      <c r="K12" s="243">
        <f>SUM(K13)</f>
        <v>6309</v>
      </c>
      <c r="L12" s="243">
        <f>SUM(L13)</f>
        <v>0</v>
      </c>
      <c r="M12" s="243">
        <f>SUM(M13)</f>
        <v>6309</v>
      </c>
      <c r="N12" s="223"/>
      <c r="O12" s="223"/>
      <c r="P12" s="223"/>
      <c r="Q12" s="223"/>
      <c r="R12" s="223"/>
      <c r="S12" s="223"/>
      <c r="T12" s="245"/>
      <c r="U12" s="223"/>
      <c r="V12" s="223"/>
      <c r="W12" s="244"/>
      <c r="X12" s="243">
        <f>SUM(X13)</f>
        <v>0</v>
      </c>
      <c r="Y12" s="243">
        <f>SUM(Y13)</f>
        <v>571.91999999999996</v>
      </c>
      <c r="Z12" s="243">
        <f>SUM(Z13)</f>
        <v>0</v>
      </c>
      <c r="AA12" s="243">
        <f>SUM(AA13)</f>
        <v>571.91999999999996</v>
      </c>
      <c r="AB12" s="243">
        <f>SUM(AB13)</f>
        <v>5737.08</v>
      </c>
      <c r="AC12" s="63"/>
      <c r="AI12" s="59"/>
    </row>
    <row r="13" spans="1:35" s="51" customFormat="1" ht="102.75" customHeight="1" x14ac:dyDescent="0.35">
      <c r="A13" s="153" t="s">
        <v>85</v>
      </c>
      <c r="B13" s="153" t="s">
        <v>407</v>
      </c>
      <c r="C13" s="152" t="s">
        <v>124</v>
      </c>
      <c r="D13" s="227" t="s">
        <v>398</v>
      </c>
      <c r="E13" s="154" t="s">
        <v>399</v>
      </c>
      <c r="F13" s="205" t="s">
        <v>402</v>
      </c>
      <c r="G13" s="232">
        <v>44743</v>
      </c>
      <c r="H13" s="155" t="s">
        <v>97</v>
      </c>
      <c r="I13" s="156">
        <v>15</v>
      </c>
      <c r="J13" s="157">
        <v>381.95</v>
      </c>
      <c r="K13" s="158">
        <v>6309</v>
      </c>
      <c r="L13" s="159">
        <v>0</v>
      </c>
      <c r="M13" s="160">
        <f>K13</f>
        <v>6309</v>
      </c>
      <c r="N13" s="161">
        <f>IF(K13/15&lt;=SMG,0,L13/2)</f>
        <v>0</v>
      </c>
      <c r="O13" s="161">
        <f t="shared" ref="O13" si="10">K13+N13</f>
        <v>6309</v>
      </c>
      <c r="P13" s="161">
        <f>VLOOKUP(O13,Tarifa1,1)</f>
        <v>5490.76</v>
      </c>
      <c r="Q13" s="161">
        <f t="shared" ref="Q13" si="11">O13-P13</f>
        <v>818.23999999999978</v>
      </c>
      <c r="R13" s="162">
        <f>VLOOKUP(O13,Tarifa1,3)</f>
        <v>0.16</v>
      </c>
      <c r="S13" s="161">
        <f t="shared" ref="S13" si="12">Q13*R13</f>
        <v>130.91839999999996</v>
      </c>
      <c r="T13" s="163">
        <f>VLOOKUP(O13,Tarifa1,2)</f>
        <v>441</v>
      </c>
      <c r="U13" s="161">
        <f t="shared" ref="U13" si="13">S13+T13</f>
        <v>571.91840000000002</v>
      </c>
      <c r="V13" s="161">
        <f>VLOOKUP(O13,Credito1,2)</f>
        <v>0</v>
      </c>
      <c r="W13" s="161">
        <f t="shared" ref="W13" si="14">ROUND(U13-V13,2)</f>
        <v>571.91999999999996</v>
      </c>
      <c r="X13" s="160">
        <f>-IF(W13&gt;0,0,W13)</f>
        <v>0</v>
      </c>
      <c r="Y13" s="160">
        <f>IF(K13/15&lt;=SMG,0,IF(W13&lt;0,0,W13))</f>
        <v>571.91999999999996</v>
      </c>
      <c r="Z13" s="164">
        <v>0</v>
      </c>
      <c r="AA13" s="160">
        <f>SUM(Y13:Z13)</f>
        <v>571.91999999999996</v>
      </c>
      <c r="AB13" s="160">
        <f>M13+X13-AA13</f>
        <v>5737.08</v>
      </c>
      <c r="AC13" s="58"/>
      <c r="AI13" s="59"/>
    </row>
    <row r="14" spans="1:35" s="51" customFormat="1" ht="44.25" customHeight="1" x14ac:dyDescent="0.3">
      <c r="A14" s="153"/>
      <c r="B14" s="241" t="s">
        <v>101</v>
      </c>
      <c r="C14" s="241" t="s">
        <v>133</v>
      </c>
      <c r="D14" s="242" t="s">
        <v>129</v>
      </c>
      <c r="E14" s="223" t="s">
        <v>102</v>
      </c>
      <c r="F14" s="223" t="s">
        <v>326</v>
      </c>
      <c r="G14" s="241" t="s">
        <v>468</v>
      </c>
      <c r="H14" s="223" t="s">
        <v>61</v>
      </c>
      <c r="I14" s="223"/>
      <c r="J14" s="223"/>
      <c r="K14" s="243">
        <v>4896.5</v>
      </c>
      <c r="L14" s="243">
        <f>SUM(L15)</f>
        <v>0</v>
      </c>
      <c r="M14" s="243">
        <f>SUM(M15)</f>
        <v>5043</v>
      </c>
      <c r="N14" s="223"/>
      <c r="O14" s="223"/>
      <c r="P14" s="223"/>
      <c r="Q14" s="223"/>
      <c r="R14" s="223"/>
      <c r="S14" s="223"/>
      <c r="T14" s="245"/>
      <c r="U14" s="223"/>
      <c r="V14" s="223"/>
      <c r="W14" s="244"/>
      <c r="X14" s="243">
        <f>SUM(X15)</f>
        <v>0</v>
      </c>
      <c r="Y14" s="243">
        <f>SUM(Y15)</f>
        <v>392.2</v>
      </c>
      <c r="Z14" s="243">
        <f>SUM(Z15)</f>
        <v>2000</v>
      </c>
      <c r="AA14" s="243">
        <f>SUM(AA15)</f>
        <v>2392.1999999999998</v>
      </c>
      <c r="AB14" s="243">
        <f>SUM(AB15)</f>
        <v>2650.8</v>
      </c>
      <c r="AC14" s="63"/>
      <c r="AI14" s="59"/>
    </row>
    <row r="15" spans="1:35" s="51" customFormat="1" ht="102.75" customHeight="1" x14ac:dyDescent="0.35">
      <c r="A15" s="153" t="s">
        <v>87</v>
      </c>
      <c r="B15" s="153" t="s">
        <v>260</v>
      </c>
      <c r="C15" s="153" t="s">
        <v>124</v>
      </c>
      <c r="D15" s="227" t="s">
        <v>284</v>
      </c>
      <c r="E15" s="170" t="s">
        <v>285</v>
      </c>
      <c r="F15" s="205" t="s">
        <v>368</v>
      </c>
      <c r="G15" s="232">
        <v>44470</v>
      </c>
      <c r="H15" s="155" t="s">
        <v>405</v>
      </c>
      <c r="I15" s="156">
        <v>15</v>
      </c>
      <c r="J15" s="157">
        <v>305.35000000000002</v>
      </c>
      <c r="K15" s="158">
        <v>5043</v>
      </c>
      <c r="L15" s="159">
        <v>0</v>
      </c>
      <c r="M15" s="160">
        <f>SUM(K15:L15)</f>
        <v>5043</v>
      </c>
      <c r="N15" s="161">
        <f>IF(K15/15&lt;=SMG,0,L15/2)</f>
        <v>0</v>
      </c>
      <c r="O15" s="161">
        <f t="shared" ref="O15" si="15">K15+N15</f>
        <v>5043</v>
      </c>
      <c r="P15" s="161">
        <f>VLOOKUP(O15,Tarifa1,1)</f>
        <v>3124.36</v>
      </c>
      <c r="Q15" s="161">
        <f t="shared" ref="Q15" si="16">O15-P15</f>
        <v>1918.6399999999999</v>
      </c>
      <c r="R15" s="162">
        <f>VLOOKUP(O15,Tarifa1,3)</f>
        <v>0.10879999999999999</v>
      </c>
      <c r="S15" s="161">
        <f t="shared" ref="S15" si="17">Q15*R15</f>
        <v>208.74803199999997</v>
      </c>
      <c r="T15" s="163">
        <f>VLOOKUP(O15,Tarifa1,2)</f>
        <v>183.45</v>
      </c>
      <c r="U15" s="161">
        <f t="shared" ref="U15" si="18">S15+T15</f>
        <v>392.19803199999996</v>
      </c>
      <c r="V15" s="161">
        <f>VLOOKUP(O15,Credito1,2)</f>
        <v>0</v>
      </c>
      <c r="W15" s="161">
        <f t="shared" ref="W15" si="19">ROUND(U15-V15,2)</f>
        <v>392.2</v>
      </c>
      <c r="X15" s="160">
        <f t="shared" ref="X15" si="20">-IF(W15&gt;0,0,W15)</f>
        <v>0</v>
      </c>
      <c r="Y15" s="160">
        <f>IF(K15/15&lt;=SMG,0,IF(W15&lt;0,0,W15))</f>
        <v>392.2</v>
      </c>
      <c r="Z15" s="164">
        <v>2000</v>
      </c>
      <c r="AA15" s="160">
        <f>SUM(Y15:Z15)</f>
        <v>2392.1999999999998</v>
      </c>
      <c r="AB15" s="160">
        <f>M15+X15-AA15</f>
        <v>2650.8</v>
      </c>
      <c r="AC15" s="58"/>
      <c r="AI15" s="64"/>
    </row>
    <row r="16" spans="1:35" s="51" customFormat="1" ht="43.5" customHeight="1" x14ac:dyDescent="0.3">
      <c r="A16" s="153"/>
      <c r="B16" s="241" t="s">
        <v>101</v>
      </c>
      <c r="C16" s="241" t="s">
        <v>133</v>
      </c>
      <c r="D16" s="242" t="s">
        <v>130</v>
      </c>
      <c r="E16" s="223" t="s">
        <v>102</v>
      </c>
      <c r="F16" s="223" t="s">
        <v>326</v>
      </c>
      <c r="G16" s="241" t="s">
        <v>468</v>
      </c>
      <c r="H16" s="223" t="s">
        <v>61</v>
      </c>
      <c r="I16" s="223"/>
      <c r="J16" s="223"/>
      <c r="K16" s="243">
        <f>SUM(K17:K18)</f>
        <v>14516.91</v>
      </c>
      <c r="L16" s="243">
        <f>SUM(L17:L18)</f>
        <v>0</v>
      </c>
      <c r="M16" s="243">
        <f>SUM(M17:M18)</f>
        <v>14516.91</v>
      </c>
      <c r="N16" s="223"/>
      <c r="O16" s="223"/>
      <c r="P16" s="223"/>
      <c r="Q16" s="223"/>
      <c r="R16" s="223"/>
      <c r="S16" s="223"/>
      <c r="T16" s="245"/>
      <c r="U16" s="223"/>
      <c r="V16" s="223"/>
      <c r="W16" s="244"/>
      <c r="X16" s="243">
        <f>SUM(X17:X18)</f>
        <v>0</v>
      </c>
      <c r="Y16" s="243">
        <f>SUM(Y17:Y18)</f>
        <v>1716.3300000000002</v>
      </c>
      <c r="Z16" s="243">
        <f>SUM(Z17:Z18)</f>
        <v>0</v>
      </c>
      <c r="AA16" s="243">
        <f>SUM(AA17:AA18)</f>
        <v>1716.3300000000002</v>
      </c>
      <c r="AB16" s="243">
        <f>SUM(AB17:AB18)</f>
        <v>12800.58</v>
      </c>
      <c r="AC16" s="63"/>
      <c r="AI16" s="64"/>
    </row>
    <row r="17" spans="1:3226" s="51" customFormat="1" ht="102.75" customHeight="1" x14ac:dyDescent="0.35">
      <c r="A17" s="153" t="s">
        <v>88</v>
      </c>
      <c r="B17" s="152" t="s">
        <v>177</v>
      </c>
      <c r="C17" s="153" t="s">
        <v>124</v>
      </c>
      <c r="D17" s="227" t="s">
        <v>154</v>
      </c>
      <c r="E17" s="154" t="s">
        <v>169</v>
      </c>
      <c r="F17" s="205" t="s">
        <v>343</v>
      </c>
      <c r="G17" s="232">
        <v>43374</v>
      </c>
      <c r="H17" s="155" t="s">
        <v>82</v>
      </c>
      <c r="I17" s="156">
        <v>15</v>
      </c>
      <c r="J17" s="157">
        <v>625.85200000000009</v>
      </c>
      <c r="K17" s="158">
        <v>10653</v>
      </c>
      <c r="L17" s="159">
        <v>0</v>
      </c>
      <c r="M17" s="160">
        <f>K17</f>
        <v>10653</v>
      </c>
      <c r="N17" s="161">
        <f>IF(K17/15&lt;=SMG,0,L17/2)</f>
        <v>0</v>
      </c>
      <c r="O17" s="161">
        <f t="shared" ref="O17:O18" si="21">K17+N17</f>
        <v>10653</v>
      </c>
      <c r="P17" s="161">
        <f>VLOOKUP(O17,Tarifa1,1)</f>
        <v>7641.91</v>
      </c>
      <c r="Q17" s="161">
        <f t="shared" ref="Q17:Q18" si="22">O17-P17</f>
        <v>3011.09</v>
      </c>
      <c r="R17" s="162">
        <f>VLOOKUP(O17,Tarifa1,3)</f>
        <v>0.21360000000000001</v>
      </c>
      <c r="S17" s="161">
        <f t="shared" ref="S17:S18" si="23">Q17*R17</f>
        <v>643.16882400000009</v>
      </c>
      <c r="T17" s="163">
        <f>VLOOKUP(O17,Tarifa1,2)</f>
        <v>809.25</v>
      </c>
      <c r="U17" s="161">
        <f t="shared" ref="U17:U18" si="24">S17+T17</f>
        <v>1452.4188240000001</v>
      </c>
      <c r="V17" s="161">
        <f>VLOOKUP(O17,Credito1,2)</f>
        <v>0</v>
      </c>
      <c r="W17" s="161">
        <f t="shared" ref="W17:W18" si="25">ROUND(U17-V17,2)</f>
        <v>1452.42</v>
      </c>
      <c r="X17" s="160">
        <f t="shared" ref="X17:X18" si="26">-IF(W17&gt;0,0,W17)</f>
        <v>0</v>
      </c>
      <c r="Y17" s="160">
        <f>IF(K17/15&lt;=SMG,0,IF(W17&lt;0,0,W17))</f>
        <v>1452.42</v>
      </c>
      <c r="Z17" s="164">
        <v>0</v>
      </c>
      <c r="AA17" s="160">
        <f>SUM(Y17:Z17)</f>
        <v>1452.42</v>
      </c>
      <c r="AB17" s="160">
        <f>M17+X17-AA17</f>
        <v>9200.58</v>
      </c>
      <c r="AC17" s="58"/>
      <c r="AI17" s="64"/>
    </row>
    <row r="18" spans="1:3226" s="51" customFormat="1" ht="102.75" customHeight="1" x14ac:dyDescent="0.35">
      <c r="A18" s="280"/>
      <c r="B18" s="268" t="s">
        <v>471</v>
      </c>
      <c r="C18" s="169" t="s">
        <v>124</v>
      </c>
      <c r="D18" s="275" t="s">
        <v>472</v>
      </c>
      <c r="E18" s="269" t="s">
        <v>470</v>
      </c>
      <c r="F18" s="270" t="s">
        <v>473</v>
      </c>
      <c r="G18" s="271">
        <v>44991</v>
      </c>
      <c r="H18" s="272" t="s">
        <v>63</v>
      </c>
      <c r="I18" s="273">
        <v>10</v>
      </c>
      <c r="J18" s="274"/>
      <c r="K18" s="158">
        <v>3863.91</v>
      </c>
      <c r="L18" s="159">
        <v>0</v>
      </c>
      <c r="M18" s="160">
        <f>SUM(K18:L18)</f>
        <v>3863.91</v>
      </c>
      <c r="N18" s="161">
        <f>IF(K18/15&lt;=SMG,0,L18/2)</f>
        <v>0</v>
      </c>
      <c r="O18" s="161">
        <f t="shared" si="21"/>
        <v>3863.91</v>
      </c>
      <c r="P18" s="161">
        <f>VLOOKUP(O18,Tarifa1,1)</f>
        <v>3124.36</v>
      </c>
      <c r="Q18" s="161">
        <f t="shared" si="22"/>
        <v>739.54999999999973</v>
      </c>
      <c r="R18" s="162">
        <f>VLOOKUP(O18,Tarifa1,3)</f>
        <v>0.10879999999999999</v>
      </c>
      <c r="S18" s="161">
        <f t="shared" si="23"/>
        <v>80.463039999999964</v>
      </c>
      <c r="T18" s="163">
        <f>VLOOKUP(O18,Tarifa1,2)</f>
        <v>183.45</v>
      </c>
      <c r="U18" s="161">
        <f t="shared" si="24"/>
        <v>263.91303999999997</v>
      </c>
      <c r="V18" s="161">
        <f>VLOOKUP(O18,Credito1,2)</f>
        <v>0</v>
      </c>
      <c r="W18" s="161">
        <f t="shared" si="25"/>
        <v>263.91000000000003</v>
      </c>
      <c r="X18" s="160">
        <f t="shared" si="26"/>
        <v>0</v>
      </c>
      <c r="Y18" s="160">
        <f>IF(K18/15&lt;=SMG,0,IF(W18&lt;0,0,W18))</f>
        <v>263.91000000000003</v>
      </c>
      <c r="Z18" s="164">
        <v>0</v>
      </c>
      <c r="AA18" s="160">
        <f>SUM(Y18:Z18)</f>
        <v>263.91000000000003</v>
      </c>
      <c r="AB18" s="160">
        <f>M18+X18-AA18</f>
        <v>3600</v>
      </c>
      <c r="AC18" s="56"/>
      <c r="AI18" s="64"/>
    </row>
    <row r="19" spans="1:3226" s="66" customFormat="1" ht="42" customHeight="1" x14ac:dyDescent="0.3">
      <c r="A19" s="153"/>
      <c r="B19" s="204" t="s">
        <v>101</v>
      </c>
      <c r="C19" s="204" t="s">
        <v>133</v>
      </c>
      <c r="D19" s="204" t="s">
        <v>131</v>
      </c>
      <c r="E19" s="259" t="s">
        <v>102</v>
      </c>
      <c r="F19" s="259" t="s">
        <v>326</v>
      </c>
      <c r="G19" s="204" t="s">
        <v>468</v>
      </c>
      <c r="H19" s="259" t="s">
        <v>61</v>
      </c>
      <c r="I19" s="259"/>
      <c r="J19" s="223"/>
      <c r="K19" s="243">
        <f>SUM(K20:K20)</f>
        <v>2954</v>
      </c>
      <c r="L19" s="243">
        <f>SUM(L20:L20)</f>
        <v>0</v>
      </c>
      <c r="M19" s="243">
        <f>SUM(M20:M20)</f>
        <v>2954</v>
      </c>
      <c r="N19" s="223"/>
      <c r="O19" s="223"/>
      <c r="P19" s="223"/>
      <c r="Q19" s="223"/>
      <c r="R19" s="223"/>
      <c r="S19" s="223"/>
      <c r="T19" s="245"/>
      <c r="U19" s="223"/>
      <c r="V19" s="223"/>
      <c r="W19" s="244"/>
      <c r="X19" s="243">
        <f>SUM(X20:X20)</f>
        <v>0</v>
      </c>
      <c r="Y19" s="243">
        <f>SUM(Y20:Y20)</f>
        <v>0</v>
      </c>
      <c r="Z19" s="243">
        <f>SUM(Z20:Z20)</f>
        <v>0</v>
      </c>
      <c r="AA19" s="243">
        <f>SUM(AA20:AA20)</f>
        <v>0</v>
      </c>
      <c r="AB19" s="243">
        <f>SUM(AB20:AB20)</f>
        <v>2954</v>
      </c>
      <c r="AC19" s="63"/>
      <c r="AD19" s="87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  <c r="IU19" s="51"/>
      <c r="IV19" s="51"/>
      <c r="IW19" s="51"/>
      <c r="IX19" s="51"/>
      <c r="IY19" s="51"/>
      <c r="IZ19" s="51"/>
      <c r="JA19" s="51"/>
      <c r="JB19" s="51"/>
      <c r="JC19" s="51"/>
      <c r="JD19" s="51"/>
      <c r="JE19" s="51"/>
      <c r="JF19" s="51"/>
      <c r="JG19" s="51"/>
      <c r="JH19" s="51"/>
      <c r="JI19" s="51"/>
      <c r="JJ19" s="51"/>
      <c r="JK19" s="51"/>
      <c r="JL19" s="51"/>
      <c r="JM19" s="51"/>
      <c r="JN19" s="51"/>
      <c r="JO19" s="51"/>
      <c r="JP19" s="51"/>
      <c r="JQ19" s="51"/>
      <c r="JR19" s="51"/>
      <c r="JS19" s="51"/>
      <c r="JT19" s="51"/>
      <c r="JU19" s="51"/>
      <c r="JV19" s="51"/>
      <c r="JW19" s="51"/>
      <c r="JX19" s="51"/>
      <c r="JY19" s="51"/>
      <c r="JZ19" s="51"/>
      <c r="KA19" s="51"/>
      <c r="KB19" s="51"/>
      <c r="KC19" s="51"/>
      <c r="KD19" s="51"/>
      <c r="KE19" s="51"/>
      <c r="KF19" s="51"/>
      <c r="KG19" s="51"/>
      <c r="KH19" s="51"/>
      <c r="KI19" s="51"/>
      <c r="KJ19" s="51"/>
      <c r="KK19" s="51"/>
      <c r="KL19" s="51"/>
      <c r="KM19" s="51"/>
      <c r="KN19" s="51"/>
      <c r="KO19" s="51"/>
      <c r="KP19" s="51"/>
      <c r="KQ19" s="51"/>
      <c r="KR19" s="51"/>
      <c r="KS19" s="51"/>
      <c r="KT19" s="51"/>
      <c r="KU19" s="51"/>
      <c r="KV19" s="51"/>
      <c r="KW19" s="51"/>
      <c r="KX19" s="51"/>
      <c r="KY19" s="51"/>
      <c r="KZ19" s="51"/>
      <c r="LA19" s="51"/>
      <c r="LB19" s="51"/>
      <c r="LC19" s="51"/>
      <c r="LD19" s="51"/>
      <c r="LE19" s="51"/>
      <c r="LF19" s="51"/>
      <c r="LG19" s="51"/>
      <c r="LH19" s="51"/>
      <c r="LI19" s="51"/>
      <c r="LJ19" s="51"/>
      <c r="LK19" s="51"/>
      <c r="LL19" s="51"/>
      <c r="LM19" s="51"/>
      <c r="LN19" s="51"/>
      <c r="LO19" s="51"/>
      <c r="LP19" s="51"/>
      <c r="LQ19" s="51"/>
      <c r="LR19" s="51"/>
      <c r="LS19" s="51"/>
      <c r="LT19" s="51"/>
      <c r="LU19" s="51"/>
      <c r="LV19" s="51"/>
      <c r="LW19" s="51"/>
      <c r="LX19" s="51"/>
      <c r="LY19" s="51"/>
      <c r="LZ19" s="51"/>
      <c r="MA19" s="51"/>
      <c r="MB19" s="51"/>
      <c r="MC19" s="51"/>
      <c r="MD19" s="51"/>
      <c r="ME19" s="51"/>
      <c r="MF19" s="51"/>
      <c r="MG19" s="51"/>
      <c r="MH19" s="51"/>
      <c r="MI19" s="51"/>
      <c r="MJ19" s="51"/>
      <c r="MK19" s="51"/>
      <c r="ML19" s="51"/>
      <c r="MM19" s="51"/>
      <c r="MN19" s="51"/>
      <c r="MO19" s="51"/>
      <c r="MP19" s="51"/>
      <c r="MQ19" s="51"/>
      <c r="MR19" s="51"/>
      <c r="MS19" s="51"/>
      <c r="MT19" s="51"/>
      <c r="MU19" s="51"/>
      <c r="MV19" s="51"/>
      <c r="MW19" s="51"/>
      <c r="MX19" s="51"/>
      <c r="MY19" s="51"/>
      <c r="MZ19" s="51"/>
      <c r="NA19" s="51"/>
      <c r="NB19" s="51"/>
      <c r="NC19" s="51"/>
      <c r="ND19" s="51"/>
      <c r="NE19" s="51"/>
      <c r="NF19" s="51"/>
      <c r="NG19" s="51"/>
      <c r="NH19" s="51"/>
      <c r="NI19" s="51"/>
      <c r="NJ19" s="51"/>
      <c r="NK19" s="51"/>
      <c r="NL19" s="51"/>
      <c r="NM19" s="51"/>
      <c r="NN19" s="51"/>
      <c r="NO19" s="51"/>
      <c r="NP19" s="51"/>
      <c r="NQ19" s="51"/>
      <c r="NR19" s="51"/>
      <c r="NS19" s="51"/>
      <c r="NT19" s="51"/>
      <c r="NU19" s="51"/>
      <c r="NV19" s="51"/>
      <c r="NW19" s="51"/>
      <c r="NX19" s="51"/>
      <c r="NY19" s="51"/>
      <c r="NZ19" s="51"/>
      <c r="OA19" s="51"/>
      <c r="OB19" s="51"/>
      <c r="OC19" s="51"/>
      <c r="OD19" s="51"/>
      <c r="OE19" s="51"/>
      <c r="OF19" s="51"/>
      <c r="OG19" s="51"/>
      <c r="OH19" s="51"/>
      <c r="OI19" s="51"/>
      <c r="OJ19" s="51"/>
      <c r="OK19" s="51"/>
      <c r="OL19" s="51"/>
      <c r="OM19" s="51"/>
      <c r="ON19" s="51"/>
      <c r="OO19" s="51"/>
      <c r="OP19" s="51"/>
      <c r="OQ19" s="51"/>
      <c r="OR19" s="51"/>
      <c r="OS19" s="51"/>
      <c r="OT19" s="51"/>
      <c r="OU19" s="51"/>
      <c r="OV19" s="51"/>
      <c r="OW19" s="51"/>
      <c r="OX19" s="51"/>
      <c r="OY19" s="51"/>
      <c r="OZ19" s="51"/>
      <c r="PA19" s="51"/>
      <c r="PB19" s="51"/>
      <c r="PC19" s="51"/>
      <c r="PD19" s="51"/>
      <c r="PE19" s="51"/>
      <c r="PF19" s="51"/>
      <c r="PG19" s="51"/>
      <c r="PH19" s="51"/>
      <c r="PI19" s="51"/>
      <c r="PJ19" s="51"/>
      <c r="PK19" s="51"/>
      <c r="PL19" s="51"/>
      <c r="PM19" s="51"/>
      <c r="PN19" s="51"/>
      <c r="PO19" s="51"/>
      <c r="PP19" s="51"/>
      <c r="PQ19" s="51"/>
      <c r="PR19" s="51"/>
      <c r="PS19" s="51"/>
      <c r="PT19" s="51"/>
      <c r="PU19" s="51"/>
      <c r="PV19" s="51"/>
      <c r="PW19" s="51"/>
      <c r="PX19" s="51"/>
      <c r="PY19" s="51"/>
      <c r="PZ19" s="51"/>
      <c r="QA19" s="51"/>
      <c r="QB19" s="51"/>
      <c r="QC19" s="51"/>
      <c r="QD19" s="51"/>
      <c r="QE19" s="51"/>
      <c r="QF19" s="51"/>
      <c r="QG19" s="51"/>
      <c r="QH19" s="51"/>
      <c r="QI19" s="51"/>
      <c r="QJ19" s="51"/>
      <c r="QK19" s="51"/>
      <c r="QL19" s="51"/>
      <c r="QM19" s="51"/>
      <c r="QN19" s="51"/>
      <c r="QO19" s="51"/>
      <c r="QP19" s="51"/>
      <c r="QQ19" s="51"/>
      <c r="QR19" s="51"/>
      <c r="QS19" s="51"/>
      <c r="QT19" s="51"/>
      <c r="QU19" s="51"/>
      <c r="QV19" s="51"/>
      <c r="QW19" s="51"/>
      <c r="QX19" s="51"/>
      <c r="QY19" s="51"/>
      <c r="QZ19" s="51"/>
      <c r="RA19" s="51"/>
      <c r="RB19" s="51"/>
      <c r="RC19" s="51"/>
      <c r="RD19" s="51"/>
      <c r="RE19" s="51"/>
      <c r="RF19" s="51"/>
      <c r="RG19" s="51"/>
      <c r="RH19" s="51"/>
      <c r="RI19" s="51"/>
      <c r="RJ19" s="51"/>
      <c r="RK19" s="51"/>
      <c r="RL19" s="51"/>
      <c r="RM19" s="51"/>
      <c r="RN19" s="51"/>
      <c r="RO19" s="51"/>
      <c r="RP19" s="51"/>
      <c r="RQ19" s="51"/>
      <c r="RR19" s="51"/>
      <c r="RS19" s="51"/>
      <c r="RT19" s="51"/>
      <c r="RU19" s="51"/>
      <c r="RV19" s="51"/>
      <c r="RW19" s="51"/>
      <c r="RX19" s="51"/>
      <c r="RY19" s="51"/>
      <c r="RZ19" s="51"/>
      <c r="SA19" s="51"/>
      <c r="SB19" s="51"/>
      <c r="SC19" s="51"/>
      <c r="SD19" s="51"/>
      <c r="SE19" s="51"/>
      <c r="SF19" s="51"/>
      <c r="SG19" s="51"/>
      <c r="SH19" s="51"/>
      <c r="SI19" s="51"/>
      <c r="SJ19" s="51"/>
      <c r="SK19" s="51"/>
      <c r="SL19" s="51"/>
      <c r="SM19" s="51"/>
      <c r="SN19" s="51"/>
      <c r="SO19" s="51"/>
      <c r="SP19" s="51"/>
      <c r="SQ19" s="51"/>
      <c r="SR19" s="51"/>
      <c r="SS19" s="51"/>
      <c r="ST19" s="51"/>
      <c r="SU19" s="51"/>
      <c r="SV19" s="51"/>
      <c r="SW19" s="51"/>
      <c r="SX19" s="51"/>
      <c r="SY19" s="51"/>
      <c r="SZ19" s="51"/>
      <c r="TA19" s="51"/>
      <c r="TB19" s="51"/>
      <c r="TC19" s="51"/>
      <c r="TD19" s="51"/>
      <c r="TE19" s="51"/>
      <c r="TF19" s="51"/>
      <c r="TG19" s="51"/>
      <c r="TH19" s="51"/>
      <c r="TI19" s="51"/>
      <c r="TJ19" s="51"/>
      <c r="TK19" s="51"/>
      <c r="TL19" s="51"/>
      <c r="TM19" s="51"/>
      <c r="TN19" s="51"/>
      <c r="TO19" s="51"/>
      <c r="TP19" s="51"/>
      <c r="TQ19" s="51"/>
      <c r="TR19" s="51"/>
      <c r="TS19" s="51"/>
      <c r="TT19" s="51"/>
      <c r="TU19" s="51"/>
      <c r="TV19" s="51"/>
      <c r="TW19" s="51"/>
      <c r="TX19" s="51"/>
      <c r="TY19" s="51"/>
      <c r="TZ19" s="51"/>
      <c r="UA19" s="51"/>
      <c r="UB19" s="51"/>
      <c r="UC19" s="51"/>
      <c r="UD19" s="51"/>
      <c r="UE19" s="51"/>
      <c r="UF19" s="51"/>
      <c r="UG19" s="51"/>
      <c r="UH19" s="51"/>
      <c r="UI19" s="51"/>
      <c r="UJ19" s="51"/>
      <c r="UK19" s="51"/>
      <c r="UL19" s="51"/>
      <c r="UM19" s="51"/>
      <c r="UN19" s="51"/>
      <c r="UO19" s="51"/>
      <c r="UP19" s="51"/>
      <c r="UQ19" s="51"/>
      <c r="UR19" s="51"/>
      <c r="US19" s="51"/>
      <c r="UT19" s="51"/>
      <c r="UU19" s="51"/>
      <c r="UV19" s="51"/>
      <c r="UW19" s="51"/>
      <c r="UX19" s="51"/>
      <c r="UY19" s="51"/>
      <c r="UZ19" s="51"/>
      <c r="VA19" s="51"/>
      <c r="VB19" s="51"/>
      <c r="VC19" s="51"/>
      <c r="VD19" s="51"/>
      <c r="VE19" s="51"/>
      <c r="VF19" s="51"/>
      <c r="VG19" s="51"/>
      <c r="VH19" s="51"/>
      <c r="VI19" s="51"/>
      <c r="VJ19" s="51"/>
      <c r="VK19" s="51"/>
      <c r="VL19" s="51"/>
      <c r="VM19" s="51"/>
      <c r="VN19" s="51"/>
      <c r="VO19" s="51"/>
      <c r="VP19" s="51"/>
      <c r="VQ19" s="51"/>
      <c r="VR19" s="51"/>
      <c r="VS19" s="51"/>
      <c r="VT19" s="51"/>
      <c r="VU19" s="51"/>
      <c r="VV19" s="51"/>
      <c r="VW19" s="51"/>
      <c r="VX19" s="51"/>
      <c r="VY19" s="51"/>
      <c r="VZ19" s="51"/>
      <c r="WA19" s="51"/>
      <c r="WB19" s="51"/>
      <c r="WC19" s="51"/>
      <c r="WD19" s="51"/>
      <c r="WE19" s="51"/>
      <c r="WF19" s="51"/>
      <c r="WG19" s="51"/>
      <c r="WH19" s="51"/>
      <c r="WI19" s="51"/>
      <c r="WJ19" s="51"/>
      <c r="WK19" s="51"/>
      <c r="WL19" s="51"/>
      <c r="WM19" s="51"/>
      <c r="WN19" s="51"/>
      <c r="WO19" s="51"/>
      <c r="WP19" s="51"/>
      <c r="WQ19" s="51"/>
      <c r="WR19" s="51"/>
      <c r="WS19" s="51"/>
      <c r="WT19" s="51"/>
      <c r="WU19" s="51"/>
      <c r="WV19" s="51"/>
      <c r="WW19" s="51"/>
      <c r="WX19" s="51"/>
      <c r="WY19" s="51"/>
      <c r="WZ19" s="51"/>
      <c r="XA19" s="51"/>
      <c r="XB19" s="51"/>
      <c r="XC19" s="51"/>
      <c r="XD19" s="51"/>
      <c r="XE19" s="51"/>
      <c r="XF19" s="51"/>
      <c r="XG19" s="51"/>
      <c r="XH19" s="51"/>
      <c r="XI19" s="51"/>
      <c r="XJ19" s="51"/>
      <c r="XK19" s="51"/>
      <c r="XL19" s="51"/>
      <c r="XM19" s="51"/>
      <c r="XN19" s="51"/>
      <c r="XO19" s="51"/>
      <c r="XP19" s="51"/>
      <c r="XQ19" s="51"/>
      <c r="XR19" s="51"/>
      <c r="XS19" s="51"/>
      <c r="XT19" s="51"/>
      <c r="XU19" s="51"/>
      <c r="XV19" s="51"/>
      <c r="XW19" s="51"/>
      <c r="XX19" s="51"/>
      <c r="XY19" s="51"/>
      <c r="XZ19" s="51"/>
      <c r="YA19" s="51"/>
      <c r="YB19" s="51"/>
      <c r="YC19" s="51"/>
      <c r="YD19" s="51"/>
      <c r="YE19" s="51"/>
      <c r="YF19" s="51"/>
      <c r="YG19" s="51"/>
      <c r="YH19" s="51"/>
      <c r="YI19" s="51"/>
      <c r="YJ19" s="51"/>
      <c r="YK19" s="51"/>
      <c r="YL19" s="51"/>
      <c r="YM19" s="51"/>
      <c r="YN19" s="51"/>
      <c r="YO19" s="51"/>
      <c r="YP19" s="51"/>
      <c r="YQ19" s="51"/>
      <c r="YR19" s="51"/>
      <c r="YS19" s="51"/>
      <c r="YT19" s="51"/>
      <c r="YU19" s="51"/>
      <c r="YV19" s="51"/>
      <c r="YW19" s="51"/>
      <c r="YX19" s="51"/>
      <c r="YY19" s="51"/>
      <c r="YZ19" s="51"/>
      <c r="ZA19" s="51"/>
      <c r="ZB19" s="51"/>
      <c r="ZC19" s="51"/>
      <c r="ZD19" s="51"/>
      <c r="ZE19" s="51"/>
      <c r="ZF19" s="51"/>
      <c r="ZG19" s="51"/>
      <c r="ZH19" s="51"/>
      <c r="ZI19" s="51"/>
      <c r="ZJ19" s="51"/>
      <c r="ZK19" s="51"/>
      <c r="ZL19" s="51"/>
      <c r="ZM19" s="51"/>
      <c r="ZN19" s="51"/>
      <c r="ZO19" s="51"/>
      <c r="ZP19" s="51"/>
      <c r="ZQ19" s="51"/>
      <c r="ZR19" s="51"/>
      <c r="ZS19" s="51"/>
      <c r="ZT19" s="51"/>
      <c r="ZU19" s="51"/>
      <c r="ZV19" s="51"/>
      <c r="ZW19" s="51"/>
      <c r="ZX19" s="51"/>
      <c r="ZY19" s="51"/>
      <c r="ZZ19" s="51"/>
      <c r="AAA19" s="51"/>
      <c r="AAB19" s="51"/>
      <c r="AAC19" s="51"/>
      <c r="AAD19" s="51"/>
      <c r="AAE19" s="51"/>
      <c r="AAF19" s="51"/>
      <c r="AAG19" s="51"/>
      <c r="AAH19" s="51"/>
      <c r="AAI19" s="51"/>
      <c r="AAJ19" s="51"/>
      <c r="AAK19" s="51"/>
      <c r="AAL19" s="51"/>
      <c r="AAM19" s="51"/>
      <c r="AAN19" s="51"/>
      <c r="AAO19" s="51"/>
      <c r="AAP19" s="51"/>
      <c r="AAQ19" s="51"/>
      <c r="AAR19" s="51"/>
      <c r="AAS19" s="51"/>
      <c r="AAT19" s="51"/>
      <c r="AAU19" s="51"/>
      <c r="AAV19" s="51"/>
      <c r="AAW19" s="51"/>
      <c r="AAX19" s="51"/>
      <c r="AAY19" s="51"/>
      <c r="AAZ19" s="51"/>
      <c r="ABA19" s="51"/>
      <c r="ABB19" s="51"/>
      <c r="ABC19" s="51"/>
      <c r="ABD19" s="51"/>
      <c r="ABE19" s="51"/>
      <c r="ABF19" s="51"/>
      <c r="ABG19" s="51"/>
      <c r="ABH19" s="51"/>
      <c r="ABI19" s="51"/>
      <c r="ABJ19" s="51"/>
      <c r="ABK19" s="51"/>
      <c r="ABL19" s="51"/>
      <c r="ABM19" s="51"/>
      <c r="ABN19" s="51"/>
      <c r="ABO19" s="51"/>
      <c r="ABP19" s="51"/>
      <c r="ABQ19" s="51"/>
      <c r="ABR19" s="51"/>
      <c r="ABS19" s="51"/>
      <c r="ABT19" s="51"/>
      <c r="ABU19" s="51"/>
      <c r="ABV19" s="51"/>
      <c r="ABW19" s="51"/>
      <c r="ABX19" s="51"/>
      <c r="ABY19" s="51"/>
      <c r="ABZ19" s="51"/>
      <c r="ACA19" s="51"/>
      <c r="ACB19" s="51"/>
      <c r="ACC19" s="51"/>
      <c r="ACD19" s="51"/>
      <c r="ACE19" s="51"/>
      <c r="ACF19" s="51"/>
      <c r="ACG19" s="51"/>
      <c r="ACH19" s="51"/>
      <c r="ACI19" s="51"/>
      <c r="ACJ19" s="51"/>
      <c r="ACK19" s="51"/>
      <c r="ACL19" s="51"/>
      <c r="ACM19" s="51"/>
      <c r="ACN19" s="51"/>
      <c r="ACO19" s="51"/>
      <c r="ACP19" s="51"/>
      <c r="ACQ19" s="51"/>
      <c r="ACR19" s="51"/>
      <c r="ACS19" s="51"/>
      <c r="ACT19" s="51"/>
      <c r="ACU19" s="51"/>
      <c r="ACV19" s="51"/>
      <c r="ACW19" s="51"/>
      <c r="ACX19" s="51"/>
      <c r="ACY19" s="51"/>
      <c r="ACZ19" s="51"/>
      <c r="ADA19" s="51"/>
      <c r="ADB19" s="51"/>
      <c r="ADC19" s="51"/>
      <c r="ADD19" s="51"/>
      <c r="ADE19" s="51"/>
      <c r="ADF19" s="51"/>
      <c r="ADG19" s="51"/>
      <c r="ADH19" s="51"/>
      <c r="ADI19" s="51"/>
      <c r="ADJ19" s="51"/>
      <c r="ADK19" s="51"/>
      <c r="ADL19" s="51"/>
      <c r="ADM19" s="51"/>
      <c r="ADN19" s="51"/>
      <c r="ADO19" s="51"/>
      <c r="ADP19" s="51"/>
      <c r="ADQ19" s="51"/>
      <c r="ADR19" s="51"/>
      <c r="ADS19" s="51"/>
      <c r="ADT19" s="51"/>
      <c r="ADU19" s="51"/>
      <c r="ADV19" s="51"/>
      <c r="ADW19" s="51"/>
      <c r="ADX19" s="51"/>
      <c r="ADY19" s="51"/>
      <c r="ADZ19" s="51"/>
      <c r="AEA19" s="51"/>
      <c r="AEB19" s="51"/>
      <c r="AEC19" s="51"/>
      <c r="AED19" s="51"/>
      <c r="AEE19" s="51"/>
      <c r="AEF19" s="51"/>
      <c r="AEG19" s="51"/>
      <c r="AEH19" s="51"/>
      <c r="AEI19" s="51"/>
      <c r="AEJ19" s="51"/>
      <c r="AEK19" s="51"/>
      <c r="AEL19" s="51"/>
      <c r="AEM19" s="51"/>
      <c r="AEN19" s="51"/>
      <c r="AEO19" s="51"/>
      <c r="AEP19" s="51"/>
      <c r="AEQ19" s="51"/>
      <c r="AER19" s="51"/>
      <c r="AES19" s="51"/>
      <c r="AET19" s="51"/>
      <c r="AEU19" s="51"/>
      <c r="AEV19" s="51"/>
      <c r="AEW19" s="51"/>
      <c r="AEX19" s="51"/>
      <c r="AEY19" s="51"/>
      <c r="AEZ19" s="51"/>
      <c r="AFA19" s="51"/>
      <c r="AFB19" s="51"/>
      <c r="AFC19" s="51"/>
      <c r="AFD19" s="51"/>
      <c r="AFE19" s="51"/>
      <c r="AFF19" s="51"/>
      <c r="AFG19" s="51"/>
      <c r="AFH19" s="51"/>
      <c r="AFI19" s="51"/>
      <c r="AFJ19" s="51"/>
      <c r="AFK19" s="51"/>
      <c r="AFL19" s="51"/>
      <c r="AFM19" s="51"/>
      <c r="AFN19" s="51"/>
      <c r="AFO19" s="51"/>
      <c r="AFP19" s="51"/>
      <c r="AFQ19" s="51"/>
      <c r="AFR19" s="51"/>
      <c r="AFS19" s="51"/>
      <c r="AFT19" s="51"/>
      <c r="AFU19" s="51"/>
      <c r="AFV19" s="51"/>
      <c r="AFW19" s="51"/>
      <c r="AFX19" s="51"/>
      <c r="AFY19" s="51"/>
      <c r="AFZ19" s="51"/>
      <c r="AGA19" s="51"/>
      <c r="AGB19" s="51"/>
      <c r="AGC19" s="51"/>
      <c r="AGD19" s="51"/>
      <c r="AGE19" s="51"/>
      <c r="AGF19" s="51"/>
      <c r="AGG19" s="51"/>
      <c r="AGH19" s="51"/>
      <c r="AGI19" s="51"/>
      <c r="AGJ19" s="51"/>
      <c r="AGK19" s="51"/>
      <c r="AGL19" s="51"/>
      <c r="AGM19" s="51"/>
      <c r="AGN19" s="51"/>
      <c r="AGO19" s="51"/>
      <c r="AGP19" s="51"/>
      <c r="AGQ19" s="51"/>
      <c r="AGR19" s="51"/>
      <c r="AGS19" s="51"/>
      <c r="AGT19" s="51"/>
      <c r="AGU19" s="51"/>
      <c r="AGV19" s="51"/>
      <c r="AGW19" s="51"/>
      <c r="AGX19" s="51"/>
      <c r="AGY19" s="51"/>
      <c r="AGZ19" s="51"/>
      <c r="AHA19" s="51"/>
      <c r="AHB19" s="51"/>
      <c r="AHC19" s="51"/>
      <c r="AHD19" s="51"/>
      <c r="AHE19" s="51"/>
      <c r="AHF19" s="51"/>
      <c r="AHG19" s="51"/>
      <c r="AHH19" s="51"/>
      <c r="AHI19" s="51"/>
      <c r="AHJ19" s="51"/>
      <c r="AHK19" s="51"/>
      <c r="AHL19" s="51"/>
      <c r="AHM19" s="51"/>
      <c r="AHN19" s="51"/>
      <c r="AHO19" s="51"/>
      <c r="AHP19" s="51"/>
      <c r="AHQ19" s="51"/>
      <c r="AHR19" s="51"/>
      <c r="AHS19" s="51"/>
      <c r="AHT19" s="51"/>
      <c r="AHU19" s="51"/>
      <c r="AHV19" s="51"/>
      <c r="AHW19" s="51"/>
      <c r="AHX19" s="51"/>
      <c r="AHY19" s="51"/>
      <c r="AHZ19" s="51"/>
      <c r="AIA19" s="51"/>
      <c r="AIB19" s="51"/>
      <c r="AIC19" s="51"/>
      <c r="AID19" s="51"/>
      <c r="AIE19" s="51"/>
      <c r="AIF19" s="51"/>
      <c r="AIG19" s="51"/>
      <c r="AIH19" s="51"/>
      <c r="AII19" s="51"/>
      <c r="AIJ19" s="51"/>
      <c r="AIK19" s="51"/>
      <c r="AIL19" s="51"/>
      <c r="AIM19" s="51"/>
      <c r="AIN19" s="51"/>
      <c r="AIO19" s="51"/>
      <c r="AIP19" s="51"/>
      <c r="AIQ19" s="51"/>
      <c r="AIR19" s="51"/>
      <c r="AIS19" s="51"/>
      <c r="AIT19" s="51"/>
      <c r="AIU19" s="51"/>
      <c r="AIV19" s="51"/>
      <c r="AIW19" s="51"/>
      <c r="AIX19" s="51"/>
      <c r="AIY19" s="51"/>
      <c r="AIZ19" s="51"/>
      <c r="AJA19" s="51"/>
      <c r="AJB19" s="51"/>
      <c r="AJC19" s="51"/>
      <c r="AJD19" s="51"/>
      <c r="AJE19" s="51"/>
      <c r="AJF19" s="51"/>
      <c r="AJG19" s="51"/>
      <c r="AJH19" s="51"/>
      <c r="AJI19" s="51"/>
      <c r="AJJ19" s="51"/>
      <c r="AJK19" s="51"/>
      <c r="AJL19" s="51"/>
      <c r="AJM19" s="51"/>
      <c r="AJN19" s="51"/>
      <c r="AJO19" s="51"/>
      <c r="AJP19" s="51"/>
      <c r="AJQ19" s="51"/>
      <c r="AJR19" s="51"/>
      <c r="AJS19" s="51"/>
      <c r="AJT19" s="51"/>
      <c r="AJU19" s="51"/>
      <c r="AJV19" s="51"/>
      <c r="AJW19" s="51"/>
      <c r="AJX19" s="51"/>
      <c r="AJY19" s="51"/>
      <c r="AJZ19" s="51"/>
      <c r="AKA19" s="51"/>
      <c r="AKB19" s="51"/>
      <c r="AKC19" s="51"/>
      <c r="AKD19" s="51"/>
      <c r="AKE19" s="51"/>
      <c r="AKF19" s="51"/>
      <c r="AKG19" s="51"/>
      <c r="AKH19" s="51"/>
      <c r="AKI19" s="51"/>
      <c r="AKJ19" s="51"/>
      <c r="AKK19" s="51"/>
      <c r="AKL19" s="51"/>
      <c r="AKM19" s="51"/>
      <c r="AKN19" s="51"/>
      <c r="AKO19" s="51"/>
      <c r="AKP19" s="51"/>
      <c r="AKQ19" s="51"/>
      <c r="AKR19" s="51"/>
      <c r="AKS19" s="51"/>
      <c r="AKT19" s="51"/>
      <c r="AKU19" s="51"/>
      <c r="AKV19" s="51"/>
      <c r="AKW19" s="51"/>
      <c r="AKX19" s="51"/>
      <c r="AKY19" s="51"/>
      <c r="AKZ19" s="51"/>
      <c r="ALA19" s="51"/>
      <c r="ALB19" s="51"/>
      <c r="ALC19" s="51"/>
      <c r="ALD19" s="51"/>
      <c r="ALE19" s="51"/>
      <c r="ALF19" s="51"/>
      <c r="ALG19" s="51"/>
      <c r="ALH19" s="51"/>
      <c r="ALI19" s="51"/>
      <c r="ALJ19" s="51"/>
      <c r="ALK19" s="51"/>
      <c r="ALL19" s="51"/>
      <c r="ALM19" s="51"/>
      <c r="ALN19" s="51"/>
      <c r="ALO19" s="51"/>
      <c r="ALP19" s="51"/>
      <c r="ALQ19" s="51"/>
      <c r="ALR19" s="51"/>
      <c r="ALS19" s="51"/>
      <c r="ALT19" s="51"/>
      <c r="ALU19" s="51"/>
      <c r="ALV19" s="51"/>
      <c r="ALW19" s="51"/>
      <c r="ALX19" s="51"/>
      <c r="ALY19" s="51"/>
      <c r="ALZ19" s="51"/>
      <c r="AMA19" s="51"/>
      <c r="AMB19" s="51"/>
      <c r="AMC19" s="51"/>
      <c r="AMD19" s="51"/>
      <c r="AME19" s="51"/>
      <c r="AMF19" s="51"/>
      <c r="AMG19" s="51"/>
      <c r="AMH19" s="51"/>
      <c r="AMI19" s="51"/>
      <c r="AMJ19" s="51"/>
      <c r="AMK19" s="51"/>
      <c r="AML19" s="51"/>
      <c r="AMM19" s="51"/>
      <c r="AMN19" s="51"/>
      <c r="AMO19" s="51"/>
      <c r="AMP19" s="51"/>
      <c r="AMQ19" s="51"/>
      <c r="AMR19" s="51"/>
      <c r="AMS19" s="51"/>
      <c r="AMT19" s="51"/>
      <c r="AMU19" s="51"/>
      <c r="AMV19" s="51"/>
      <c r="AMW19" s="51"/>
      <c r="AMX19" s="51"/>
      <c r="AMY19" s="51"/>
      <c r="AMZ19" s="51"/>
      <c r="ANA19" s="51"/>
      <c r="ANB19" s="51"/>
      <c r="ANC19" s="51"/>
      <c r="AND19" s="51"/>
      <c r="ANE19" s="51"/>
      <c r="ANF19" s="51"/>
      <c r="ANG19" s="51"/>
      <c r="ANH19" s="51"/>
      <c r="ANI19" s="51"/>
      <c r="ANJ19" s="51"/>
      <c r="ANK19" s="51"/>
      <c r="ANL19" s="51"/>
      <c r="ANM19" s="51"/>
      <c r="ANN19" s="51"/>
      <c r="ANO19" s="51"/>
      <c r="ANP19" s="51"/>
      <c r="ANQ19" s="51"/>
      <c r="ANR19" s="51"/>
      <c r="ANS19" s="51"/>
      <c r="ANT19" s="51"/>
      <c r="ANU19" s="51"/>
      <c r="ANV19" s="51"/>
      <c r="ANW19" s="51"/>
      <c r="ANX19" s="51"/>
      <c r="ANY19" s="51"/>
      <c r="ANZ19" s="51"/>
      <c r="AOA19" s="51"/>
      <c r="AOB19" s="51"/>
      <c r="AOC19" s="51"/>
      <c r="AOD19" s="51"/>
      <c r="AOE19" s="51"/>
      <c r="AOF19" s="51"/>
      <c r="AOG19" s="51"/>
      <c r="AOH19" s="51"/>
      <c r="AOI19" s="51"/>
      <c r="AOJ19" s="51"/>
      <c r="AOK19" s="51"/>
      <c r="AOL19" s="51"/>
      <c r="AOM19" s="51"/>
      <c r="AON19" s="51"/>
      <c r="AOO19" s="51"/>
      <c r="AOP19" s="51"/>
      <c r="AOQ19" s="51"/>
      <c r="AOR19" s="51"/>
      <c r="AOS19" s="51"/>
      <c r="AOT19" s="51"/>
      <c r="AOU19" s="51"/>
      <c r="AOV19" s="51"/>
      <c r="AOW19" s="51"/>
      <c r="AOX19" s="51"/>
      <c r="AOY19" s="51"/>
      <c r="AOZ19" s="51"/>
      <c r="APA19" s="51"/>
      <c r="APB19" s="51"/>
      <c r="APC19" s="51"/>
      <c r="APD19" s="51"/>
      <c r="APE19" s="51"/>
      <c r="APF19" s="51"/>
      <c r="APG19" s="51"/>
      <c r="APH19" s="51"/>
      <c r="API19" s="51"/>
      <c r="APJ19" s="51"/>
      <c r="APK19" s="51"/>
      <c r="APL19" s="51"/>
      <c r="APM19" s="51"/>
      <c r="APN19" s="51"/>
      <c r="APO19" s="51"/>
      <c r="APP19" s="51"/>
      <c r="APQ19" s="51"/>
      <c r="APR19" s="51"/>
      <c r="APS19" s="51"/>
      <c r="APT19" s="51"/>
      <c r="APU19" s="51"/>
      <c r="APV19" s="51"/>
      <c r="APW19" s="51"/>
      <c r="APX19" s="51"/>
      <c r="APY19" s="51"/>
      <c r="APZ19" s="51"/>
      <c r="AQA19" s="51"/>
      <c r="AQB19" s="51"/>
      <c r="AQC19" s="51"/>
      <c r="AQD19" s="51"/>
      <c r="AQE19" s="51"/>
      <c r="AQF19" s="51"/>
      <c r="AQG19" s="51"/>
      <c r="AQH19" s="51"/>
      <c r="AQI19" s="51"/>
      <c r="AQJ19" s="51"/>
      <c r="AQK19" s="51"/>
      <c r="AQL19" s="51"/>
      <c r="AQM19" s="51"/>
      <c r="AQN19" s="51"/>
      <c r="AQO19" s="51"/>
      <c r="AQP19" s="51"/>
      <c r="AQQ19" s="51"/>
      <c r="AQR19" s="51"/>
      <c r="AQS19" s="51"/>
      <c r="AQT19" s="51"/>
      <c r="AQU19" s="51"/>
      <c r="AQV19" s="51"/>
      <c r="AQW19" s="51"/>
      <c r="AQX19" s="51"/>
      <c r="AQY19" s="51"/>
      <c r="AQZ19" s="51"/>
      <c r="ARA19" s="51"/>
      <c r="ARB19" s="51"/>
      <c r="ARC19" s="51"/>
      <c r="ARD19" s="51"/>
      <c r="ARE19" s="51"/>
      <c r="ARF19" s="51"/>
      <c r="ARG19" s="51"/>
      <c r="ARH19" s="51"/>
      <c r="ARI19" s="51"/>
      <c r="ARJ19" s="51"/>
      <c r="ARK19" s="51"/>
      <c r="ARL19" s="51"/>
      <c r="ARM19" s="51"/>
      <c r="ARN19" s="51"/>
      <c r="ARO19" s="51"/>
      <c r="ARP19" s="51"/>
      <c r="ARQ19" s="51"/>
      <c r="ARR19" s="51"/>
      <c r="ARS19" s="51"/>
      <c r="ART19" s="51"/>
      <c r="ARU19" s="51"/>
      <c r="ARV19" s="51"/>
      <c r="ARW19" s="51"/>
      <c r="ARX19" s="51"/>
      <c r="ARY19" s="51"/>
      <c r="ARZ19" s="51"/>
      <c r="ASA19" s="51"/>
      <c r="ASB19" s="51"/>
      <c r="ASC19" s="51"/>
      <c r="ASD19" s="51"/>
      <c r="ASE19" s="51"/>
      <c r="ASF19" s="51"/>
      <c r="ASG19" s="51"/>
      <c r="ASH19" s="51"/>
      <c r="ASI19" s="51"/>
      <c r="ASJ19" s="51"/>
      <c r="ASK19" s="51"/>
      <c r="ASL19" s="51"/>
      <c r="ASM19" s="51"/>
      <c r="ASN19" s="51"/>
      <c r="ASO19" s="51"/>
      <c r="ASP19" s="51"/>
      <c r="ASQ19" s="51"/>
      <c r="ASR19" s="51"/>
      <c r="ASS19" s="51"/>
      <c r="AST19" s="51"/>
      <c r="ASU19" s="51"/>
      <c r="ASV19" s="51"/>
      <c r="ASW19" s="51"/>
      <c r="ASX19" s="51"/>
      <c r="ASY19" s="51"/>
      <c r="ASZ19" s="51"/>
      <c r="ATA19" s="51"/>
      <c r="ATB19" s="51"/>
      <c r="ATC19" s="51"/>
      <c r="ATD19" s="51"/>
      <c r="ATE19" s="51"/>
      <c r="ATF19" s="51"/>
      <c r="ATG19" s="51"/>
      <c r="ATH19" s="51"/>
      <c r="ATI19" s="51"/>
      <c r="ATJ19" s="51"/>
      <c r="ATK19" s="51"/>
      <c r="ATL19" s="51"/>
      <c r="ATM19" s="51"/>
      <c r="ATN19" s="51"/>
      <c r="ATO19" s="51"/>
      <c r="ATP19" s="51"/>
      <c r="ATQ19" s="51"/>
      <c r="ATR19" s="51"/>
      <c r="ATS19" s="51"/>
      <c r="ATT19" s="51"/>
      <c r="ATU19" s="51"/>
      <c r="ATV19" s="51"/>
      <c r="ATW19" s="51"/>
      <c r="ATX19" s="51"/>
      <c r="ATY19" s="51"/>
      <c r="ATZ19" s="51"/>
      <c r="AUA19" s="51"/>
      <c r="AUB19" s="51"/>
      <c r="AUC19" s="51"/>
      <c r="AUD19" s="51"/>
      <c r="AUE19" s="51"/>
      <c r="AUF19" s="51"/>
      <c r="AUG19" s="51"/>
      <c r="AUH19" s="51"/>
      <c r="AUI19" s="51"/>
      <c r="AUJ19" s="51"/>
      <c r="AUK19" s="51"/>
      <c r="AUL19" s="51"/>
      <c r="AUM19" s="51"/>
      <c r="AUN19" s="51"/>
      <c r="AUO19" s="51"/>
      <c r="AUP19" s="51"/>
      <c r="AUQ19" s="51"/>
      <c r="AUR19" s="51"/>
      <c r="AUS19" s="51"/>
      <c r="AUT19" s="51"/>
      <c r="AUU19" s="51"/>
      <c r="AUV19" s="51"/>
      <c r="AUW19" s="51"/>
      <c r="AUX19" s="51"/>
      <c r="AUY19" s="51"/>
      <c r="AUZ19" s="51"/>
      <c r="AVA19" s="51"/>
      <c r="AVB19" s="51"/>
      <c r="AVC19" s="51"/>
      <c r="AVD19" s="51"/>
      <c r="AVE19" s="51"/>
      <c r="AVF19" s="51"/>
      <c r="AVG19" s="51"/>
      <c r="AVH19" s="51"/>
      <c r="AVI19" s="51"/>
      <c r="AVJ19" s="51"/>
      <c r="AVK19" s="51"/>
      <c r="AVL19" s="51"/>
      <c r="AVM19" s="51"/>
      <c r="AVN19" s="51"/>
      <c r="AVO19" s="51"/>
      <c r="AVP19" s="51"/>
      <c r="AVQ19" s="51"/>
      <c r="AVR19" s="51"/>
      <c r="AVS19" s="51"/>
      <c r="AVT19" s="51"/>
      <c r="AVU19" s="51"/>
      <c r="AVV19" s="51"/>
      <c r="AVW19" s="51"/>
      <c r="AVX19" s="51"/>
      <c r="AVY19" s="51"/>
      <c r="AVZ19" s="51"/>
      <c r="AWA19" s="51"/>
      <c r="AWB19" s="51"/>
      <c r="AWC19" s="51"/>
      <c r="AWD19" s="51"/>
      <c r="AWE19" s="51"/>
      <c r="AWF19" s="51"/>
      <c r="AWG19" s="51"/>
      <c r="AWH19" s="51"/>
      <c r="AWI19" s="51"/>
      <c r="AWJ19" s="51"/>
      <c r="AWK19" s="51"/>
      <c r="AWL19" s="51"/>
      <c r="AWM19" s="51"/>
      <c r="AWN19" s="51"/>
      <c r="AWO19" s="51"/>
      <c r="AWP19" s="51"/>
      <c r="AWQ19" s="51"/>
      <c r="AWR19" s="51"/>
      <c r="AWS19" s="51"/>
      <c r="AWT19" s="51"/>
      <c r="AWU19" s="51"/>
      <c r="AWV19" s="51"/>
      <c r="AWW19" s="51"/>
      <c r="AWX19" s="51"/>
      <c r="AWY19" s="51"/>
      <c r="AWZ19" s="51"/>
      <c r="AXA19" s="51"/>
      <c r="AXB19" s="51"/>
      <c r="AXC19" s="51"/>
      <c r="AXD19" s="51"/>
      <c r="AXE19" s="51"/>
      <c r="AXF19" s="51"/>
      <c r="AXG19" s="51"/>
      <c r="AXH19" s="51"/>
      <c r="AXI19" s="51"/>
      <c r="AXJ19" s="51"/>
      <c r="AXK19" s="51"/>
      <c r="AXL19" s="51"/>
      <c r="AXM19" s="51"/>
      <c r="AXN19" s="51"/>
      <c r="AXO19" s="51"/>
      <c r="AXP19" s="51"/>
      <c r="AXQ19" s="51"/>
      <c r="AXR19" s="51"/>
      <c r="AXS19" s="51"/>
      <c r="AXT19" s="51"/>
      <c r="AXU19" s="51"/>
      <c r="AXV19" s="51"/>
      <c r="AXW19" s="51"/>
      <c r="AXX19" s="51"/>
      <c r="AXY19" s="51"/>
      <c r="AXZ19" s="51"/>
      <c r="AYA19" s="51"/>
      <c r="AYB19" s="51"/>
      <c r="AYC19" s="51"/>
      <c r="AYD19" s="51"/>
      <c r="AYE19" s="51"/>
      <c r="AYF19" s="51"/>
      <c r="AYG19" s="51"/>
      <c r="AYH19" s="51"/>
      <c r="AYI19" s="51"/>
      <c r="AYJ19" s="51"/>
      <c r="AYK19" s="51"/>
      <c r="AYL19" s="51"/>
      <c r="AYM19" s="51"/>
      <c r="AYN19" s="51"/>
      <c r="AYO19" s="51"/>
      <c r="AYP19" s="51"/>
      <c r="AYQ19" s="51"/>
      <c r="AYR19" s="51"/>
      <c r="AYS19" s="51"/>
      <c r="AYT19" s="51"/>
      <c r="AYU19" s="51"/>
      <c r="AYV19" s="51"/>
      <c r="AYW19" s="51"/>
      <c r="AYX19" s="51"/>
      <c r="AYY19" s="51"/>
      <c r="AYZ19" s="51"/>
      <c r="AZA19" s="51"/>
      <c r="AZB19" s="51"/>
      <c r="AZC19" s="51"/>
      <c r="AZD19" s="51"/>
      <c r="AZE19" s="51"/>
      <c r="AZF19" s="51"/>
      <c r="AZG19" s="51"/>
      <c r="AZH19" s="51"/>
      <c r="AZI19" s="51"/>
      <c r="AZJ19" s="51"/>
      <c r="AZK19" s="51"/>
      <c r="AZL19" s="51"/>
      <c r="AZM19" s="51"/>
      <c r="AZN19" s="51"/>
      <c r="AZO19" s="51"/>
      <c r="AZP19" s="51"/>
      <c r="AZQ19" s="51"/>
      <c r="AZR19" s="51"/>
      <c r="AZS19" s="51"/>
      <c r="AZT19" s="51"/>
      <c r="AZU19" s="51"/>
      <c r="AZV19" s="51"/>
      <c r="AZW19" s="51"/>
      <c r="AZX19" s="51"/>
      <c r="AZY19" s="51"/>
      <c r="AZZ19" s="51"/>
      <c r="BAA19" s="51"/>
      <c r="BAB19" s="51"/>
      <c r="BAC19" s="51"/>
      <c r="BAD19" s="51"/>
      <c r="BAE19" s="51"/>
      <c r="BAF19" s="51"/>
      <c r="BAG19" s="51"/>
      <c r="BAH19" s="51"/>
      <c r="BAI19" s="51"/>
      <c r="BAJ19" s="51"/>
      <c r="BAK19" s="51"/>
      <c r="BAL19" s="51"/>
      <c r="BAM19" s="51"/>
      <c r="BAN19" s="51"/>
      <c r="BAO19" s="51"/>
      <c r="BAP19" s="51"/>
      <c r="BAQ19" s="51"/>
      <c r="BAR19" s="51"/>
      <c r="BAS19" s="51"/>
      <c r="BAT19" s="51"/>
      <c r="BAU19" s="51"/>
      <c r="BAV19" s="51"/>
      <c r="BAW19" s="51"/>
      <c r="BAX19" s="51"/>
      <c r="BAY19" s="51"/>
      <c r="BAZ19" s="51"/>
      <c r="BBA19" s="51"/>
      <c r="BBB19" s="51"/>
      <c r="BBC19" s="51"/>
      <c r="BBD19" s="51"/>
      <c r="BBE19" s="51"/>
      <c r="BBF19" s="51"/>
      <c r="BBG19" s="51"/>
      <c r="BBH19" s="51"/>
      <c r="BBI19" s="51"/>
      <c r="BBJ19" s="51"/>
      <c r="BBK19" s="51"/>
      <c r="BBL19" s="51"/>
      <c r="BBM19" s="51"/>
      <c r="BBN19" s="51"/>
      <c r="BBO19" s="51"/>
      <c r="BBP19" s="51"/>
      <c r="BBQ19" s="51"/>
      <c r="BBR19" s="51"/>
      <c r="BBS19" s="51"/>
      <c r="BBT19" s="51"/>
      <c r="BBU19" s="51"/>
      <c r="BBV19" s="51"/>
      <c r="BBW19" s="51"/>
      <c r="BBX19" s="51"/>
      <c r="BBY19" s="51"/>
      <c r="BBZ19" s="51"/>
      <c r="BCA19" s="51"/>
      <c r="BCB19" s="51"/>
      <c r="BCC19" s="51"/>
      <c r="BCD19" s="51"/>
      <c r="BCE19" s="51"/>
      <c r="BCF19" s="51"/>
      <c r="BCG19" s="51"/>
      <c r="BCH19" s="51"/>
      <c r="BCI19" s="51"/>
      <c r="BCJ19" s="51"/>
      <c r="BCK19" s="51"/>
      <c r="BCL19" s="51"/>
      <c r="BCM19" s="51"/>
      <c r="BCN19" s="51"/>
      <c r="BCO19" s="51"/>
      <c r="BCP19" s="51"/>
      <c r="BCQ19" s="51"/>
      <c r="BCR19" s="51"/>
      <c r="BCS19" s="51"/>
      <c r="BCT19" s="51"/>
      <c r="BCU19" s="51"/>
      <c r="BCV19" s="51"/>
      <c r="BCW19" s="51"/>
      <c r="BCX19" s="51"/>
      <c r="BCY19" s="51"/>
      <c r="BCZ19" s="51"/>
      <c r="BDA19" s="51"/>
      <c r="BDB19" s="51"/>
      <c r="BDC19" s="51"/>
      <c r="BDD19" s="51"/>
      <c r="BDE19" s="51"/>
      <c r="BDF19" s="51"/>
      <c r="BDG19" s="51"/>
      <c r="BDH19" s="51"/>
      <c r="BDI19" s="51"/>
      <c r="BDJ19" s="51"/>
      <c r="BDK19" s="51"/>
      <c r="BDL19" s="51"/>
      <c r="BDM19" s="51"/>
      <c r="BDN19" s="51"/>
      <c r="BDO19" s="51"/>
      <c r="BDP19" s="51"/>
      <c r="BDQ19" s="51"/>
      <c r="BDR19" s="51"/>
      <c r="BDS19" s="51"/>
      <c r="BDT19" s="51"/>
      <c r="BDU19" s="51"/>
      <c r="BDV19" s="51"/>
      <c r="BDW19" s="51"/>
      <c r="BDX19" s="51"/>
      <c r="BDY19" s="51"/>
      <c r="BDZ19" s="51"/>
      <c r="BEA19" s="51"/>
      <c r="BEB19" s="51"/>
      <c r="BEC19" s="51"/>
      <c r="BED19" s="51"/>
      <c r="BEE19" s="51"/>
      <c r="BEF19" s="51"/>
      <c r="BEG19" s="51"/>
      <c r="BEH19" s="51"/>
      <c r="BEI19" s="51"/>
      <c r="BEJ19" s="51"/>
      <c r="BEK19" s="51"/>
      <c r="BEL19" s="51"/>
      <c r="BEM19" s="51"/>
      <c r="BEN19" s="51"/>
      <c r="BEO19" s="51"/>
      <c r="BEP19" s="51"/>
      <c r="BEQ19" s="51"/>
      <c r="BER19" s="51"/>
      <c r="BES19" s="51"/>
      <c r="BET19" s="51"/>
      <c r="BEU19" s="51"/>
      <c r="BEV19" s="51"/>
      <c r="BEW19" s="51"/>
      <c r="BEX19" s="51"/>
      <c r="BEY19" s="51"/>
      <c r="BEZ19" s="51"/>
      <c r="BFA19" s="51"/>
      <c r="BFB19" s="51"/>
      <c r="BFC19" s="51"/>
      <c r="BFD19" s="51"/>
      <c r="BFE19" s="51"/>
      <c r="BFF19" s="51"/>
      <c r="BFG19" s="51"/>
      <c r="BFH19" s="51"/>
      <c r="BFI19" s="51"/>
      <c r="BFJ19" s="51"/>
      <c r="BFK19" s="51"/>
      <c r="BFL19" s="51"/>
      <c r="BFM19" s="51"/>
      <c r="BFN19" s="51"/>
      <c r="BFO19" s="51"/>
      <c r="BFP19" s="51"/>
      <c r="BFQ19" s="51"/>
      <c r="BFR19" s="51"/>
      <c r="BFS19" s="51"/>
      <c r="BFT19" s="51"/>
      <c r="BFU19" s="51"/>
      <c r="BFV19" s="51"/>
      <c r="BFW19" s="51"/>
      <c r="BFX19" s="51"/>
      <c r="BFY19" s="51"/>
      <c r="BFZ19" s="51"/>
      <c r="BGA19" s="51"/>
      <c r="BGB19" s="51"/>
      <c r="BGC19" s="51"/>
      <c r="BGD19" s="51"/>
      <c r="BGE19" s="51"/>
      <c r="BGF19" s="51"/>
      <c r="BGG19" s="51"/>
      <c r="BGH19" s="51"/>
      <c r="BGI19" s="51"/>
      <c r="BGJ19" s="51"/>
      <c r="BGK19" s="51"/>
      <c r="BGL19" s="51"/>
      <c r="BGM19" s="51"/>
      <c r="BGN19" s="51"/>
      <c r="BGO19" s="51"/>
      <c r="BGP19" s="51"/>
      <c r="BGQ19" s="51"/>
      <c r="BGR19" s="51"/>
      <c r="BGS19" s="51"/>
      <c r="BGT19" s="51"/>
      <c r="BGU19" s="51"/>
      <c r="BGV19" s="51"/>
      <c r="BGW19" s="51"/>
      <c r="BGX19" s="51"/>
      <c r="BGY19" s="51"/>
      <c r="BGZ19" s="51"/>
      <c r="BHA19" s="51"/>
      <c r="BHB19" s="51"/>
      <c r="BHC19" s="51"/>
      <c r="BHD19" s="51"/>
      <c r="BHE19" s="51"/>
      <c r="BHF19" s="51"/>
      <c r="BHG19" s="51"/>
      <c r="BHH19" s="51"/>
      <c r="BHI19" s="51"/>
      <c r="BHJ19" s="51"/>
      <c r="BHK19" s="51"/>
      <c r="BHL19" s="51"/>
      <c r="BHM19" s="51"/>
      <c r="BHN19" s="51"/>
      <c r="BHO19" s="51"/>
      <c r="BHP19" s="51"/>
      <c r="BHQ19" s="51"/>
      <c r="BHR19" s="51"/>
      <c r="BHS19" s="51"/>
      <c r="BHT19" s="51"/>
      <c r="BHU19" s="51"/>
      <c r="BHV19" s="51"/>
      <c r="BHW19" s="51"/>
      <c r="BHX19" s="51"/>
      <c r="BHY19" s="51"/>
      <c r="BHZ19" s="51"/>
      <c r="BIA19" s="51"/>
      <c r="BIB19" s="51"/>
      <c r="BIC19" s="51"/>
      <c r="BID19" s="51"/>
      <c r="BIE19" s="51"/>
      <c r="BIF19" s="51"/>
      <c r="BIG19" s="51"/>
      <c r="BIH19" s="51"/>
      <c r="BII19" s="51"/>
      <c r="BIJ19" s="51"/>
      <c r="BIK19" s="51"/>
      <c r="BIL19" s="51"/>
      <c r="BIM19" s="51"/>
      <c r="BIN19" s="51"/>
      <c r="BIO19" s="51"/>
      <c r="BIP19" s="51"/>
      <c r="BIQ19" s="51"/>
      <c r="BIR19" s="51"/>
      <c r="BIS19" s="51"/>
      <c r="BIT19" s="51"/>
      <c r="BIU19" s="51"/>
      <c r="BIV19" s="51"/>
      <c r="BIW19" s="51"/>
      <c r="BIX19" s="51"/>
      <c r="BIY19" s="51"/>
      <c r="BIZ19" s="51"/>
      <c r="BJA19" s="51"/>
      <c r="BJB19" s="51"/>
      <c r="BJC19" s="51"/>
      <c r="BJD19" s="51"/>
      <c r="BJE19" s="51"/>
      <c r="BJF19" s="51"/>
      <c r="BJG19" s="51"/>
      <c r="BJH19" s="51"/>
      <c r="BJI19" s="51"/>
      <c r="BJJ19" s="51"/>
      <c r="BJK19" s="51"/>
      <c r="BJL19" s="51"/>
      <c r="BJM19" s="51"/>
      <c r="BJN19" s="51"/>
      <c r="BJO19" s="51"/>
      <c r="BJP19" s="51"/>
      <c r="BJQ19" s="51"/>
      <c r="BJR19" s="51"/>
      <c r="BJS19" s="51"/>
      <c r="BJT19" s="51"/>
      <c r="BJU19" s="51"/>
      <c r="BJV19" s="51"/>
      <c r="BJW19" s="51"/>
      <c r="BJX19" s="51"/>
      <c r="BJY19" s="51"/>
      <c r="BJZ19" s="51"/>
      <c r="BKA19" s="51"/>
      <c r="BKB19" s="51"/>
      <c r="BKC19" s="51"/>
      <c r="BKD19" s="51"/>
      <c r="BKE19" s="51"/>
      <c r="BKF19" s="51"/>
      <c r="BKG19" s="51"/>
      <c r="BKH19" s="51"/>
      <c r="BKI19" s="51"/>
      <c r="BKJ19" s="51"/>
      <c r="BKK19" s="51"/>
      <c r="BKL19" s="51"/>
      <c r="BKM19" s="51"/>
      <c r="BKN19" s="51"/>
      <c r="BKO19" s="51"/>
      <c r="BKP19" s="51"/>
      <c r="BKQ19" s="51"/>
      <c r="BKR19" s="51"/>
      <c r="BKS19" s="51"/>
      <c r="BKT19" s="51"/>
      <c r="BKU19" s="51"/>
      <c r="BKV19" s="51"/>
      <c r="BKW19" s="51"/>
      <c r="BKX19" s="51"/>
      <c r="BKY19" s="51"/>
      <c r="BKZ19" s="51"/>
      <c r="BLA19" s="51"/>
      <c r="BLB19" s="51"/>
      <c r="BLC19" s="51"/>
      <c r="BLD19" s="51"/>
      <c r="BLE19" s="51"/>
      <c r="BLF19" s="51"/>
      <c r="BLG19" s="51"/>
      <c r="BLH19" s="51"/>
      <c r="BLI19" s="51"/>
      <c r="BLJ19" s="51"/>
      <c r="BLK19" s="51"/>
      <c r="BLL19" s="51"/>
      <c r="BLM19" s="51"/>
      <c r="BLN19" s="51"/>
      <c r="BLO19" s="51"/>
      <c r="BLP19" s="51"/>
      <c r="BLQ19" s="51"/>
      <c r="BLR19" s="51"/>
      <c r="BLS19" s="51"/>
      <c r="BLT19" s="51"/>
      <c r="BLU19" s="51"/>
      <c r="BLV19" s="51"/>
      <c r="BLW19" s="51"/>
      <c r="BLX19" s="51"/>
      <c r="BLY19" s="51"/>
      <c r="BLZ19" s="51"/>
      <c r="BMA19" s="51"/>
      <c r="BMB19" s="51"/>
      <c r="BMC19" s="51"/>
      <c r="BMD19" s="51"/>
      <c r="BME19" s="51"/>
      <c r="BMF19" s="51"/>
      <c r="BMG19" s="51"/>
      <c r="BMH19" s="51"/>
      <c r="BMI19" s="51"/>
      <c r="BMJ19" s="51"/>
      <c r="BMK19" s="51"/>
      <c r="BML19" s="51"/>
      <c r="BMM19" s="51"/>
      <c r="BMN19" s="51"/>
      <c r="BMO19" s="51"/>
      <c r="BMP19" s="51"/>
      <c r="BMQ19" s="51"/>
      <c r="BMR19" s="51"/>
      <c r="BMS19" s="51"/>
      <c r="BMT19" s="51"/>
      <c r="BMU19" s="51"/>
      <c r="BMV19" s="51"/>
      <c r="BMW19" s="51"/>
      <c r="BMX19" s="51"/>
      <c r="BMY19" s="51"/>
      <c r="BMZ19" s="51"/>
      <c r="BNA19" s="51"/>
      <c r="BNB19" s="51"/>
      <c r="BNC19" s="51"/>
      <c r="BND19" s="51"/>
      <c r="BNE19" s="51"/>
      <c r="BNF19" s="51"/>
      <c r="BNG19" s="51"/>
      <c r="BNH19" s="51"/>
      <c r="BNI19" s="51"/>
      <c r="BNJ19" s="51"/>
      <c r="BNK19" s="51"/>
      <c r="BNL19" s="51"/>
      <c r="BNM19" s="51"/>
      <c r="BNN19" s="51"/>
      <c r="BNO19" s="51"/>
      <c r="BNP19" s="51"/>
      <c r="BNQ19" s="51"/>
      <c r="BNR19" s="51"/>
      <c r="BNS19" s="51"/>
      <c r="BNT19" s="51"/>
      <c r="BNU19" s="51"/>
      <c r="BNV19" s="51"/>
      <c r="BNW19" s="51"/>
      <c r="BNX19" s="51"/>
      <c r="BNY19" s="51"/>
      <c r="BNZ19" s="51"/>
      <c r="BOA19" s="51"/>
      <c r="BOB19" s="51"/>
      <c r="BOC19" s="51"/>
      <c r="BOD19" s="51"/>
      <c r="BOE19" s="51"/>
      <c r="BOF19" s="51"/>
      <c r="BOG19" s="51"/>
      <c r="BOH19" s="51"/>
      <c r="BOI19" s="51"/>
      <c r="BOJ19" s="51"/>
      <c r="BOK19" s="51"/>
      <c r="BOL19" s="51"/>
      <c r="BOM19" s="51"/>
      <c r="BON19" s="51"/>
      <c r="BOO19" s="51"/>
      <c r="BOP19" s="51"/>
      <c r="BOQ19" s="51"/>
      <c r="BOR19" s="51"/>
      <c r="BOS19" s="51"/>
      <c r="BOT19" s="51"/>
      <c r="BOU19" s="51"/>
      <c r="BOV19" s="51"/>
      <c r="BOW19" s="51"/>
      <c r="BOX19" s="51"/>
      <c r="BOY19" s="51"/>
      <c r="BOZ19" s="51"/>
      <c r="BPA19" s="51"/>
      <c r="BPB19" s="51"/>
      <c r="BPC19" s="51"/>
      <c r="BPD19" s="51"/>
      <c r="BPE19" s="51"/>
      <c r="BPF19" s="51"/>
      <c r="BPG19" s="51"/>
      <c r="BPH19" s="51"/>
      <c r="BPI19" s="51"/>
      <c r="BPJ19" s="51"/>
      <c r="BPK19" s="51"/>
      <c r="BPL19" s="51"/>
      <c r="BPM19" s="51"/>
      <c r="BPN19" s="51"/>
      <c r="BPO19" s="51"/>
      <c r="BPP19" s="51"/>
      <c r="BPQ19" s="51"/>
      <c r="BPR19" s="51"/>
      <c r="BPS19" s="51"/>
      <c r="BPT19" s="51"/>
      <c r="BPU19" s="51"/>
      <c r="BPV19" s="51"/>
      <c r="BPW19" s="51"/>
      <c r="BPX19" s="51"/>
      <c r="BPY19" s="51"/>
      <c r="BPZ19" s="51"/>
      <c r="BQA19" s="51"/>
      <c r="BQB19" s="51"/>
      <c r="BQC19" s="51"/>
      <c r="BQD19" s="51"/>
      <c r="BQE19" s="51"/>
      <c r="BQF19" s="51"/>
      <c r="BQG19" s="51"/>
      <c r="BQH19" s="51"/>
      <c r="BQI19" s="51"/>
      <c r="BQJ19" s="51"/>
      <c r="BQK19" s="51"/>
      <c r="BQL19" s="51"/>
      <c r="BQM19" s="51"/>
      <c r="BQN19" s="51"/>
      <c r="BQO19" s="51"/>
      <c r="BQP19" s="51"/>
      <c r="BQQ19" s="51"/>
      <c r="BQR19" s="51"/>
      <c r="BQS19" s="51"/>
      <c r="BQT19" s="51"/>
      <c r="BQU19" s="51"/>
      <c r="BQV19" s="51"/>
      <c r="BQW19" s="51"/>
      <c r="BQX19" s="51"/>
      <c r="BQY19" s="51"/>
      <c r="BQZ19" s="51"/>
      <c r="BRA19" s="51"/>
      <c r="BRB19" s="51"/>
      <c r="BRC19" s="51"/>
      <c r="BRD19" s="51"/>
      <c r="BRE19" s="51"/>
      <c r="BRF19" s="51"/>
      <c r="BRG19" s="51"/>
      <c r="BRH19" s="51"/>
      <c r="BRI19" s="51"/>
      <c r="BRJ19" s="51"/>
      <c r="BRK19" s="51"/>
      <c r="BRL19" s="51"/>
      <c r="BRM19" s="51"/>
      <c r="BRN19" s="51"/>
      <c r="BRO19" s="51"/>
      <c r="BRP19" s="51"/>
      <c r="BRQ19" s="51"/>
      <c r="BRR19" s="51"/>
      <c r="BRS19" s="51"/>
      <c r="BRT19" s="51"/>
      <c r="BRU19" s="51"/>
      <c r="BRV19" s="51"/>
      <c r="BRW19" s="51"/>
      <c r="BRX19" s="51"/>
      <c r="BRY19" s="51"/>
      <c r="BRZ19" s="51"/>
      <c r="BSA19" s="51"/>
      <c r="BSB19" s="51"/>
      <c r="BSC19" s="51"/>
      <c r="BSD19" s="51"/>
      <c r="BSE19" s="51"/>
      <c r="BSF19" s="51"/>
      <c r="BSG19" s="51"/>
      <c r="BSH19" s="51"/>
      <c r="BSI19" s="51"/>
      <c r="BSJ19" s="51"/>
      <c r="BSK19" s="51"/>
      <c r="BSL19" s="51"/>
      <c r="BSM19" s="51"/>
      <c r="BSN19" s="51"/>
      <c r="BSO19" s="51"/>
      <c r="BSP19" s="51"/>
      <c r="BSQ19" s="51"/>
      <c r="BSR19" s="51"/>
      <c r="BSS19" s="51"/>
      <c r="BST19" s="51"/>
      <c r="BSU19" s="51"/>
      <c r="BSV19" s="51"/>
      <c r="BSW19" s="51"/>
      <c r="BSX19" s="51"/>
      <c r="BSY19" s="51"/>
      <c r="BSZ19" s="51"/>
      <c r="BTA19" s="51"/>
      <c r="BTB19" s="51"/>
      <c r="BTC19" s="51"/>
      <c r="BTD19" s="51"/>
      <c r="BTE19" s="51"/>
      <c r="BTF19" s="51"/>
      <c r="BTG19" s="51"/>
      <c r="BTH19" s="51"/>
      <c r="BTI19" s="51"/>
      <c r="BTJ19" s="51"/>
      <c r="BTK19" s="51"/>
      <c r="BTL19" s="51"/>
      <c r="BTM19" s="51"/>
      <c r="BTN19" s="51"/>
      <c r="BTO19" s="51"/>
      <c r="BTP19" s="51"/>
      <c r="BTQ19" s="51"/>
      <c r="BTR19" s="51"/>
      <c r="BTS19" s="51"/>
      <c r="BTT19" s="51"/>
      <c r="BTU19" s="51"/>
      <c r="BTV19" s="51"/>
      <c r="BTW19" s="51"/>
      <c r="BTX19" s="51"/>
      <c r="BTY19" s="51"/>
      <c r="BTZ19" s="51"/>
      <c r="BUA19" s="51"/>
      <c r="BUB19" s="51"/>
      <c r="BUC19" s="51"/>
      <c r="BUD19" s="51"/>
      <c r="BUE19" s="51"/>
      <c r="BUF19" s="51"/>
      <c r="BUG19" s="51"/>
      <c r="BUH19" s="51"/>
      <c r="BUI19" s="51"/>
      <c r="BUJ19" s="51"/>
      <c r="BUK19" s="51"/>
      <c r="BUL19" s="51"/>
      <c r="BUM19" s="51"/>
      <c r="BUN19" s="51"/>
      <c r="BUO19" s="51"/>
      <c r="BUP19" s="51"/>
      <c r="BUQ19" s="51"/>
      <c r="BUR19" s="51"/>
      <c r="BUS19" s="51"/>
      <c r="BUT19" s="51"/>
      <c r="BUU19" s="51"/>
      <c r="BUV19" s="51"/>
      <c r="BUW19" s="51"/>
      <c r="BUX19" s="51"/>
      <c r="BUY19" s="51"/>
      <c r="BUZ19" s="51"/>
      <c r="BVA19" s="51"/>
      <c r="BVB19" s="51"/>
      <c r="BVC19" s="51"/>
      <c r="BVD19" s="51"/>
      <c r="BVE19" s="51"/>
      <c r="BVF19" s="51"/>
      <c r="BVG19" s="51"/>
      <c r="BVH19" s="51"/>
      <c r="BVI19" s="51"/>
      <c r="BVJ19" s="51"/>
      <c r="BVK19" s="51"/>
      <c r="BVL19" s="51"/>
      <c r="BVM19" s="51"/>
      <c r="BVN19" s="51"/>
      <c r="BVO19" s="51"/>
      <c r="BVP19" s="51"/>
      <c r="BVQ19" s="51"/>
      <c r="BVR19" s="51"/>
      <c r="BVS19" s="51"/>
      <c r="BVT19" s="51"/>
      <c r="BVU19" s="51"/>
      <c r="BVV19" s="51"/>
      <c r="BVW19" s="51"/>
      <c r="BVX19" s="51"/>
      <c r="BVY19" s="51"/>
      <c r="BVZ19" s="51"/>
      <c r="BWA19" s="51"/>
      <c r="BWB19" s="51"/>
      <c r="BWC19" s="51"/>
      <c r="BWD19" s="51"/>
      <c r="BWE19" s="51"/>
      <c r="BWF19" s="51"/>
      <c r="BWG19" s="51"/>
      <c r="BWH19" s="51"/>
      <c r="BWI19" s="51"/>
      <c r="BWJ19" s="51"/>
      <c r="BWK19" s="51"/>
      <c r="BWL19" s="51"/>
      <c r="BWM19" s="51"/>
      <c r="BWN19" s="51"/>
      <c r="BWO19" s="51"/>
      <c r="BWP19" s="51"/>
      <c r="BWQ19" s="51"/>
      <c r="BWR19" s="51"/>
      <c r="BWS19" s="51"/>
      <c r="BWT19" s="51"/>
      <c r="BWU19" s="51"/>
      <c r="BWV19" s="51"/>
      <c r="BWW19" s="51"/>
      <c r="BWX19" s="51"/>
      <c r="BWY19" s="51"/>
      <c r="BWZ19" s="51"/>
      <c r="BXA19" s="51"/>
      <c r="BXB19" s="51"/>
      <c r="BXC19" s="51"/>
      <c r="BXD19" s="51"/>
      <c r="BXE19" s="51"/>
      <c r="BXF19" s="51"/>
      <c r="BXG19" s="51"/>
      <c r="BXH19" s="51"/>
      <c r="BXI19" s="51"/>
      <c r="BXJ19" s="51"/>
      <c r="BXK19" s="51"/>
      <c r="BXL19" s="51"/>
      <c r="BXM19" s="51"/>
      <c r="BXN19" s="51"/>
      <c r="BXO19" s="51"/>
      <c r="BXP19" s="51"/>
      <c r="BXQ19" s="51"/>
      <c r="BXR19" s="51"/>
      <c r="BXS19" s="51"/>
      <c r="BXT19" s="51"/>
      <c r="BXU19" s="51"/>
      <c r="BXV19" s="51"/>
      <c r="BXW19" s="51"/>
      <c r="BXX19" s="51"/>
      <c r="BXY19" s="51"/>
      <c r="BXZ19" s="51"/>
      <c r="BYA19" s="51"/>
      <c r="BYB19" s="51"/>
      <c r="BYC19" s="51"/>
      <c r="BYD19" s="51"/>
      <c r="BYE19" s="51"/>
      <c r="BYF19" s="51"/>
      <c r="BYG19" s="51"/>
      <c r="BYH19" s="51"/>
      <c r="BYI19" s="51"/>
      <c r="BYJ19" s="51"/>
      <c r="BYK19" s="51"/>
      <c r="BYL19" s="51"/>
      <c r="BYM19" s="51"/>
      <c r="BYN19" s="51"/>
      <c r="BYO19" s="51"/>
      <c r="BYP19" s="51"/>
      <c r="BYQ19" s="51"/>
      <c r="BYR19" s="51"/>
      <c r="BYS19" s="51"/>
      <c r="BYT19" s="51"/>
      <c r="BYU19" s="51"/>
      <c r="BYV19" s="51"/>
      <c r="BYW19" s="51"/>
      <c r="BYX19" s="51"/>
      <c r="BYY19" s="51"/>
      <c r="BYZ19" s="51"/>
      <c r="BZA19" s="51"/>
      <c r="BZB19" s="51"/>
      <c r="BZC19" s="51"/>
      <c r="BZD19" s="51"/>
      <c r="BZE19" s="51"/>
      <c r="BZF19" s="51"/>
      <c r="BZG19" s="51"/>
      <c r="BZH19" s="51"/>
      <c r="BZI19" s="51"/>
      <c r="BZJ19" s="51"/>
      <c r="BZK19" s="51"/>
      <c r="BZL19" s="51"/>
      <c r="BZM19" s="51"/>
      <c r="BZN19" s="51"/>
      <c r="BZO19" s="51"/>
      <c r="BZP19" s="51"/>
      <c r="BZQ19" s="51"/>
      <c r="BZR19" s="51"/>
      <c r="BZS19" s="51"/>
      <c r="BZT19" s="51"/>
      <c r="BZU19" s="51"/>
      <c r="BZV19" s="51"/>
      <c r="BZW19" s="51"/>
      <c r="BZX19" s="51"/>
      <c r="BZY19" s="51"/>
      <c r="BZZ19" s="51"/>
      <c r="CAA19" s="51"/>
      <c r="CAB19" s="51"/>
      <c r="CAC19" s="51"/>
      <c r="CAD19" s="51"/>
      <c r="CAE19" s="51"/>
      <c r="CAF19" s="51"/>
      <c r="CAG19" s="51"/>
      <c r="CAH19" s="51"/>
      <c r="CAI19" s="51"/>
      <c r="CAJ19" s="51"/>
      <c r="CAK19" s="51"/>
      <c r="CAL19" s="51"/>
      <c r="CAM19" s="51"/>
      <c r="CAN19" s="51"/>
      <c r="CAO19" s="51"/>
      <c r="CAP19" s="51"/>
      <c r="CAQ19" s="51"/>
      <c r="CAR19" s="51"/>
      <c r="CAS19" s="51"/>
      <c r="CAT19" s="51"/>
      <c r="CAU19" s="51"/>
      <c r="CAV19" s="51"/>
      <c r="CAW19" s="51"/>
      <c r="CAX19" s="51"/>
      <c r="CAY19" s="51"/>
      <c r="CAZ19" s="51"/>
      <c r="CBA19" s="51"/>
      <c r="CBB19" s="51"/>
      <c r="CBC19" s="51"/>
      <c r="CBD19" s="51"/>
      <c r="CBE19" s="51"/>
      <c r="CBF19" s="51"/>
      <c r="CBG19" s="51"/>
      <c r="CBH19" s="51"/>
      <c r="CBI19" s="51"/>
      <c r="CBJ19" s="51"/>
      <c r="CBK19" s="51"/>
      <c r="CBL19" s="51"/>
      <c r="CBM19" s="51"/>
      <c r="CBN19" s="51"/>
      <c r="CBO19" s="51"/>
      <c r="CBP19" s="51"/>
      <c r="CBQ19" s="51"/>
      <c r="CBR19" s="51"/>
      <c r="CBS19" s="51"/>
      <c r="CBT19" s="51"/>
      <c r="CBU19" s="51"/>
      <c r="CBV19" s="51"/>
      <c r="CBW19" s="51"/>
      <c r="CBX19" s="51"/>
      <c r="CBY19" s="51"/>
      <c r="CBZ19" s="51"/>
      <c r="CCA19" s="51"/>
      <c r="CCB19" s="51"/>
      <c r="CCC19" s="51"/>
      <c r="CCD19" s="51"/>
      <c r="CCE19" s="51"/>
      <c r="CCF19" s="51"/>
      <c r="CCG19" s="51"/>
      <c r="CCH19" s="51"/>
      <c r="CCI19" s="51"/>
      <c r="CCJ19" s="51"/>
      <c r="CCK19" s="51"/>
      <c r="CCL19" s="51"/>
      <c r="CCM19" s="51"/>
      <c r="CCN19" s="51"/>
      <c r="CCO19" s="51"/>
      <c r="CCP19" s="51"/>
      <c r="CCQ19" s="51"/>
      <c r="CCR19" s="51"/>
      <c r="CCS19" s="51"/>
      <c r="CCT19" s="51"/>
      <c r="CCU19" s="51"/>
      <c r="CCV19" s="51"/>
      <c r="CCW19" s="51"/>
      <c r="CCX19" s="51"/>
      <c r="CCY19" s="51"/>
      <c r="CCZ19" s="51"/>
      <c r="CDA19" s="51"/>
      <c r="CDB19" s="51"/>
      <c r="CDC19" s="51"/>
      <c r="CDD19" s="51"/>
      <c r="CDE19" s="51"/>
      <c r="CDF19" s="51"/>
      <c r="CDG19" s="51"/>
      <c r="CDH19" s="51"/>
      <c r="CDI19" s="51"/>
      <c r="CDJ19" s="51"/>
      <c r="CDK19" s="51"/>
      <c r="CDL19" s="51"/>
      <c r="CDM19" s="51"/>
      <c r="CDN19" s="51"/>
      <c r="CDO19" s="51"/>
      <c r="CDP19" s="51"/>
      <c r="CDQ19" s="51"/>
      <c r="CDR19" s="51"/>
      <c r="CDS19" s="51"/>
      <c r="CDT19" s="51"/>
      <c r="CDU19" s="51"/>
      <c r="CDV19" s="51"/>
      <c r="CDW19" s="51"/>
      <c r="CDX19" s="51"/>
      <c r="CDY19" s="51"/>
      <c r="CDZ19" s="51"/>
      <c r="CEA19" s="51"/>
      <c r="CEB19" s="51"/>
      <c r="CEC19" s="51"/>
      <c r="CED19" s="51"/>
      <c r="CEE19" s="51"/>
      <c r="CEF19" s="51"/>
      <c r="CEG19" s="51"/>
      <c r="CEH19" s="51"/>
      <c r="CEI19" s="51"/>
      <c r="CEJ19" s="51"/>
      <c r="CEK19" s="51"/>
      <c r="CEL19" s="51"/>
      <c r="CEM19" s="51"/>
      <c r="CEN19" s="51"/>
      <c r="CEO19" s="51"/>
      <c r="CEP19" s="51"/>
      <c r="CEQ19" s="51"/>
      <c r="CER19" s="51"/>
      <c r="CES19" s="51"/>
      <c r="CET19" s="51"/>
      <c r="CEU19" s="51"/>
      <c r="CEV19" s="51"/>
      <c r="CEW19" s="51"/>
      <c r="CEX19" s="51"/>
      <c r="CEY19" s="51"/>
      <c r="CEZ19" s="51"/>
      <c r="CFA19" s="51"/>
      <c r="CFB19" s="51"/>
      <c r="CFC19" s="51"/>
      <c r="CFD19" s="51"/>
      <c r="CFE19" s="51"/>
      <c r="CFF19" s="51"/>
      <c r="CFG19" s="51"/>
      <c r="CFH19" s="51"/>
      <c r="CFI19" s="51"/>
      <c r="CFJ19" s="51"/>
      <c r="CFK19" s="51"/>
      <c r="CFL19" s="51"/>
      <c r="CFM19" s="51"/>
      <c r="CFN19" s="51"/>
      <c r="CFO19" s="51"/>
      <c r="CFP19" s="51"/>
      <c r="CFQ19" s="51"/>
      <c r="CFR19" s="51"/>
      <c r="CFS19" s="51"/>
      <c r="CFT19" s="51"/>
      <c r="CFU19" s="51"/>
      <c r="CFV19" s="51"/>
      <c r="CFW19" s="51"/>
      <c r="CFX19" s="51"/>
      <c r="CFY19" s="51"/>
      <c r="CFZ19" s="51"/>
      <c r="CGA19" s="51"/>
      <c r="CGB19" s="51"/>
      <c r="CGC19" s="51"/>
      <c r="CGD19" s="51"/>
      <c r="CGE19" s="51"/>
      <c r="CGF19" s="51"/>
      <c r="CGG19" s="51"/>
      <c r="CGH19" s="51"/>
      <c r="CGI19" s="51"/>
      <c r="CGJ19" s="51"/>
      <c r="CGK19" s="51"/>
      <c r="CGL19" s="51"/>
      <c r="CGM19" s="51"/>
      <c r="CGN19" s="51"/>
      <c r="CGO19" s="51"/>
      <c r="CGP19" s="51"/>
      <c r="CGQ19" s="51"/>
      <c r="CGR19" s="51"/>
      <c r="CGS19" s="51"/>
      <c r="CGT19" s="51"/>
      <c r="CGU19" s="51"/>
      <c r="CGV19" s="51"/>
      <c r="CGW19" s="51"/>
      <c r="CGX19" s="51"/>
      <c r="CGY19" s="51"/>
      <c r="CGZ19" s="51"/>
      <c r="CHA19" s="51"/>
      <c r="CHB19" s="51"/>
      <c r="CHC19" s="51"/>
      <c r="CHD19" s="51"/>
      <c r="CHE19" s="51"/>
      <c r="CHF19" s="51"/>
      <c r="CHG19" s="51"/>
      <c r="CHH19" s="51"/>
      <c r="CHI19" s="51"/>
      <c r="CHJ19" s="51"/>
      <c r="CHK19" s="51"/>
      <c r="CHL19" s="51"/>
      <c r="CHM19" s="51"/>
      <c r="CHN19" s="51"/>
      <c r="CHO19" s="51"/>
      <c r="CHP19" s="51"/>
      <c r="CHQ19" s="51"/>
      <c r="CHR19" s="51"/>
      <c r="CHS19" s="51"/>
      <c r="CHT19" s="51"/>
      <c r="CHU19" s="51"/>
      <c r="CHV19" s="51"/>
      <c r="CHW19" s="51"/>
      <c r="CHX19" s="51"/>
      <c r="CHY19" s="51"/>
      <c r="CHZ19" s="51"/>
      <c r="CIA19" s="51"/>
      <c r="CIB19" s="51"/>
      <c r="CIC19" s="51"/>
      <c r="CID19" s="51"/>
      <c r="CIE19" s="51"/>
      <c r="CIF19" s="51"/>
      <c r="CIG19" s="51"/>
      <c r="CIH19" s="51"/>
      <c r="CII19" s="51"/>
      <c r="CIJ19" s="51"/>
      <c r="CIK19" s="51"/>
      <c r="CIL19" s="51"/>
      <c r="CIM19" s="51"/>
      <c r="CIN19" s="51"/>
      <c r="CIO19" s="51"/>
      <c r="CIP19" s="51"/>
      <c r="CIQ19" s="51"/>
      <c r="CIR19" s="51"/>
      <c r="CIS19" s="51"/>
      <c r="CIT19" s="51"/>
      <c r="CIU19" s="51"/>
      <c r="CIV19" s="51"/>
      <c r="CIW19" s="51"/>
      <c r="CIX19" s="51"/>
      <c r="CIY19" s="51"/>
      <c r="CIZ19" s="51"/>
      <c r="CJA19" s="51"/>
      <c r="CJB19" s="51"/>
      <c r="CJC19" s="51"/>
      <c r="CJD19" s="51"/>
      <c r="CJE19" s="51"/>
      <c r="CJF19" s="51"/>
      <c r="CJG19" s="51"/>
      <c r="CJH19" s="51"/>
      <c r="CJI19" s="51"/>
      <c r="CJJ19" s="51"/>
      <c r="CJK19" s="51"/>
      <c r="CJL19" s="51"/>
      <c r="CJM19" s="51"/>
      <c r="CJN19" s="51"/>
      <c r="CJO19" s="51"/>
      <c r="CJP19" s="51"/>
      <c r="CJQ19" s="51"/>
      <c r="CJR19" s="51"/>
      <c r="CJS19" s="51"/>
      <c r="CJT19" s="51"/>
      <c r="CJU19" s="51"/>
      <c r="CJV19" s="51"/>
      <c r="CJW19" s="51"/>
      <c r="CJX19" s="51"/>
      <c r="CJY19" s="51"/>
      <c r="CJZ19" s="51"/>
      <c r="CKA19" s="51"/>
      <c r="CKB19" s="51"/>
      <c r="CKC19" s="51"/>
      <c r="CKD19" s="51"/>
      <c r="CKE19" s="51"/>
      <c r="CKF19" s="51"/>
      <c r="CKG19" s="51"/>
      <c r="CKH19" s="51"/>
      <c r="CKI19" s="51"/>
      <c r="CKJ19" s="51"/>
      <c r="CKK19" s="51"/>
      <c r="CKL19" s="51"/>
      <c r="CKM19" s="51"/>
      <c r="CKN19" s="51"/>
      <c r="CKO19" s="51"/>
      <c r="CKP19" s="51"/>
      <c r="CKQ19" s="51"/>
      <c r="CKR19" s="51"/>
      <c r="CKS19" s="51"/>
      <c r="CKT19" s="51"/>
      <c r="CKU19" s="51"/>
      <c r="CKV19" s="51"/>
      <c r="CKW19" s="51"/>
      <c r="CKX19" s="51"/>
      <c r="CKY19" s="51"/>
      <c r="CKZ19" s="51"/>
      <c r="CLA19" s="51"/>
      <c r="CLB19" s="51"/>
      <c r="CLC19" s="51"/>
      <c r="CLD19" s="51"/>
      <c r="CLE19" s="51"/>
      <c r="CLF19" s="51"/>
      <c r="CLG19" s="51"/>
      <c r="CLH19" s="51"/>
      <c r="CLI19" s="51"/>
      <c r="CLJ19" s="51"/>
      <c r="CLK19" s="51"/>
      <c r="CLL19" s="51"/>
      <c r="CLM19" s="51"/>
      <c r="CLN19" s="51"/>
      <c r="CLO19" s="51"/>
      <c r="CLP19" s="51"/>
      <c r="CLQ19" s="51"/>
      <c r="CLR19" s="51"/>
      <c r="CLS19" s="51"/>
      <c r="CLT19" s="51"/>
      <c r="CLU19" s="51"/>
      <c r="CLV19" s="51"/>
      <c r="CLW19" s="51"/>
      <c r="CLX19" s="51"/>
      <c r="CLY19" s="51"/>
      <c r="CLZ19" s="51"/>
      <c r="CMA19" s="51"/>
      <c r="CMB19" s="51"/>
      <c r="CMC19" s="51"/>
      <c r="CMD19" s="51"/>
      <c r="CME19" s="51"/>
      <c r="CMF19" s="51"/>
      <c r="CMG19" s="51"/>
      <c r="CMH19" s="51"/>
      <c r="CMI19" s="51"/>
      <c r="CMJ19" s="51"/>
      <c r="CMK19" s="51"/>
      <c r="CML19" s="51"/>
      <c r="CMM19" s="51"/>
      <c r="CMN19" s="51"/>
      <c r="CMO19" s="51"/>
      <c r="CMP19" s="51"/>
      <c r="CMQ19" s="51"/>
      <c r="CMR19" s="51"/>
      <c r="CMS19" s="51"/>
      <c r="CMT19" s="51"/>
      <c r="CMU19" s="51"/>
      <c r="CMV19" s="51"/>
      <c r="CMW19" s="51"/>
      <c r="CMX19" s="51"/>
      <c r="CMY19" s="51"/>
      <c r="CMZ19" s="51"/>
      <c r="CNA19" s="51"/>
      <c r="CNB19" s="51"/>
      <c r="CNC19" s="51"/>
      <c r="CND19" s="51"/>
      <c r="CNE19" s="51"/>
      <c r="CNF19" s="51"/>
      <c r="CNG19" s="51"/>
      <c r="CNH19" s="51"/>
      <c r="CNI19" s="51"/>
      <c r="CNJ19" s="51"/>
      <c r="CNK19" s="51"/>
      <c r="CNL19" s="51"/>
      <c r="CNM19" s="51"/>
      <c r="CNN19" s="51"/>
      <c r="CNO19" s="51"/>
      <c r="CNP19" s="51"/>
      <c r="CNQ19" s="51"/>
      <c r="CNR19" s="51"/>
      <c r="CNS19" s="51"/>
      <c r="CNT19" s="51"/>
      <c r="CNU19" s="51"/>
      <c r="CNV19" s="51"/>
      <c r="CNW19" s="51"/>
      <c r="CNX19" s="51"/>
      <c r="CNY19" s="51"/>
      <c r="CNZ19" s="51"/>
      <c r="COA19" s="51"/>
      <c r="COB19" s="51"/>
      <c r="COC19" s="51"/>
      <c r="COD19" s="51"/>
      <c r="COE19" s="51"/>
      <c r="COF19" s="51"/>
      <c r="COG19" s="51"/>
      <c r="COH19" s="51"/>
      <c r="COI19" s="51"/>
      <c r="COJ19" s="51"/>
      <c r="COK19" s="51"/>
      <c r="COL19" s="51"/>
      <c r="COM19" s="51"/>
      <c r="CON19" s="51"/>
      <c r="COO19" s="51"/>
      <c r="COP19" s="51"/>
      <c r="COQ19" s="51"/>
      <c r="COR19" s="51"/>
      <c r="COS19" s="51"/>
      <c r="COT19" s="51"/>
      <c r="COU19" s="51"/>
      <c r="COV19" s="51"/>
      <c r="COW19" s="51"/>
      <c r="COX19" s="51"/>
      <c r="COY19" s="51"/>
      <c r="COZ19" s="51"/>
      <c r="CPA19" s="51"/>
      <c r="CPB19" s="51"/>
      <c r="CPC19" s="51"/>
      <c r="CPD19" s="51"/>
      <c r="CPE19" s="51"/>
      <c r="CPF19" s="51"/>
      <c r="CPG19" s="51"/>
      <c r="CPH19" s="51"/>
      <c r="CPI19" s="51"/>
      <c r="CPJ19" s="51"/>
      <c r="CPK19" s="51"/>
      <c r="CPL19" s="51"/>
      <c r="CPM19" s="51"/>
      <c r="CPN19" s="51"/>
      <c r="CPO19" s="51"/>
      <c r="CPP19" s="51"/>
      <c r="CPQ19" s="51"/>
      <c r="CPR19" s="51"/>
      <c r="CPS19" s="51"/>
      <c r="CPT19" s="51"/>
      <c r="CPU19" s="51"/>
      <c r="CPV19" s="51"/>
      <c r="CPW19" s="51"/>
      <c r="CPX19" s="51"/>
      <c r="CPY19" s="51"/>
      <c r="CPZ19" s="51"/>
      <c r="CQA19" s="51"/>
      <c r="CQB19" s="51"/>
      <c r="CQC19" s="51"/>
      <c r="CQD19" s="51"/>
      <c r="CQE19" s="51"/>
      <c r="CQF19" s="51"/>
      <c r="CQG19" s="51"/>
      <c r="CQH19" s="51"/>
      <c r="CQI19" s="51"/>
      <c r="CQJ19" s="51"/>
      <c r="CQK19" s="51"/>
      <c r="CQL19" s="51"/>
      <c r="CQM19" s="51"/>
      <c r="CQN19" s="51"/>
      <c r="CQO19" s="51"/>
      <c r="CQP19" s="51"/>
      <c r="CQQ19" s="51"/>
      <c r="CQR19" s="51"/>
      <c r="CQS19" s="51"/>
      <c r="CQT19" s="51"/>
      <c r="CQU19" s="51"/>
      <c r="CQV19" s="51"/>
      <c r="CQW19" s="51"/>
      <c r="CQX19" s="51"/>
      <c r="CQY19" s="51"/>
      <c r="CQZ19" s="51"/>
      <c r="CRA19" s="51"/>
      <c r="CRB19" s="51"/>
      <c r="CRC19" s="51"/>
      <c r="CRD19" s="51"/>
      <c r="CRE19" s="51"/>
      <c r="CRF19" s="51"/>
      <c r="CRG19" s="51"/>
      <c r="CRH19" s="51"/>
      <c r="CRI19" s="51"/>
      <c r="CRJ19" s="51"/>
      <c r="CRK19" s="51"/>
      <c r="CRL19" s="51"/>
      <c r="CRM19" s="51"/>
      <c r="CRN19" s="51"/>
      <c r="CRO19" s="51"/>
      <c r="CRP19" s="51"/>
      <c r="CRQ19" s="51"/>
      <c r="CRR19" s="51"/>
      <c r="CRS19" s="51"/>
      <c r="CRT19" s="51"/>
      <c r="CRU19" s="51"/>
      <c r="CRV19" s="51"/>
      <c r="CRW19" s="51"/>
      <c r="CRX19" s="51"/>
      <c r="CRY19" s="51"/>
      <c r="CRZ19" s="51"/>
      <c r="CSA19" s="51"/>
      <c r="CSB19" s="51"/>
      <c r="CSC19" s="51"/>
      <c r="CSD19" s="51"/>
      <c r="CSE19" s="51"/>
      <c r="CSF19" s="51"/>
      <c r="CSG19" s="51"/>
      <c r="CSH19" s="51"/>
      <c r="CSI19" s="51"/>
      <c r="CSJ19" s="51"/>
      <c r="CSK19" s="51"/>
      <c r="CSL19" s="51"/>
      <c r="CSM19" s="51"/>
      <c r="CSN19" s="51"/>
      <c r="CSO19" s="51"/>
      <c r="CSP19" s="51"/>
      <c r="CSQ19" s="51"/>
      <c r="CSR19" s="51"/>
      <c r="CSS19" s="51"/>
      <c r="CST19" s="51"/>
      <c r="CSU19" s="51"/>
      <c r="CSV19" s="51"/>
      <c r="CSW19" s="51"/>
      <c r="CSX19" s="51"/>
      <c r="CSY19" s="51"/>
      <c r="CSZ19" s="51"/>
      <c r="CTA19" s="51"/>
      <c r="CTB19" s="51"/>
      <c r="CTC19" s="51"/>
      <c r="CTD19" s="51"/>
      <c r="CTE19" s="51"/>
      <c r="CTF19" s="51"/>
      <c r="CTG19" s="51"/>
      <c r="CTH19" s="51"/>
      <c r="CTI19" s="51"/>
      <c r="CTJ19" s="51"/>
      <c r="CTK19" s="51"/>
      <c r="CTL19" s="51"/>
      <c r="CTM19" s="51"/>
      <c r="CTN19" s="51"/>
      <c r="CTO19" s="51"/>
      <c r="CTP19" s="51"/>
      <c r="CTQ19" s="51"/>
      <c r="CTR19" s="51"/>
      <c r="CTS19" s="51"/>
      <c r="CTT19" s="51"/>
      <c r="CTU19" s="51"/>
      <c r="CTV19" s="51"/>
      <c r="CTW19" s="51"/>
      <c r="CTX19" s="51"/>
      <c r="CTY19" s="51"/>
      <c r="CTZ19" s="51"/>
      <c r="CUA19" s="51"/>
      <c r="CUB19" s="51"/>
      <c r="CUC19" s="51"/>
      <c r="CUD19" s="51"/>
      <c r="CUE19" s="51"/>
      <c r="CUF19" s="51"/>
      <c r="CUG19" s="51"/>
      <c r="CUH19" s="51"/>
      <c r="CUI19" s="51"/>
      <c r="CUJ19" s="51"/>
      <c r="CUK19" s="51"/>
      <c r="CUL19" s="51"/>
      <c r="CUM19" s="51"/>
      <c r="CUN19" s="51"/>
      <c r="CUO19" s="51"/>
      <c r="CUP19" s="51"/>
      <c r="CUQ19" s="51"/>
      <c r="CUR19" s="51"/>
      <c r="CUS19" s="51"/>
      <c r="CUT19" s="51"/>
      <c r="CUU19" s="51"/>
      <c r="CUV19" s="51"/>
      <c r="CUW19" s="51"/>
      <c r="CUX19" s="51"/>
      <c r="CUY19" s="51"/>
      <c r="CUZ19" s="51"/>
      <c r="CVA19" s="51"/>
      <c r="CVB19" s="51"/>
      <c r="CVC19" s="51"/>
      <c r="CVD19" s="51"/>
      <c r="CVE19" s="51"/>
      <c r="CVF19" s="51"/>
      <c r="CVG19" s="51"/>
      <c r="CVH19" s="51"/>
      <c r="CVI19" s="51"/>
      <c r="CVJ19" s="51"/>
      <c r="CVK19" s="51"/>
      <c r="CVL19" s="51"/>
      <c r="CVM19" s="51"/>
      <c r="CVN19" s="51"/>
      <c r="CVO19" s="51"/>
      <c r="CVP19" s="51"/>
      <c r="CVQ19" s="51"/>
      <c r="CVR19" s="51"/>
      <c r="CVS19" s="51"/>
      <c r="CVT19" s="51"/>
      <c r="CVU19" s="51"/>
      <c r="CVV19" s="51"/>
      <c r="CVW19" s="51"/>
      <c r="CVX19" s="51"/>
      <c r="CVY19" s="51"/>
      <c r="CVZ19" s="51"/>
      <c r="CWA19" s="51"/>
      <c r="CWB19" s="51"/>
      <c r="CWC19" s="51"/>
      <c r="CWD19" s="51"/>
      <c r="CWE19" s="51"/>
      <c r="CWF19" s="51"/>
      <c r="CWG19" s="51"/>
      <c r="CWH19" s="51"/>
      <c r="CWI19" s="51"/>
      <c r="CWJ19" s="51"/>
      <c r="CWK19" s="51"/>
      <c r="CWL19" s="51"/>
      <c r="CWM19" s="51"/>
      <c r="CWN19" s="51"/>
      <c r="CWO19" s="51"/>
      <c r="CWP19" s="51"/>
      <c r="CWQ19" s="51"/>
      <c r="CWR19" s="51"/>
      <c r="CWS19" s="51"/>
      <c r="CWT19" s="51"/>
      <c r="CWU19" s="51"/>
      <c r="CWV19" s="51"/>
      <c r="CWW19" s="51"/>
      <c r="CWX19" s="51"/>
      <c r="CWY19" s="51"/>
      <c r="CWZ19" s="51"/>
      <c r="CXA19" s="51"/>
      <c r="CXB19" s="51"/>
      <c r="CXC19" s="51"/>
      <c r="CXD19" s="51"/>
      <c r="CXE19" s="51"/>
      <c r="CXF19" s="51"/>
      <c r="CXG19" s="51"/>
      <c r="CXH19" s="51"/>
      <c r="CXI19" s="51"/>
      <c r="CXJ19" s="51"/>
      <c r="CXK19" s="51"/>
      <c r="CXL19" s="51"/>
      <c r="CXM19" s="51"/>
      <c r="CXN19" s="51"/>
      <c r="CXO19" s="51"/>
      <c r="CXP19" s="51"/>
      <c r="CXQ19" s="51"/>
      <c r="CXR19" s="51"/>
      <c r="CXS19" s="51"/>
      <c r="CXT19" s="51"/>
      <c r="CXU19" s="51"/>
      <c r="CXV19" s="51"/>
      <c r="CXW19" s="51"/>
      <c r="CXX19" s="51"/>
      <c r="CXY19" s="51"/>
      <c r="CXZ19" s="51"/>
      <c r="CYA19" s="51"/>
      <c r="CYB19" s="51"/>
      <c r="CYC19" s="51"/>
      <c r="CYD19" s="51"/>
      <c r="CYE19" s="51"/>
      <c r="CYF19" s="51"/>
      <c r="CYG19" s="51"/>
      <c r="CYH19" s="51"/>
      <c r="CYI19" s="51"/>
      <c r="CYJ19" s="51"/>
      <c r="CYK19" s="51"/>
      <c r="CYL19" s="51"/>
      <c r="CYM19" s="51"/>
      <c r="CYN19" s="51"/>
      <c r="CYO19" s="51"/>
      <c r="CYP19" s="51"/>
      <c r="CYQ19" s="51"/>
      <c r="CYR19" s="51"/>
      <c r="CYS19" s="51"/>
      <c r="CYT19" s="51"/>
      <c r="CYU19" s="51"/>
      <c r="CYV19" s="51"/>
      <c r="CYW19" s="51"/>
      <c r="CYX19" s="51"/>
      <c r="CYY19" s="51"/>
      <c r="CYZ19" s="51"/>
      <c r="CZA19" s="51"/>
      <c r="CZB19" s="51"/>
      <c r="CZC19" s="51"/>
      <c r="CZD19" s="51"/>
      <c r="CZE19" s="51"/>
      <c r="CZF19" s="51"/>
      <c r="CZG19" s="51"/>
      <c r="CZH19" s="51"/>
      <c r="CZI19" s="51"/>
      <c r="CZJ19" s="51"/>
      <c r="CZK19" s="51"/>
      <c r="CZL19" s="51"/>
      <c r="CZM19" s="51"/>
      <c r="CZN19" s="51"/>
      <c r="CZO19" s="51"/>
      <c r="CZP19" s="51"/>
      <c r="CZQ19" s="51"/>
      <c r="CZR19" s="51"/>
      <c r="CZS19" s="51"/>
      <c r="CZT19" s="51"/>
      <c r="CZU19" s="51"/>
      <c r="CZV19" s="51"/>
      <c r="CZW19" s="51"/>
      <c r="CZX19" s="51"/>
      <c r="CZY19" s="51"/>
      <c r="CZZ19" s="51"/>
      <c r="DAA19" s="51"/>
      <c r="DAB19" s="51"/>
      <c r="DAC19" s="51"/>
      <c r="DAD19" s="51"/>
      <c r="DAE19" s="51"/>
      <c r="DAF19" s="51"/>
      <c r="DAG19" s="51"/>
      <c r="DAH19" s="51"/>
      <c r="DAI19" s="51"/>
      <c r="DAJ19" s="51"/>
      <c r="DAK19" s="51"/>
      <c r="DAL19" s="51"/>
      <c r="DAM19" s="51"/>
      <c r="DAN19" s="51"/>
      <c r="DAO19" s="51"/>
      <c r="DAP19" s="51"/>
      <c r="DAQ19" s="51"/>
      <c r="DAR19" s="51"/>
      <c r="DAS19" s="51"/>
      <c r="DAT19" s="51"/>
      <c r="DAU19" s="51"/>
      <c r="DAV19" s="51"/>
      <c r="DAW19" s="51"/>
      <c r="DAX19" s="51"/>
      <c r="DAY19" s="51"/>
      <c r="DAZ19" s="51"/>
      <c r="DBA19" s="51"/>
      <c r="DBB19" s="51"/>
      <c r="DBC19" s="51"/>
      <c r="DBD19" s="51"/>
      <c r="DBE19" s="51"/>
      <c r="DBF19" s="51"/>
      <c r="DBG19" s="51"/>
      <c r="DBH19" s="51"/>
      <c r="DBI19" s="51"/>
      <c r="DBJ19" s="51"/>
      <c r="DBK19" s="51"/>
      <c r="DBL19" s="51"/>
      <c r="DBM19" s="51"/>
      <c r="DBN19" s="51"/>
      <c r="DBO19" s="51"/>
      <c r="DBP19" s="51"/>
      <c r="DBQ19" s="51"/>
      <c r="DBR19" s="51"/>
      <c r="DBS19" s="51"/>
      <c r="DBT19" s="51"/>
      <c r="DBU19" s="51"/>
      <c r="DBV19" s="51"/>
      <c r="DBW19" s="51"/>
      <c r="DBX19" s="51"/>
      <c r="DBY19" s="51"/>
      <c r="DBZ19" s="51"/>
      <c r="DCA19" s="51"/>
      <c r="DCB19" s="51"/>
      <c r="DCC19" s="51"/>
      <c r="DCD19" s="51"/>
      <c r="DCE19" s="51"/>
      <c r="DCF19" s="51"/>
      <c r="DCG19" s="51"/>
      <c r="DCH19" s="51"/>
      <c r="DCI19" s="51"/>
      <c r="DCJ19" s="51"/>
      <c r="DCK19" s="51"/>
      <c r="DCL19" s="51"/>
      <c r="DCM19" s="51"/>
      <c r="DCN19" s="51"/>
      <c r="DCO19" s="51"/>
      <c r="DCP19" s="51"/>
      <c r="DCQ19" s="51"/>
      <c r="DCR19" s="51"/>
      <c r="DCS19" s="51"/>
      <c r="DCT19" s="51"/>
      <c r="DCU19" s="51"/>
      <c r="DCV19" s="51"/>
      <c r="DCW19" s="51"/>
      <c r="DCX19" s="51"/>
      <c r="DCY19" s="51"/>
      <c r="DCZ19" s="51"/>
      <c r="DDA19" s="51"/>
      <c r="DDB19" s="51"/>
      <c r="DDC19" s="51"/>
      <c r="DDD19" s="51"/>
      <c r="DDE19" s="51"/>
      <c r="DDF19" s="51"/>
      <c r="DDG19" s="51"/>
      <c r="DDH19" s="51"/>
      <c r="DDI19" s="51"/>
      <c r="DDJ19" s="51"/>
      <c r="DDK19" s="51"/>
      <c r="DDL19" s="51"/>
      <c r="DDM19" s="51"/>
      <c r="DDN19" s="51"/>
      <c r="DDO19" s="51"/>
      <c r="DDP19" s="51"/>
      <c r="DDQ19" s="51"/>
      <c r="DDR19" s="51"/>
      <c r="DDS19" s="51"/>
      <c r="DDT19" s="51"/>
      <c r="DDU19" s="51"/>
      <c r="DDV19" s="51"/>
      <c r="DDW19" s="51"/>
      <c r="DDX19" s="51"/>
      <c r="DDY19" s="51"/>
      <c r="DDZ19" s="51"/>
      <c r="DEA19" s="51"/>
      <c r="DEB19" s="51"/>
      <c r="DEC19" s="51"/>
      <c r="DED19" s="51"/>
      <c r="DEE19" s="51"/>
      <c r="DEF19" s="51"/>
      <c r="DEG19" s="51"/>
      <c r="DEH19" s="51"/>
      <c r="DEI19" s="51"/>
      <c r="DEJ19" s="51"/>
      <c r="DEK19" s="51"/>
      <c r="DEL19" s="51"/>
      <c r="DEM19" s="51"/>
      <c r="DEN19" s="51"/>
      <c r="DEO19" s="51"/>
      <c r="DEP19" s="51"/>
      <c r="DEQ19" s="51"/>
      <c r="DER19" s="51"/>
      <c r="DES19" s="51"/>
      <c r="DET19" s="51"/>
      <c r="DEU19" s="51"/>
      <c r="DEV19" s="51"/>
      <c r="DEW19" s="51"/>
      <c r="DEX19" s="51"/>
      <c r="DEY19" s="51"/>
      <c r="DEZ19" s="51"/>
      <c r="DFA19" s="51"/>
      <c r="DFB19" s="51"/>
      <c r="DFC19" s="51"/>
      <c r="DFD19" s="51"/>
      <c r="DFE19" s="51"/>
      <c r="DFF19" s="51"/>
      <c r="DFG19" s="51"/>
      <c r="DFH19" s="51"/>
      <c r="DFI19" s="51"/>
      <c r="DFJ19" s="51"/>
      <c r="DFK19" s="51"/>
      <c r="DFL19" s="51"/>
      <c r="DFM19" s="51"/>
      <c r="DFN19" s="51"/>
      <c r="DFO19" s="51"/>
      <c r="DFP19" s="51"/>
      <c r="DFQ19" s="51"/>
      <c r="DFR19" s="51"/>
      <c r="DFS19" s="51"/>
      <c r="DFT19" s="51"/>
      <c r="DFU19" s="51"/>
      <c r="DFV19" s="51"/>
      <c r="DFW19" s="51"/>
      <c r="DFX19" s="51"/>
      <c r="DFY19" s="51"/>
      <c r="DFZ19" s="51"/>
      <c r="DGA19" s="51"/>
      <c r="DGB19" s="51"/>
      <c r="DGC19" s="51"/>
      <c r="DGD19" s="51"/>
      <c r="DGE19" s="51"/>
      <c r="DGF19" s="51"/>
      <c r="DGG19" s="51"/>
      <c r="DGH19" s="51"/>
      <c r="DGI19" s="51"/>
      <c r="DGJ19" s="51"/>
      <c r="DGK19" s="51"/>
      <c r="DGL19" s="51"/>
      <c r="DGM19" s="51"/>
      <c r="DGN19" s="51"/>
      <c r="DGO19" s="51"/>
      <c r="DGP19" s="51"/>
      <c r="DGQ19" s="51"/>
      <c r="DGR19" s="51"/>
      <c r="DGS19" s="51"/>
      <c r="DGT19" s="51"/>
      <c r="DGU19" s="51"/>
      <c r="DGV19" s="51"/>
      <c r="DGW19" s="51"/>
      <c r="DGX19" s="51"/>
      <c r="DGY19" s="51"/>
      <c r="DGZ19" s="51"/>
      <c r="DHA19" s="51"/>
      <c r="DHB19" s="51"/>
      <c r="DHC19" s="51"/>
      <c r="DHD19" s="51"/>
      <c r="DHE19" s="51"/>
      <c r="DHF19" s="51"/>
      <c r="DHG19" s="51"/>
      <c r="DHH19" s="51"/>
      <c r="DHI19" s="51"/>
      <c r="DHJ19" s="51"/>
      <c r="DHK19" s="51"/>
      <c r="DHL19" s="51"/>
      <c r="DHM19" s="51"/>
      <c r="DHN19" s="51"/>
      <c r="DHO19" s="51"/>
      <c r="DHP19" s="51"/>
      <c r="DHQ19" s="51"/>
      <c r="DHR19" s="51"/>
      <c r="DHS19" s="51"/>
      <c r="DHT19" s="51"/>
      <c r="DHU19" s="51"/>
      <c r="DHV19" s="51"/>
      <c r="DHW19" s="51"/>
      <c r="DHX19" s="51"/>
      <c r="DHY19" s="51"/>
      <c r="DHZ19" s="51"/>
      <c r="DIA19" s="51"/>
      <c r="DIB19" s="51"/>
      <c r="DIC19" s="51"/>
      <c r="DID19" s="51"/>
      <c r="DIE19" s="51"/>
      <c r="DIF19" s="51"/>
      <c r="DIG19" s="51"/>
      <c r="DIH19" s="51"/>
      <c r="DII19" s="51"/>
      <c r="DIJ19" s="51"/>
      <c r="DIK19" s="51"/>
      <c r="DIL19" s="51"/>
      <c r="DIM19" s="51"/>
      <c r="DIN19" s="51"/>
      <c r="DIO19" s="51"/>
      <c r="DIP19" s="51"/>
      <c r="DIQ19" s="51"/>
      <c r="DIR19" s="51"/>
      <c r="DIS19" s="51"/>
      <c r="DIT19" s="51"/>
      <c r="DIU19" s="51"/>
      <c r="DIV19" s="51"/>
      <c r="DIW19" s="51"/>
      <c r="DIX19" s="51"/>
      <c r="DIY19" s="51"/>
      <c r="DIZ19" s="51"/>
      <c r="DJA19" s="51"/>
      <c r="DJB19" s="51"/>
      <c r="DJC19" s="51"/>
      <c r="DJD19" s="51"/>
      <c r="DJE19" s="51"/>
      <c r="DJF19" s="51"/>
      <c r="DJG19" s="51"/>
      <c r="DJH19" s="51"/>
      <c r="DJI19" s="51"/>
      <c r="DJJ19" s="51"/>
      <c r="DJK19" s="51"/>
      <c r="DJL19" s="51"/>
      <c r="DJM19" s="51"/>
      <c r="DJN19" s="51"/>
      <c r="DJO19" s="51"/>
      <c r="DJP19" s="51"/>
      <c r="DJQ19" s="51"/>
      <c r="DJR19" s="51"/>
      <c r="DJS19" s="51"/>
      <c r="DJT19" s="51"/>
      <c r="DJU19" s="51"/>
      <c r="DJV19" s="51"/>
      <c r="DJW19" s="51"/>
      <c r="DJX19" s="51"/>
      <c r="DJY19" s="51"/>
      <c r="DJZ19" s="51"/>
      <c r="DKA19" s="51"/>
      <c r="DKB19" s="51"/>
      <c r="DKC19" s="51"/>
      <c r="DKD19" s="51"/>
      <c r="DKE19" s="51"/>
      <c r="DKF19" s="51"/>
      <c r="DKG19" s="51"/>
      <c r="DKH19" s="51"/>
      <c r="DKI19" s="51"/>
      <c r="DKJ19" s="51"/>
      <c r="DKK19" s="51"/>
      <c r="DKL19" s="51"/>
      <c r="DKM19" s="51"/>
      <c r="DKN19" s="51"/>
      <c r="DKO19" s="51"/>
      <c r="DKP19" s="51"/>
      <c r="DKQ19" s="51"/>
      <c r="DKR19" s="51"/>
      <c r="DKS19" s="51"/>
      <c r="DKT19" s="51"/>
      <c r="DKU19" s="51"/>
      <c r="DKV19" s="51"/>
      <c r="DKW19" s="51"/>
      <c r="DKX19" s="51"/>
      <c r="DKY19" s="51"/>
      <c r="DKZ19" s="51"/>
      <c r="DLA19" s="51"/>
      <c r="DLB19" s="51"/>
      <c r="DLC19" s="51"/>
      <c r="DLD19" s="51"/>
      <c r="DLE19" s="51"/>
      <c r="DLF19" s="51"/>
      <c r="DLG19" s="51"/>
      <c r="DLH19" s="51"/>
      <c r="DLI19" s="51"/>
      <c r="DLJ19" s="51"/>
      <c r="DLK19" s="51"/>
      <c r="DLL19" s="51"/>
      <c r="DLM19" s="51"/>
      <c r="DLN19" s="51"/>
      <c r="DLO19" s="51"/>
      <c r="DLP19" s="51"/>
      <c r="DLQ19" s="51"/>
      <c r="DLR19" s="51"/>
      <c r="DLS19" s="51"/>
      <c r="DLT19" s="51"/>
      <c r="DLU19" s="51"/>
      <c r="DLV19" s="51"/>
      <c r="DLW19" s="51"/>
      <c r="DLX19" s="51"/>
      <c r="DLY19" s="51"/>
      <c r="DLZ19" s="51"/>
      <c r="DMA19" s="51"/>
      <c r="DMB19" s="51"/>
      <c r="DMC19" s="51"/>
      <c r="DMD19" s="51"/>
      <c r="DME19" s="51"/>
      <c r="DMF19" s="51"/>
      <c r="DMG19" s="51"/>
      <c r="DMH19" s="51"/>
      <c r="DMI19" s="51"/>
      <c r="DMJ19" s="51"/>
      <c r="DMK19" s="51"/>
      <c r="DML19" s="51"/>
      <c r="DMM19" s="51"/>
      <c r="DMN19" s="51"/>
      <c r="DMO19" s="51"/>
      <c r="DMP19" s="51"/>
      <c r="DMQ19" s="51"/>
      <c r="DMR19" s="51"/>
      <c r="DMS19" s="51"/>
      <c r="DMT19" s="51"/>
      <c r="DMU19" s="51"/>
      <c r="DMV19" s="51"/>
      <c r="DMW19" s="51"/>
      <c r="DMX19" s="51"/>
      <c r="DMY19" s="51"/>
      <c r="DMZ19" s="51"/>
      <c r="DNA19" s="51"/>
      <c r="DNB19" s="51"/>
      <c r="DNC19" s="51"/>
      <c r="DND19" s="51"/>
      <c r="DNE19" s="51"/>
      <c r="DNF19" s="51"/>
      <c r="DNG19" s="51"/>
      <c r="DNH19" s="51"/>
      <c r="DNI19" s="51"/>
      <c r="DNJ19" s="51"/>
      <c r="DNK19" s="51"/>
      <c r="DNL19" s="51"/>
      <c r="DNM19" s="51"/>
      <c r="DNN19" s="51"/>
      <c r="DNO19" s="51"/>
      <c r="DNP19" s="51"/>
      <c r="DNQ19" s="51"/>
      <c r="DNR19" s="51"/>
      <c r="DNS19" s="51"/>
      <c r="DNT19" s="51"/>
      <c r="DNU19" s="51"/>
      <c r="DNV19" s="51"/>
      <c r="DNW19" s="51"/>
      <c r="DNX19" s="51"/>
      <c r="DNY19" s="51"/>
      <c r="DNZ19" s="51"/>
      <c r="DOA19" s="51"/>
      <c r="DOB19" s="51"/>
      <c r="DOC19" s="51"/>
      <c r="DOD19" s="51"/>
      <c r="DOE19" s="51"/>
      <c r="DOF19" s="51"/>
      <c r="DOG19" s="51"/>
      <c r="DOH19" s="51"/>
      <c r="DOI19" s="51"/>
      <c r="DOJ19" s="51"/>
      <c r="DOK19" s="51"/>
      <c r="DOL19" s="51"/>
      <c r="DOM19" s="51"/>
      <c r="DON19" s="51"/>
      <c r="DOO19" s="51"/>
      <c r="DOP19" s="51"/>
      <c r="DOQ19" s="51"/>
      <c r="DOR19" s="51"/>
      <c r="DOS19" s="51"/>
      <c r="DOT19" s="51"/>
      <c r="DOU19" s="51"/>
      <c r="DOV19" s="51"/>
      <c r="DOW19" s="51"/>
      <c r="DOX19" s="51"/>
      <c r="DOY19" s="51"/>
      <c r="DOZ19" s="51"/>
      <c r="DPA19" s="51"/>
      <c r="DPB19" s="51"/>
      <c r="DPC19" s="51"/>
      <c r="DPD19" s="51"/>
      <c r="DPE19" s="51"/>
      <c r="DPF19" s="51"/>
      <c r="DPG19" s="51"/>
      <c r="DPH19" s="51"/>
      <c r="DPI19" s="51"/>
      <c r="DPJ19" s="51"/>
      <c r="DPK19" s="51"/>
      <c r="DPL19" s="51"/>
      <c r="DPM19" s="51"/>
      <c r="DPN19" s="51"/>
      <c r="DPO19" s="51"/>
      <c r="DPP19" s="51"/>
      <c r="DPQ19" s="51"/>
      <c r="DPR19" s="51"/>
      <c r="DPS19" s="51"/>
      <c r="DPT19" s="51"/>
      <c r="DPU19" s="51"/>
      <c r="DPV19" s="51"/>
      <c r="DPW19" s="51"/>
      <c r="DPX19" s="51"/>
      <c r="DPY19" s="51"/>
      <c r="DPZ19" s="51"/>
      <c r="DQA19" s="51"/>
      <c r="DQB19" s="51"/>
      <c r="DQC19" s="51"/>
      <c r="DQD19" s="51"/>
      <c r="DQE19" s="51"/>
      <c r="DQF19" s="51"/>
      <c r="DQG19" s="51"/>
      <c r="DQH19" s="51"/>
      <c r="DQI19" s="51"/>
      <c r="DQJ19" s="51"/>
      <c r="DQK19" s="51"/>
      <c r="DQL19" s="51"/>
      <c r="DQM19" s="51"/>
      <c r="DQN19" s="51"/>
      <c r="DQO19" s="51"/>
      <c r="DQP19" s="51"/>
      <c r="DQQ19" s="51"/>
      <c r="DQR19" s="51"/>
      <c r="DQS19" s="51"/>
      <c r="DQT19" s="51"/>
      <c r="DQU19" s="51"/>
      <c r="DQV19" s="51"/>
      <c r="DQW19" s="51"/>
      <c r="DQX19" s="51"/>
      <c r="DQY19" s="51"/>
      <c r="DQZ19" s="51"/>
      <c r="DRA19" s="51"/>
      <c r="DRB19" s="51"/>
      <c r="DRC19" s="51"/>
      <c r="DRD19" s="51"/>
      <c r="DRE19" s="51"/>
      <c r="DRF19" s="51"/>
      <c r="DRG19" s="51"/>
      <c r="DRH19" s="51"/>
      <c r="DRI19" s="51"/>
      <c r="DRJ19" s="51"/>
      <c r="DRK19" s="51"/>
      <c r="DRL19" s="51"/>
      <c r="DRM19" s="51"/>
      <c r="DRN19" s="51"/>
      <c r="DRO19" s="51"/>
      <c r="DRP19" s="51"/>
      <c r="DRQ19" s="51"/>
      <c r="DRR19" s="51"/>
      <c r="DRS19" s="51"/>
      <c r="DRT19" s="51"/>
      <c r="DRU19" s="51"/>
      <c r="DRV19" s="51"/>
      <c r="DRW19" s="51"/>
      <c r="DRX19" s="51"/>
      <c r="DRY19" s="51"/>
      <c r="DRZ19" s="51"/>
      <c r="DSA19" s="51"/>
      <c r="DSB19" s="51"/>
      <c r="DSC19" s="51"/>
      <c r="DSD19" s="51"/>
      <c r="DSE19" s="51"/>
      <c r="DSF19" s="51"/>
      <c r="DSG19" s="51"/>
      <c r="DSH19" s="51"/>
      <c r="DSI19" s="51"/>
      <c r="DSJ19" s="51"/>
      <c r="DSK19" s="51"/>
      <c r="DSL19" s="51"/>
      <c r="DSM19" s="51"/>
      <c r="DSN19" s="51"/>
      <c r="DSO19" s="51"/>
      <c r="DSP19" s="51"/>
      <c r="DSQ19" s="51"/>
      <c r="DSR19" s="51"/>
      <c r="DSS19" s="51"/>
      <c r="DST19" s="51"/>
      <c r="DSU19" s="51"/>
      <c r="DSV19" s="51"/>
      <c r="DSW19" s="51"/>
      <c r="DSX19" s="51"/>
      <c r="DSY19" s="51"/>
      <c r="DSZ19" s="51"/>
      <c r="DTA19" s="51"/>
      <c r="DTB19" s="51"/>
    </row>
    <row r="20" spans="1:3226" s="66" customFormat="1" ht="102.75" customHeight="1" x14ac:dyDescent="0.35">
      <c r="A20" s="247"/>
      <c r="B20" s="153" t="s">
        <v>114</v>
      </c>
      <c r="C20" s="153" t="s">
        <v>124</v>
      </c>
      <c r="D20" s="229" t="s">
        <v>92</v>
      </c>
      <c r="E20" s="170" t="s">
        <v>115</v>
      </c>
      <c r="F20" s="205" t="s">
        <v>333</v>
      </c>
      <c r="G20" s="232">
        <v>42171</v>
      </c>
      <c r="H20" s="173" t="s">
        <v>161</v>
      </c>
      <c r="I20" s="171">
        <v>15</v>
      </c>
      <c r="J20" s="157">
        <v>178.81533333333334</v>
      </c>
      <c r="K20" s="158">
        <v>2954</v>
      </c>
      <c r="L20" s="159">
        <v>0</v>
      </c>
      <c r="M20" s="160">
        <f t="shared" ref="M20" si="27">SUM(K20:L20)</f>
        <v>2954</v>
      </c>
      <c r="N20" s="161">
        <f t="shared" ref="N20" si="28">IF(K20/15&lt;=SMG,0,L20/2)</f>
        <v>0</v>
      </c>
      <c r="O20" s="161">
        <f t="shared" ref="O20" si="29">K20+N20</f>
        <v>2954</v>
      </c>
      <c r="P20" s="161">
        <f>VLOOKUP(O20,Tarifa1,1)</f>
        <v>368.11</v>
      </c>
      <c r="Q20" s="161">
        <f t="shared" ref="Q20" si="30">O20-P20</f>
        <v>2585.89</v>
      </c>
      <c r="R20" s="162">
        <f>VLOOKUP(O20,Tarifa1,3)</f>
        <v>6.4000000000000001E-2</v>
      </c>
      <c r="S20" s="161">
        <f t="shared" ref="S20" si="31">Q20*R20</f>
        <v>165.49696</v>
      </c>
      <c r="T20" s="163">
        <f>VLOOKUP(O20,Tarifa1,2)</f>
        <v>7.05</v>
      </c>
      <c r="U20" s="161">
        <f t="shared" ref="U20" si="32">S20+T20</f>
        <v>172.54696000000001</v>
      </c>
      <c r="V20" s="161">
        <f>VLOOKUP(O20,Credito1,2)</f>
        <v>145.35</v>
      </c>
      <c r="W20" s="161">
        <f t="shared" ref="W20" si="33">ROUND(U20-V20,2)</f>
        <v>27.2</v>
      </c>
      <c r="X20" s="160">
        <f t="shared" ref="X20" si="34">-IF(W20&gt;0,0,W20)</f>
        <v>0</v>
      </c>
      <c r="Y20" s="172">
        <f>IF(K20/15&lt;=SMG,0,IF(W20&lt;0,0,W20))</f>
        <v>0</v>
      </c>
      <c r="Z20" s="164">
        <v>0</v>
      </c>
      <c r="AA20" s="160">
        <f>SUM(Y20:Z20)</f>
        <v>0</v>
      </c>
      <c r="AB20" s="172">
        <f>M20+X20-AA20</f>
        <v>2954</v>
      </c>
      <c r="AC20" s="65"/>
      <c r="AD20" s="87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  <c r="IU20" s="51"/>
      <c r="IV20" s="51"/>
      <c r="IW20" s="51"/>
      <c r="IX20" s="51"/>
      <c r="IY20" s="51"/>
      <c r="IZ20" s="51"/>
      <c r="JA20" s="51"/>
      <c r="JB20" s="51"/>
      <c r="JC20" s="51"/>
      <c r="JD20" s="51"/>
      <c r="JE20" s="51"/>
      <c r="JF20" s="51"/>
      <c r="JG20" s="51"/>
      <c r="JH20" s="51"/>
      <c r="JI20" s="51"/>
      <c r="JJ20" s="51"/>
      <c r="JK20" s="51"/>
      <c r="JL20" s="51"/>
      <c r="JM20" s="51"/>
      <c r="JN20" s="51"/>
      <c r="JO20" s="51"/>
      <c r="JP20" s="51"/>
      <c r="JQ20" s="51"/>
      <c r="JR20" s="51"/>
      <c r="JS20" s="51"/>
      <c r="JT20" s="51"/>
      <c r="JU20" s="51"/>
      <c r="JV20" s="51"/>
      <c r="JW20" s="51"/>
      <c r="JX20" s="51"/>
      <c r="JY20" s="51"/>
      <c r="JZ20" s="51"/>
      <c r="KA20" s="51"/>
      <c r="KB20" s="51"/>
      <c r="KC20" s="51"/>
      <c r="KD20" s="51"/>
      <c r="KE20" s="51"/>
      <c r="KF20" s="51"/>
      <c r="KG20" s="51"/>
      <c r="KH20" s="51"/>
      <c r="KI20" s="51"/>
      <c r="KJ20" s="51"/>
      <c r="KK20" s="51"/>
      <c r="KL20" s="51"/>
      <c r="KM20" s="51"/>
      <c r="KN20" s="51"/>
      <c r="KO20" s="51"/>
      <c r="KP20" s="51"/>
      <c r="KQ20" s="51"/>
      <c r="KR20" s="51"/>
      <c r="KS20" s="51"/>
      <c r="KT20" s="51"/>
      <c r="KU20" s="51"/>
      <c r="KV20" s="51"/>
      <c r="KW20" s="51"/>
      <c r="KX20" s="51"/>
      <c r="KY20" s="51"/>
      <c r="KZ20" s="51"/>
      <c r="LA20" s="51"/>
      <c r="LB20" s="51"/>
      <c r="LC20" s="51"/>
      <c r="LD20" s="51"/>
      <c r="LE20" s="51"/>
      <c r="LF20" s="51"/>
      <c r="LG20" s="51"/>
      <c r="LH20" s="51"/>
      <c r="LI20" s="51"/>
      <c r="LJ20" s="51"/>
      <c r="LK20" s="51"/>
      <c r="LL20" s="51"/>
      <c r="LM20" s="51"/>
      <c r="LN20" s="51"/>
      <c r="LO20" s="51"/>
      <c r="LP20" s="51"/>
      <c r="LQ20" s="51"/>
      <c r="LR20" s="51"/>
      <c r="LS20" s="51"/>
      <c r="LT20" s="51"/>
      <c r="LU20" s="51"/>
      <c r="LV20" s="51"/>
      <c r="LW20" s="51"/>
      <c r="LX20" s="51"/>
      <c r="LY20" s="51"/>
      <c r="LZ20" s="51"/>
      <c r="MA20" s="51"/>
      <c r="MB20" s="51"/>
      <c r="MC20" s="51"/>
      <c r="MD20" s="51"/>
      <c r="ME20" s="51"/>
      <c r="MF20" s="51"/>
      <c r="MG20" s="51"/>
      <c r="MH20" s="51"/>
      <c r="MI20" s="51"/>
      <c r="MJ20" s="51"/>
      <c r="MK20" s="51"/>
      <c r="ML20" s="51"/>
      <c r="MM20" s="51"/>
      <c r="MN20" s="51"/>
      <c r="MO20" s="51"/>
      <c r="MP20" s="51"/>
      <c r="MQ20" s="51"/>
      <c r="MR20" s="51"/>
      <c r="MS20" s="51"/>
      <c r="MT20" s="51"/>
      <c r="MU20" s="51"/>
      <c r="MV20" s="51"/>
      <c r="MW20" s="51"/>
      <c r="MX20" s="51"/>
      <c r="MY20" s="51"/>
      <c r="MZ20" s="51"/>
      <c r="NA20" s="51"/>
      <c r="NB20" s="51"/>
      <c r="NC20" s="51"/>
      <c r="ND20" s="51"/>
      <c r="NE20" s="51"/>
      <c r="NF20" s="51"/>
      <c r="NG20" s="51"/>
      <c r="NH20" s="51"/>
      <c r="NI20" s="51"/>
      <c r="NJ20" s="51"/>
      <c r="NK20" s="51"/>
      <c r="NL20" s="51"/>
      <c r="NM20" s="51"/>
      <c r="NN20" s="51"/>
      <c r="NO20" s="51"/>
      <c r="NP20" s="51"/>
      <c r="NQ20" s="51"/>
      <c r="NR20" s="51"/>
      <c r="NS20" s="51"/>
      <c r="NT20" s="51"/>
      <c r="NU20" s="51"/>
      <c r="NV20" s="51"/>
      <c r="NW20" s="51"/>
      <c r="NX20" s="51"/>
      <c r="NY20" s="51"/>
      <c r="NZ20" s="51"/>
      <c r="OA20" s="51"/>
      <c r="OB20" s="51"/>
      <c r="OC20" s="51"/>
      <c r="OD20" s="51"/>
      <c r="OE20" s="51"/>
      <c r="OF20" s="51"/>
      <c r="OG20" s="51"/>
      <c r="OH20" s="51"/>
      <c r="OI20" s="51"/>
      <c r="OJ20" s="51"/>
      <c r="OK20" s="51"/>
      <c r="OL20" s="51"/>
      <c r="OM20" s="51"/>
      <c r="ON20" s="51"/>
      <c r="OO20" s="51"/>
      <c r="OP20" s="51"/>
      <c r="OQ20" s="51"/>
      <c r="OR20" s="51"/>
      <c r="OS20" s="51"/>
      <c r="OT20" s="51"/>
      <c r="OU20" s="51"/>
      <c r="OV20" s="51"/>
      <c r="OW20" s="51"/>
      <c r="OX20" s="51"/>
      <c r="OY20" s="51"/>
      <c r="OZ20" s="51"/>
      <c r="PA20" s="51"/>
      <c r="PB20" s="51"/>
      <c r="PC20" s="51"/>
      <c r="PD20" s="51"/>
      <c r="PE20" s="51"/>
      <c r="PF20" s="51"/>
      <c r="PG20" s="51"/>
      <c r="PH20" s="51"/>
      <c r="PI20" s="51"/>
      <c r="PJ20" s="51"/>
      <c r="PK20" s="51"/>
      <c r="PL20" s="51"/>
      <c r="PM20" s="51"/>
      <c r="PN20" s="51"/>
      <c r="PO20" s="51"/>
      <c r="PP20" s="51"/>
      <c r="PQ20" s="51"/>
      <c r="PR20" s="51"/>
      <c r="PS20" s="51"/>
      <c r="PT20" s="51"/>
      <c r="PU20" s="51"/>
      <c r="PV20" s="51"/>
      <c r="PW20" s="51"/>
      <c r="PX20" s="51"/>
      <c r="PY20" s="51"/>
      <c r="PZ20" s="51"/>
      <c r="QA20" s="51"/>
      <c r="QB20" s="51"/>
      <c r="QC20" s="51"/>
      <c r="QD20" s="51"/>
      <c r="QE20" s="51"/>
      <c r="QF20" s="51"/>
      <c r="QG20" s="51"/>
      <c r="QH20" s="51"/>
      <c r="QI20" s="51"/>
      <c r="QJ20" s="51"/>
      <c r="QK20" s="51"/>
      <c r="QL20" s="51"/>
      <c r="QM20" s="51"/>
      <c r="QN20" s="51"/>
      <c r="QO20" s="51"/>
      <c r="QP20" s="51"/>
      <c r="QQ20" s="51"/>
      <c r="QR20" s="51"/>
      <c r="QS20" s="51"/>
      <c r="QT20" s="51"/>
      <c r="QU20" s="51"/>
      <c r="QV20" s="51"/>
      <c r="QW20" s="51"/>
      <c r="QX20" s="51"/>
      <c r="QY20" s="51"/>
      <c r="QZ20" s="51"/>
      <c r="RA20" s="51"/>
      <c r="RB20" s="51"/>
      <c r="RC20" s="51"/>
      <c r="RD20" s="51"/>
      <c r="RE20" s="51"/>
      <c r="RF20" s="51"/>
      <c r="RG20" s="51"/>
      <c r="RH20" s="51"/>
      <c r="RI20" s="51"/>
      <c r="RJ20" s="51"/>
      <c r="RK20" s="51"/>
      <c r="RL20" s="51"/>
      <c r="RM20" s="51"/>
      <c r="RN20" s="51"/>
      <c r="RO20" s="51"/>
      <c r="RP20" s="51"/>
      <c r="RQ20" s="51"/>
      <c r="RR20" s="51"/>
      <c r="RS20" s="51"/>
      <c r="RT20" s="51"/>
      <c r="RU20" s="51"/>
      <c r="RV20" s="51"/>
      <c r="RW20" s="51"/>
      <c r="RX20" s="51"/>
      <c r="RY20" s="51"/>
      <c r="RZ20" s="51"/>
      <c r="SA20" s="51"/>
      <c r="SB20" s="51"/>
      <c r="SC20" s="51"/>
      <c r="SD20" s="51"/>
      <c r="SE20" s="51"/>
      <c r="SF20" s="51"/>
      <c r="SG20" s="51"/>
      <c r="SH20" s="51"/>
      <c r="SI20" s="51"/>
      <c r="SJ20" s="51"/>
      <c r="SK20" s="51"/>
      <c r="SL20" s="51"/>
      <c r="SM20" s="51"/>
      <c r="SN20" s="51"/>
      <c r="SO20" s="51"/>
      <c r="SP20" s="51"/>
      <c r="SQ20" s="51"/>
      <c r="SR20" s="51"/>
      <c r="SS20" s="51"/>
      <c r="ST20" s="51"/>
      <c r="SU20" s="51"/>
      <c r="SV20" s="51"/>
      <c r="SW20" s="51"/>
      <c r="SX20" s="51"/>
      <c r="SY20" s="51"/>
      <c r="SZ20" s="51"/>
      <c r="TA20" s="51"/>
      <c r="TB20" s="51"/>
      <c r="TC20" s="51"/>
      <c r="TD20" s="51"/>
      <c r="TE20" s="51"/>
      <c r="TF20" s="51"/>
      <c r="TG20" s="51"/>
      <c r="TH20" s="51"/>
      <c r="TI20" s="51"/>
      <c r="TJ20" s="51"/>
      <c r="TK20" s="51"/>
      <c r="TL20" s="51"/>
      <c r="TM20" s="51"/>
      <c r="TN20" s="51"/>
      <c r="TO20" s="51"/>
      <c r="TP20" s="51"/>
      <c r="TQ20" s="51"/>
      <c r="TR20" s="51"/>
      <c r="TS20" s="51"/>
      <c r="TT20" s="51"/>
      <c r="TU20" s="51"/>
      <c r="TV20" s="51"/>
      <c r="TW20" s="51"/>
      <c r="TX20" s="51"/>
      <c r="TY20" s="51"/>
      <c r="TZ20" s="51"/>
      <c r="UA20" s="51"/>
      <c r="UB20" s="51"/>
      <c r="UC20" s="51"/>
      <c r="UD20" s="51"/>
      <c r="UE20" s="51"/>
      <c r="UF20" s="51"/>
      <c r="UG20" s="51"/>
      <c r="UH20" s="51"/>
      <c r="UI20" s="51"/>
      <c r="UJ20" s="51"/>
      <c r="UK20" s="51"/>
      <c r="UL20" s="51"/>
      <c r="UM20" s="51"/>
      <c r="UN20" s="51"/>
      <c r="UO20" s="51"/>
      <c r="UP20" s="51"/>
      <c r="UQ20" s="51"/>
      <c r="UR20" s="51"/>
      <c r="US20" s="51"/>
      <c r="UT20" s="51"/>
      <c r="UU20" s="51"/>
      <c r="UV20" s="51"/>
      <c r="UW20" s="51"/>
      <c r="UX20" s="51"/>
      <c r="UY20" s="51"/>
      <c r="UZ20" s="51"/>
      <c r="VA20" s="51"/>
      <c r="VB20" s="51"/>
      <c r="VC20" s="51"/>
      <c r="VD20" s="51"/>
      <c r="VE20" s="51"/>
      <c r="VF20" s="51"/>
      <c r="VG20" s="51"/>
      <c r="VH20" s="51"/>
      <c r="VI20" s="51"/>
      <c r="VJ20" s="51"/>
      <c r="VK20" s="51"/>
      <c r="VL20" s="51"/>
      <c r="VM20" s="51"/>
      <c r="VN20" s="51"/>
      <c r="VO20" s="51"/>
      <c r="VP20" s="51"/>
      <c r="VQ20" s="51"/>
      <c r="VR20" s="51"/>
      <c r="VS20" s="51"/>
      <c r="VT20" s="51"/>
      <c r="VU20" s="51"/>
      <c r="VV20" s="51"/>
      <c r="VW20" s="51"/>
      <c r="VX20" s="51"/>
      <c r="VY20" s="51"/>
      <c r="VZ20" s="51"/>
      <c r="WA20" s="51"/>
      <c r="WB20" s="51"/>
      <c r="WC20" s="51"/>
      <c r="WD20" s="51"/>
      <c r="WE20" s="51"/>
      <c r="WF20" s="51"/>
      <c r="WG20" s="51"/>
      <c r="WH20" s="51"/>
      <c r="WI20" s="51"/>
      <c r="WJ20" s="51"/>
      <c r="WK20" s="51"/>
      <c r="WL20" s="51"/>
      <c r="WM20" s="51"/>
      <c r="WN20" s="51"/>
      <c r="WO20" s="51"/>
      <c r="WP20" s="51"/>
      <c r="WQ20" s="51"/>
      <c r="WR20" s="51"/>
      <c r="WS20" s="51"/>
      <c r="WT20" s="51"/>
      <c r="WU20" s="51"/>
      <c r="WV20" s="51"/>
      <c r="WW20" s="51"/>
      <c r="WX20" s="51"/>
      <c r="WY20" s="51"/>
      <c r="WZ20" s="51"/>
      <c r="XA20" s="51"/>
      <c r="XB20" s="51"/>
      <c r="XC20" s="51"/>
      <c r="XD20" s="51"/>
      <c r="XE20" s="51"/>
      <c r="XF20" s="51"/>
      <c r="XG20" s="51"/>
      <c r="XH20" s="51"/>
      <c r="XI20" s="51"/>
      <c r="XJ20" s="51"/>
      <c r="XK20" s="51"/>
      <c r="XL20" s="51"/>
      <c r="XM20" s="51"/>
      <c r="XN20" s="51"/>
      <c r="XO20" s="51"/>
      <c r="XP20" s="51"/>
      <c r="XQ20" s="51"/>
      <c r="XR20" s="51"/>
      <c r="XS20" s="51"/>
      <c r="XT20" s="51"/>
      <c r="XU20" s="51"/>
      <c r="XV20" s="51"/>
      <c r="XW20" s="51"/>
      <c r="XX20" s="51"/>
      <c r="XY20" s="51"/>
      <c r="XZ20" s="51"/>
      <c r="YA20" s="51"/>
      <c r="YB20" s="51"/>
      <c r="YC20" s="51"/>
      <c r="YD20" s="51"/>
      <c r="YE20" s="51"/>
      <c r="YF20" s="51"/>
      <c r="YG20" s="51"/>
      <c r="YH20" s="51"/>
      <c r="YI20" s="51"/>
      <c r="YJ20" s="51"/>
      <c r="YK20" s="51"/>
      <c r="YL20" s="51"/>
      <c r="YM20" s="51"/>
      <c r="YN20" s="51"/>
      <c r="YO20" s="51"/>
      <c r="YP20" s="51"/>
      <c r="YQ20" s="51"/>
      <c r="YR20" s="51"/>
      <c r="YS20" s="51"/>
      <c r="YT20" s="51"/>
      <c r="YU20" s="51"/>
      <c r="YV20" s="51"/>
      <c r="YW20" s="51"/>
      <c r="YX20" s="51"/>
      <c r="YY20" s="51"/>
      <c r="YZ20" s="51"/>
      <c r="ZA20" s="51"/>
      <c r="ZB20" s="51"/>
      <c r="ZC20" s="51"/>
      <c r="ZD20" s="51"/>
      <c r="ZE20" s="51"/>
      <c r="ZF20" s="51"/>
      <c r="ZG20" s="51"/>
      <c r="ZH20" s="51"/>
      <c r="ZI20" s="51"/>
      <c r="ZJ20" s="51"/>
      <c r="ZK20" s="51"/>
      <c r="ZL20" s="51"/>
      <c r="ZM20" s="51"/>
      <c r="ZN20" s="51"/>
      <c r="ZO20" s="51"/>
      <c r="ZP20" s="51"/>
      <c r="ZQ20" s="51"/>
      <c r="ZR20" s="51"/>
      <c r="ZS20" s="51"/>
      <c r="ZT20" s="51"/>
      <c r="ZU20" s="51"/>
      <c r="ZV20" s="51"/>
      <c r="ZW20" s="51"/>
      <c r="ZX20" s="51"/>
      <c r="ZY20" s="51"/>
      <c r="ZZ20" s="51"/>
      <c r="AAA20" s="51"/>
      <c r="AAB20" s="51"/>
      <c r="AAC20" s="51"/>
      <c r="AAD20" s="51"/>
      <c r="AAE20" s="51"/>
      <c r="AAF20" s="51"/>
      <c r="AAG20" s="51"/>
      <c r="AAH20" s="51"/>
      <c r="AAI20" s="51"/>
      <c r="AAJ20" s="51"/>
      <c r="AAK20" s="51"/>
      <c r="AAL20" s="51"/>
      <c r="AAM20" s="51"/>
      <c r="AAN20" s="51"/>
      <c r="AAO20" s="51"/>
      <c r="AAP20" s="51"/>
      <c r="AAQ20" s="51"/>
      <c r="AAR20" s="51"/>
      <c r="AAS20" s="51"/>
      <c r="AAT20" s="51"/>
      <c r="AAU20" s="51"/>
      <c r="AAV20" s="51"/>
      <c r="AAW20" s="51"/>
      <c r="AAX20" s="51"/>
      <c r="AAY20" s="51"/>
      <c r="AAZ20" s="51"/>
      <c r="ABA20" s="51"/>
      <c r="ABB20" s="51"/>
      <c r="ABC20" s="51"/>
      <c r="ABD20" s="51"/>
      <c r="ABE20" s="51"/>
      <c r="ABF20" s="51"/>
      <c r="ABG20" s="51"/>
      <c r="ABH20" s="51"/>
      <c r="ABI20" s="51"/>
      <c r="ABJ20" s="51"/>
      <c r="ABK20" s="51"/>
      <c r="ABL20" s="51"/>
      <c r="ABM20" s="51"/>
      <c r="ABN20" s="51"/>
      <c r="ABO20" s="51"/>
      <c r="ABP20" s="51"/>
      <c r="ABQ20" s="51"/>
      <c r="ABR20" s="51"/>
      <c r="ABS20" s="51"/>
      <c r="ABT20" s="51"/>
      <c r="ABU20" s="51"/>
      <c r="ABV20" s="51"/>
      <c r="ABW20" s="51"/>
      <c r="ABX20" s="51"/>
      <c r="ABY20" s="51"/>
      <c r="ABZ20" s="51"/>
      <c r="ACA20" s="51"/>
      <c r="ACB20" s="51"/>
      <c r="ACC20" s="51"/>
      <c r="ACD20" s="51"/>
      <c r="ACE20" s="51"/>
      <c r="ACF20" s="51"/>
      <c r="ACG20" s="51"/>
      <c r="ACH20" s="51"/>
      <c r="ACI20" s="51"/>
      <c r="ACJ20" s="51"/>
      <c r="ACK20" s="51"/>
      <c r="ACL20" s="51"/>
      <c r="ACM20" s="51"/>
      <c r="ACN20" s="51"/>
      <c r="ACO20" s="51"/>
      <c r="ACP20" s="51"/>
      <c r="ACQ20" s="51"/>
      <c r="ACR20" s="51"/>
      <c r="ACS20" s="51"/>
      <c r="ACT20" s="51"/>
      <c r="ACU20" s="51"/>
      <c r="ACV20" s="51"/>
      <c r="ACW20" s="51"/>
      <c r="ACX20" s="51"/>
      <c r="ACY20" s="51"/>
      <c r="ACZ20" s="51"/>
      <c r="ADA20" s="51"/>
      <c r="ADB20" s="51"/>
      <c r="ADC20" s="51"/>
      <c r="ADD20" s="51"/>
      <c r="ADE20" s="51"/>
      <c r="ADF20" s="51"/>
      <c r="ADG20" s="51"/>
      <c r="ADH20" s="51"/>
      <c r="ADI20" s="51"/>
      <c r="ADJ20" s="51"/>
      <c r="ADK20" s="51"/>
      <c r="ADL20" s="51"/>
      <c r="ADM20" s="51"/>
      <c r="ADN20" s="51"/>
      <c r="ADO20" s="51"/>
      <c r="ADP20" s="51"/>
      <c r="ADQ20" s="51"/>
      <c r="ADR20" s="51"/>
      <c r="ADS20" s="51"/>
      <c r="ADT20" s="51"/>
      <c r="ADU20" s="51"/>
      <c r="ADV20" s="51"/>
      <c r="ADW20" s="51"/>
      <c r="ADX20" s="51"/>
      <c r="ADY20" s="51"/>
      <c r="ADZ20" s="51"/>
      <c r="AEA20" s="51"/>
      <c r="AEB20" s="51"/>
      <c r="AEC20" s="51"/>
      <c r="AED20" s="51"/>
      <c r="AEE20" s="51"/>
      <c r="AEF20" s="51"/>
      <c r="AEG20" s="51"/>
      <c r="AEH20" s="51"/>
      <c r="AEI20" s="51"/>
      <c r="AEJ20" s="51"/>
      <c r="AEK20" s="51"/>
      <c r="AEL20" s="51"/>
      <c r="AEM20" s="51"/>
      <c r="AEN20" s="51"/>
      <c r="AEO20" s="51"/>
      <c r="AEP20" s="51"/>
      <c r="AEQ20" s="51"/>
      <c r="AER20" s="51"/>
      <c r="AES20" s="51"/>
      <c r="AET20" s="51"/>
      <c r="AEU20" s="51"/>
      <c r="AEV20" s="51"/>
      <c r="AEW20" s="51"/>
      <c r="AEX20" s="51"/>
      <c r="AEY20" s="51"/>
      <c r="AEZ20" s="51"/>
      <c r="AFA20" s="51"/>
      <c r="AFB20" s="51"/>
      <c r="AFC20" s="51"/>
      <c r="AFD20" s="51"/>
      <c r="AFE20" s="51"/>
      <c r="AFF20" s="51"/>
      <c r="AFG20" s="51"/>
      <c r="AFH20" s="51"/>
      <c r="AFI20" s="51"/>
      <c r="AFJ20" s="51"/>
      <c r="AFK20" s="51"/>
      <c r="AFL20" s="51"/>
      <c r="AFM20" s="51"/>
      <c r="AFN20" s="51"/>
      <c r="AFO20" s="51"/>
      <c r="AFP20" s="51"/>
      <c r="AFQ20" s="51"/>
      <c r="AFR20" s="51"/>
      <c r="AFS20" s="51"/>
      <c r="AFT20" s="51"/>
      <c r="AFU20" s="51"/>
      <c r="AFV20" s="51"/>
      <c r="AFW20" s="51"/>
      <c r="AFX20" s="51"/>
      <c r="AFY20" s="51"/>
      <c r="AFZ20" s="51"/>
      <c r="AGA20" s="51"/>
      <c r="AGB20" s="51"/>
      <c r="AGC20" s="51"/>
      <c r="AGD20" s="51"/>
      <c r="AGE20" s="51"/>
      <c r="AGF20" s="51"/>
      <c r="AGG20" s="51"/>
      <c r="AGH20" s="51"/>
      <c r="AGI20" s="51"/>
      <c r="AGJ20" s="51"/>
      <c r="AGK20" s="51"/>
      <c r="AGL20" s="51"/>
      <c r="AGM20" s="51"/>
      <c r="AGN20" s="51"/>
      <c r="AGO20" s="51"/>
      <c r="AGP20" s="51"/>
      <c r="AGQ20" s="51"/>
      <c r="AGR20" s="51"/>
      <c r="AGS20" s="51"/>
      <c r="AGT20" s="51"/>
      <c r="AGU20" s="51"/>
      <c r="AGV20" s="51"/>
      <c r="AGW20" s="51"/>
      <c r="AGX20" s="51"/>
      <c r="AGY20" s="51"/>
      <c r="AGZ20" s="51"/>
      <c r="AHA20" s="51"/>
      <c r="AHB20" s="51"/>
      <c r="AHC20" s="51"/>
      <c r="AHD20" s="51"/>
      <c r="AHE20" s="51"/>
      <c r="AHF20" s="51"/>
      <c r="AHG20" s="51"/>
      <c r="AHH20" s="51"/>
      <c r="AHI20" s="51"/>
      <c r="AHJ20" s="51"/>
      <c r="AHK20" s="51"/>
      <c r="AHL20" s="51"/>
      <c r="AHM20" s="51"/>
      <c r="AHN20" s="51"/>
      <c r="AHO20" s="51"/>
      <c r="AHP20" s="51"/>
      <c r="AHQ20" s="51"/>
      <c r="AHR20" s="51"/>
      <c r="AHS20" s="51"/>
      <c r="AHT20" s="51"/>
      <c r="AHU20" s="51"/>
      <c r="AHV20" s="51"/>
      <c r="AHW20" s="51"/>
      <c r="AHX20" s="51"/>
      <c r="AHY20" s="51"/>
      <c r="AHZ20" s="51"/>
      <c r="AIA20" s="51"/>
      <c r="AIB20" s="51"/>
      <c r="AIC20" s="51"/>
      <c r="AID20" s="51"/>
      <c r="AIE20" s="51"/>
      <c r="AIF20" s="51"/>
      <c r="AIG20" s="51"/>
      <c r="AIH20" s="51"/>
      <c r="AII20" s="51"/>
      <c r="AIJ20" s="51"/>
      <c r="AIK20" s="51"/>
      <c r="AIL20" s="51"/>
      <c r="AIM20" s="51"/>
      <c r="AIN20" s="51"/>
      <c r="AIO20" s="51"/>
      <c r="AIP20" s="51"/>
      <c r="AIQ20" s="51"/>
      <c r="AIR20" s="51"/>
      <c r="AIS20" s="51"/>
      <c r="AIT20" s="51"/>
      <c r="AIU20" s="51"/>
      <c r="AIV20" s="51"/>
      <c r="AIW20" s="51"/>
      <c r="AIX20" s="51"/>
      <c r="AIY20" s="51"/>
      <c r="AIZ20" s="51"/>
      <c r="AJA20" s="51"/>
      <c r="AJB20" s="51"/>
      <c r="AJC20" s="51"/>
      <c r="AJD20" s="51"/>
      <c r="AJE20" s="51"/>
      <c r="AJF20" s="51"/>
      <c r="AJG20" s="51"/>
      <c r="AJH20" s="51"/>
      <c r="AJI20" s="51"/>
      <c r="AJJ20" s="51"/>
      <c r="AJK20" s="51"/>
      <c r="AJL20" s="51"/>
      <c r="AJM20" s="51"/>
      <c r="AJN20" s="51"/>
      <c r="AJO20" s="51"/>
      <c r="AJP20" s="51"/>
      <c r="AJQ20" s="51"/>
      <c r="AJR20" s="51"/>
      <c r="AJS20" s="51"/>
      <c r="AJT20" s="51"/>
      <c r="AJU20" s="51"/>
      <c r="AJV20" s="51"/>
      <c r="AJW20" s="51"/>
      <c r="AJX20" s="51"/>
      <c r="AJY20" s="51"/>
      <c r="AJZ20" s="51"/>
      <c r="AKA20" s="51"/>
      <c r="AKB20" s="51"/>
      <c r="AKC20" s="51"/>
      <c r="AKD20" s="51"/>
      <c r="AKE20" s="51"/>
      <c r="AKF20" s="51"/>
      <c r="AKG20" s="51"/>
      <c r="AKH20" s="51"/>
      <c r="AKI20" s="51"/>
      <c r="AKJ20" s="51"/>
      <c r="AKK20" s="51"/>
      <c r="AKL20" s="51"/>
      <c r="AKM20" s="51"/>
      <c r="AKN20" s="51"/>
      <c r="AKO20" s="51"/>
      <c r="AKP20" s="51"/>
      <c r="AKQ20" s="51"/>
      <c r="AKR20" s="51"/>
      <c r="AKS20" s="51"/>
      <c r="AKT20" s="51"/>
      <c r="AKU20" s="51"/>
      <c r="AKV20" s="51"/>
      <c r="AKW20" s="51"/>
      <c r="AKX20" s="51"/>
      <c r="AKY20" s="51"/>
      <c r="AKZ20" s="51"/>
      <c r="ALA20" s="51"/>
      <c r="ALB20" s="51"/>
      <c r="ALC20" s="51"/>
      <c r="ALD20" s="51"/>
      <c r="ALE20" s="51"/>
      <c r="ALF20" s="51"/>
      <c r="ALG20" s="51"/>
      <c r="ALH20" s="51"/>
      <c r="ALI20" s="51"/>
      <c r="ALJ20" s="51"/>
      <c r="ALK20" s="51"/>
      <c r="ALL20" s="51"/>
      <c r="ALM20" s="51"/>
      <c r="ALN20" s="51"/>
      <c r="ALO20" s="51"/>
      <c r="ALP20" s="51"/>
      <c r="ALQ20" s="51"/>
      <c r="ALR20" s="51"/>
      <c r="ALS20" s="51"/>
      <c r="ALT20" s="51"/>
      <c r="ALU20" s="51"/>
      <c r="ALV20" s="51"/>
      <c r="ALW20" s="51"/>
      <c r="ALX20" s="51"/>
      <c r="ALY20" s="51"/>
      <c r="ALZ20" s="51"/>
      <c r="AMA20" s="51"/>
      <c r="AMB20" s="51"/>
      <c r="AMC20" s="51"/>
      <c r="AMD20" s="51"/>
      <c r="AME20" s="51"/>
      <c r="AMF20" s="51"/>
      <c r="AMG20" s="51"/>
      <c r="AMH20" s="51"/>
      <c r="AMI20" s="51"/>
      <c r="AMJ20" s="51"/>
      <c r="AMK20" s="51"/>
      <c r="AML20" s="51"/>
      <c r="AMM20" s="51"/>
      <c r="AMN20" s="51"/>
      <c r="AMO20" s="51"/>
      <c r="AMP20" s="51"/>
      <c r="AMQ20" s="51"/>
      <c r="AMR20" s="51"/>
      <c r="AMS20" s="51"/>
      <c r="AMT20" s="51"/>
      <c r="AMU20" s="51"/>
      <c r="AMV20" s="51"/>
      <c r="AMW20" s="51"/>
      <c r="AMX20" s="51"/>
      <c r="AMY20" s="51"/>
      <c r="AMZ20" s="51"/>
      <c r="ANA20" s="51"/>
      <c r="ANB20" s="51"/>
      <c r="ANC20" s="51"/>
      <c r="AND20" s="51"/>
      <c r="ANE20" s="51"/>
      <c r="ANF20" s="51"/>
      <c r="ANG20" s="51"/>
      <c r="ANH20" s="51"/>
      <c r="ANI20" s="51"/>
      <c r="ANJ20" s="51"/>
      <c r="ANK20" s="51"/>
      <c r="ANL20" s="51"/>
      <c r="ANM20" s="51"/>
      <c r="ANN20" s="51"/>
      <c r="ANO20" s="51"/>
      <c r="ANP20" s="51"/>
      <c r="ANQ20" s="51"/>
      <c r="ANR20" s="51"/>
      <c r="ANS20" s="51"/>
      <c r="ANT20" s="51"/>
      <c r="ANU20" s="51"/>
      <c r="ANV20" s="51"/>
      <c r="ANW20" s="51"/>
      <c r="ANX20" s="51"/>
      <c r="ANY20" s="51"/>
      <c r="ANZ20" s="51"/>
      <c r="AOA20" s="51"/>
      <c r="AOB20" s="51"/>
      <c r="AOC20" s="51"/>
      <c r="AOD20" s="51"/>
      <c r="AOE20" s="51"/>
      <c r="AOF20" s="51"/>
      <c r="AOG20" s="51"/>
      <c r="AOH20" s="51"/>
      <c r="AOI20" s="51"/>
      <c r="AOJ20" s="51"/>
      <c r="AOK20" s="51"/>
      <c r="AOL20" s="51"/>
      <c r="AOM20" s="51"/>
      <c r="AON20" s="51"/>
      <c r="AOO20" s="51"/>
      <c r="AOP20" s="51"/>
      <c r="AOQ20" s="51"/>
      <c r="AOR20" s="51"/>
      <c r="AOS20" s="51"/>
      <c r="AOT20" s="51"/>
      <c r="AOU20" s="51"/>
      <c r="AOV20" s="51"/>
      <c r="AOW20" s="51"/>
      <c r="AOX20" s="51"/>
      <c r="AOY20" s="51"/>
      <c r="AOZ20" s="51"/>
      <c r="APA20" s="51"/>
      <c r="APB20" s="51"/>
      <c r="APC20" s="51"/>
      <c r="APD20" s="51"/>
      <c r="APE20" s="51"/>
      <c r="APF20" s="51"/>
      <c r="APG20" s="51"/>
      <c r="APH20" s="51"/>
      <c r="API20" s="51"/>
      <c r="APJ20" s="51"/>
      <c r="APK20" s="51"/>
      <c r="APL20" s="51"/>
      <c r="APM20" s="51"/>
      <c r="APN20" s="51"/>
      <c r="APO20" s="51"/>
      <c r="APP20" s="51"/>
      <c r="APQ20" s="51"/>
      <c r="APR20" s="51"/>
      <c r="APS20" s="51"/>
      <c r="APT20" s="51"/>
      <c r="APU20" s="51"/>
      <c r="APV20" s="51"/>
      <c r="APW20" s="51"/>
      <c r="APX20" s="51"/>
      <c r="APY20" s="51"/>
      <c r="APZ20" s="51"/>
      <c r="AQA20" s="51"/>
      <c r="AQB20" s="51"/>
      <c r="AQC20" s="51"/>
      <c r="AQD20" s="51"/>
      <c r="AQE20" s="51"/>
      <c r="AQF20" s="51"/>
      <c r="AQG20" s="51"/>
      <c r="AQH20" s="51"/>
      <c r="AQI20" s="51"/>
      <c r="AQJ20" s="51"/>
      <c r="AQK20" s="51"/>
      <c r="AQL20" s="51"/>
      <c r="AQM20" s="51"/>
      <c r="AQN20" s="51"/>
      <c r="AQO20" s="51"/>
      <c r="AQP20" s="51"/>
      <c r="AQQ20" s="51"/>
      <c r="AQR20" s="51"/>
      <c r="AQS20" s="51"/>
      <c r="AQT20" s="51"/>
      <c r="AQU20" s="51"/>
      <c r="AQV20" s="51"/>
      <c r="AQW20" s="51"/>
      <c r="AQX20" s="51"/>
      <c r="AQY20" s="51"/>
      <c r="AQZ20" s="51"/>
      <c r="ARA20" s="51"/>
      <c r="ARB20" s="51"/>
      <c r="ARC20" s="51"/>
      <c r="ARD20" s="51"/>
      <c r="ARE20" s="51"/>
      <c r="ARF20" s="51"/>
      <c r="ARG20" s="51"/>
      <c r="ARH20" s="51"/>
      <c r="ARI20" s="51"/>
      <c r="ARJ20" s="51"/>
      <c r="ARK20" s="51"/>
      <c r="ARL20" s="51"/>
      <c r="ARM20" s="51"/>
      <c r="ARN20" s="51"/>
      <c r="ARO20" s="51"/>
      <c r="ARP20" s="51"/>
      <c r="ARQ20" s="51"/>
      <c r="ARR20" s="51"/>
      <c r="ARS20" s="51"/>
      <c r="ART20" s="51"/>
      <c r="ARU20" s="51"/>
      <c r="ARV20" s="51"/>
      <c r="ARW20" s="51"/>
      <c r="ARX20" s="51"/>
      <c r="ARY20" s="51"/>
      <c r="ARZ20" s="51"/>
      <c r="ASA20" s="51"/>
      <c r="ASB20" s="51"/>
      <c r="ASC20" s="51"/>
      <c r="ASD20" s="51"/>
      <c r="ASE20" s="51"/>
      <c r="ASF20" s="51"/>
      <c r="ASG20" s="51"/>
      <c r="ASH20" s="51"/>
      <c r="ASI20" s="51"/>
      <c r="ASJ20" s="51"/>
      <c r="ASK20" s="51"/>
      <c r="ASL20" s="51"/>
      <c r="ASM20" s="51"/>
      <c r="ASN20" s="51"/>
      <c r="ASO20" s="51"/>
      <c r="ASP20" s="51"/>
      <c r="ASQ20" s="51"/>
      <c r="ASR20" s="51"/>
      <c r="ASS20" s="51"/>
      <c r="AST20" s="51"/>
      <c r="ASU20" s="51"/>
      <c r="ASV20" s="51"/>
      <c r="ASW20" s="51"/>
      <c r="ASX20" s="51"/>
      <c r="ASY20" s="51"/>
      <c r="ASZ20" s="51"/>
      <c r="ATA20" s="51"/>
      <c r="ATB20" s="51"/>
      <c r="ATC20" s="51"/>
      <c r="ATD20" s="51"/>
      <c r="ATE20" s="51"/>
      <c r="ATF20" s="51"/>
      <c r="ATG20" s="51"/>
      <c r="ATH20" s="51"/>
      <c r="ATI20" s="51"/>
      <c r="ATJ20" s="51"/>
      <c r="ATK20" s="51"/>
      <c r="ATL20" s="51"/>
      <c r="ATM20" s="51"/>
      <c r="ATN20" s="51"/>
      <c r="ATO20" s="51"/>
      <c r="ATP20" s="51"/>
      <c r="ATQ20" s="51"/>
      <c r="ATR20" s="51"/>
      <c r="ATS20" s="51"/>
      <c r="ATT20" s="51"/>
      <c r="ATU20" s="51"/>
      <c r="ATV20" s="51"/>
      <c r="ATW20" s="51"/>
      <c r="ATX20" s="51"/>
      <c r="ATY20" s="51"/>
      <c r="ATZ20" s="51"/>
      <c r="AUA20" s="51"/>
      <c r="AUB20" s="51"/>
      <c r="AUC20" s="51"/>
      <c r="AUD20" s="51"/>
      <c r="AUE20" s="51"/>
      <c r="AUF20" s="51"/>
      <c r="AUG20" s="51"/>
      <c r="AUH20" s="51"/>
      <c r="AUI20" s="51"/>
      <c r="AUJ20" s="51"/>
      <c r="AUK20" s="51"/>
      <c r="AUL20" s="51"/>
      <c r="AUM20" s="51"/>
      <c r="AUN20" s="51"/>
      <c r="AUO20" s="51"/>
      <c r="AUP20" s="51"/>
      <c r="AUQ20" s="51"/>
      <c r="AUR20" s="51"/>
      <c r="AUS20" s="51"/>
      <c r="AUT20" s="51"/>
      <c r="AUU20" s="51"/>
      <c r="AUV20" s="51"/>
      <c r="AUW20" s="51"/>
      <c r="AUX20" s="51"/>
      <c r="AUY20" s="51"/>
      <c r="AUZ20" s="51"/>
      <c r="AVA20" s="51"/>
      <c r="AVB20" s="51"/>
      <c r="AVC20" s="51"/>
      <c r="AVD20" s="51"/>
      <c r="AVE20" s="51"/>
      <c r="AVF20" s="51"/>
      <c r="AVG20" s="51"/>
      <c r="AVH20" s="51"/>
      <c r="AVI20" s="51"/>
      <c r="AVJ20" s="51"/>
      <c r="AVK20" s="51"/>
      <c r="AVL20" s="51"/>
      <c r="AVM20" s="51"/>
      <c r="AVN20" s="51"/>
      <c r="AVO20" s="51"/>
      <c r="AVP20" s="51"/>
      <c r="AVQ20" s="51"/>
      <c r="AVR20" s="51"/>
      <c r="AVS20" s="51"/>
      <c r="AVT20" s="51"/>
      <c r="AVU20" s="51"/>
      <c r="AVV20" s="51"/>
      <c r="AVW20" s="51"/>
      <c r="AVX20" s="51"/>
      <c r="AVY20" s="51"/>
      <c r="AVZ20" s="51"/>
      <c r="AWA20" s="51"/>
      <c r="AWB20" s="51"/>
      <c r="AWC20" s="51"/>
      <c r="AWD20" s="51"/>
      <c r="AWE20" s="51"/>
      <c r="AWF20" s="51"/>
      <c r="AWG20" s="51"/>
      <c r="AWH20" s="51"/>
      <c r="AWI20" s="51"/>
      <c r="AWJ20" s="51"/>
      <c r="AWK20" s="51"/>
      <c r="AWL20" s="51"/>
      <c r="AWM20" s="51"/>
      <c r="AWN20" s="51"/>
      <c r="AWO20" s="51"/>
      <c r="AWP20" s="51"/>
      <c r="AWQ20" s="51"/>
      <c r="AWR20" s="51"/>
      <c r="AWS20" s="51"/>
      <c r="AWT20" s="51"/>
      <c r="AWU20" s="51"/>
      <c r="AWV20" s="51"/>
      <c r="AWW20" s="51"/>
      <c r="AWX20" s="51"/>
      <c r="AWY20" s="51"/>
      <c r="AWZ20" s="51"/>
      <c r="AXA20" s="51"/>
      <c r="AXB20" s="51"/>
      <c r="AXC20" s="51"/>
      <c r="AXD20" s="51"/>
      <c r="AXE20" s="51"/>
      <c r="AXF20" s="51"/>
      <c r="AXG20" s="51"/>
      <c r="AXH20" s="51"/>
      <c r="AXI20" s="51"/>
      <c r="AXJ20" s="51"/>
      <c r="AXK20" s="51"/>
      <c r="AXL20" s="51"/>
      <c r="AXM20" s="51"/>
      <c r="AXN20" s="51"/>
      <c r="AXO20" s="51"/>
      <c r="AXP20" s="51"/>
      <c r="AXQ20" s="51"/>
      <c r="AXR20" s="51"/>
      <c r="AXS20" s="51"/>
      <c r="AXT20" s="51"/>
      <c r="AXU20" s="51"/>
      <c r="AXV20" s="51"/>
      <c r="AXW20" s="51"/>
      <c r="AXX20" s="51"/>
      <c r="AXY20" s="51"/>
      <c r="AXZ20" s="51"/>
      <c r="AYA20" s="51"/>
      <c r="AYB20" s="51"/>
      <c r="AYC20" s="51"/>
      <c r="AYD20" s="51"/>
      <c r="AYE20" s="51"/>
      <c r="AYF20" s="51"/>
      <c r="AYG20" s="51"/>
      <c r="AYH20" s="51"/>
      <c r="AYI20" s="51"/>
      <c r="AYJ20" s="51"/>
      <c r="AYK20" s="51"/>
      <c r="AYL20" s="51"/>
      <c r="AYM20" s="51"/>
      <c r="AYN20" s="51"/>
      <c r="AYO20" s="51"/>
      <c r="AYP20" s="51"/>
      <c r="AYQ20" s="51"/>
      <c r="AYR20" s="51"/>
      <c r="AYS20" s="51"/>
      <c r="AYT20" s="51"/>
      <c r="AYU20" s="51"/>
      <c r="AYV20" s="51"/>
      <c r="AYW20" s="51"/>
      <c r="AYX20" s="51"/>
      <c r="AYY20" s="51"/>
      <c r="AYZ20" s="51"/>
      <c r="AZA20" s="51"/>
      <c r="AZB20" s="51"/>
      <c r="AZC20" s="51"/>
      <c r="AZD20" s="51"/>
      <c r="AZE20" s="51"/>
      <c r="AZF20" s="51"/>
      <c r="AZG20" s="51"/>
      <c r="AZH20" s="51"/>
      <c r="AZI20" s="51"/>
      <c r="AZJ20" s="51"/>
      <c r="AZK20" s="51"/>
      <c r="AZL20" s="51"/>
      <c r="AZM20" s="51"/>
      <c r="AZN20" s="51"/>
      <c r="AZO20" s="51"/>
      <c r="AZP20" s="51"/>
      <c r="AZQ20" s="51"/>
      <c r="AZR20" s="51"/>
      <c r="AZS20" s="51"/>
      <c r="AZT20" s="51"/>
      <c r="AZU20" s="51"/>
      <c r="AZV20" s="51"/>
      <c r="AZW20" s="51"/>
      <c r="AZX20" s="51"/>
      <c r="AZY20" s="51"/>
      <c r="AZZ20" s="51"/>
      <c r="BAA20" s="51"/>
      <c r="BAB20" s="51"/>
      <c r="BAC20" s="51"/>
      <c r="BAD20" s="51"/>
      <c r="BAE20" s="51"/>
      <c r="BAF20" s="51"/>
      <c r="BAG20" s="51"/>
      <c r="BAH20" s="51"/>
      <c r="BAI20" s="51"/>
      <c r="BAJ20" s="51"/>
      <c r="BAK20" s="51"/>
      <c r="BAL20" s="51"/>
      <c r="BAM20" s="51"/>
      <c r="BAN20" s="51"/>
      <c r="BAO20" s="51"/>
      <c r="BAP20" s="51"/>
      <c r="BAQ20" s="51"/>
      <c r="BAR20" s="51"/>
      <c r="BAS20" s="51"/>
      <c r="BAT20" s="51"/>
      <c r="BAU20" s="51"/>
      <c r="BAV20" s="51"/>
      <c r="BAW20" s="51"/>
      <c r="BAX20" s="51"/>
      <c r="BAY20" s="51"/>
      <c r="BAZ20" s="51"/>
      <c r="BBA20" s="51"/>
      <c r="BBB20" s="51"/>
      <c r="BBC20" s="51"/>
      <c r="BBD20" s="51"/>
      <c r="BBE20" s="51"/>
      <c r="BBF20" s="51"/>
      <c r="BBG20" s="51"/>
      <c r="BBH20" s="51"/>
      <c r="BBI20" s="51"/>
      <c r="BBJ20" s="51"/>
      <c r="BBK20" s="51"/>
      <c r="BBL20" s="51"/>
      <c r="BBM20" s="51"/>
      <c r="BBN20" s="51"/>
      <c r="BBO20" s="51"/>
      <c r="BBP20" s="51"/>
      <c r="BBQ20" s="51"/>
      <c r="BBR20" s="51"/>
      <c r="BBS20" s="51"/>
      <c r="BBT20" s="51"/>
      <c r="BBU20" s="51"/>
      <c r="BBV20" s="51"/>
      <c r="BBW20" s="51"/>
      <c r="BBX20" s="51"/>
      <c r="BBY20" s="51"/>
      <c r="BBZ20" s="51"/>
      <c r="BCA20" s="51"/>
      <c r="BCB20" s="51"/>
      <c r="BCC20" s="51"/>
      <c r="BCD20" s="51"/>
      <c r="BCE20" s="51"/>
      <c r="BCF20" s="51"/>
      <c r="BCG20" s="51"/>
      <c r="BCH20" s="51"/>
      <c r="BCI20" s="51"/>
      <c r="BCJ20" s="51"/>
      <c r="BCK20" s="51"/>
      <c r="BCL20" s="51"/>
      <c r="BCM20" s="51"/>
      <c r="BCN20" s="51"/>
      <c r="BCO20" s="51"/>
      <c r="BCP20" s="51"/>
      <c r="BCQ20" s="51"/>
      <c r="BCR20" s="51"/>
      <c r="BCS20" s="51"/>
      <c r="BCT20" s="51"/>
      <c r="BCU20" s="51"/>
      <c r="BCV20" s="51"/>
      <c r="BCW20" s="51"/>
      <c r="BCX20" s="51"/>
      <c r="BCY20" s="51"/>
      <c r="BCZ20" s="51"/>
      <c r="BDA20" s="51"/>
      <c r="BDB20" s="51"/>
      <c r="BDC20" s="51"/>
      <c r="BDD20" s="51"/>
      <c r="BDE20" s="51"/>
      <c r="BDF20" s="51"/>
      <c r="BDG20" s="51"/>
      <c r="BDH20" s="51"/>
      <c r="BDI20" s="51"/>
      <c r="BDJ20" s="51"/>
      <c r="BDK20" s="51"/>
      <c r="BDL20" s="51"/>
      <c r="BDM20" s="51"/>
      <c r="BDN20" s="51"/>
      <c r="BDO20" s="51"/>
      <c r="BDP20" s="51"/>
      <c r="BDQ20" s="51"/>
      <c r="BDR20" s="51"/>
      <c r="BDS20" s="51"/>
      <c r="BDT20" s="51"/>
      <c r="BDU20" s="51"/>
      <c r="BDV20" s="51"/>
      <c r="BDW20" s="51"/>
      <c r="BDX20" s="51"/>
      <c r="BDY20" s="51"/>
      <c r="BDZ20" s="51"/>
      <c r="BEA20" s="51"/>
      <c r="BEB20" s="51"/>
      <c r="BEC20" s="51"/>
      <c r="BED20" s="51"/>
      <c r="BEE20" s="51"/>
      <c r="BEF20" s="51"/>
      <c r="BEG20" s="51"/>
      <c r="BEH20" s="51"/>
      <c r="BEI20" s="51"/>
      <c r="BEJ20" s="51"/>
      <c r="BEK20" s="51"/>
      <c r="BEL20" s="51"/>
      <c r="BEM20" s="51"/>
      <c r="BEN20" s="51"/>
      <c r="BEO20" s="51"/>
      <c r="BEP20" s="51"/>
      <c r="BEQ20" s="51"/>
      <c r="BER20" s="51"/>
      <c r="BES20" s="51"/>
      <c r="BET20" s="51"/>
      <c r="BEU20" s="51"/>
      <c r="BEV20" s="51"/>
      <c r="BEW20" s="51"/>
      <c r="BEX20" s="51"/>
      <c r="BEY20" s="51"/>
      <c r="BEZ20" s="51"/>
      <c r="BFA20" s="51"/>
      <c r="BFB20" s="51"/>
      <c r="BFC20" s="51"/>
      <c r="BFD20" s="51"/>
      <c r="BFE20" s="51"/>
      <c r="BFF20" s="51"/>
      <c r="BFG20" s="51"/>
      <c r="BFH20" s="51"/>
      <c r="BFI20" s="51"/>
      <c r="BFJ20" s="51"/>
      <c r="BFK20" s="51"/>
      <c r="BFL20" s="51"/>
      <c r="BFM20" s="51"/>
      <c r="BFN20" s="51"/>
      <c r="BFO20" s="51"/>
      <c r="BFP20" s="51"/>
      <c r="BFQ20" s="51"/>
      <c r="BFR20" s="51"/>
      <c r="BFS20" s="51"/>
      <c r="BFT20" s="51"/>
      <c r="BFU20" s="51"/>
      <c r="BFV20" s="51"/>
      <c r="BFW20" s="51"/>
      <c r="BFX20" s="51"/>
      <c r="BFY20" s="51"/>
      <c r="BFZ20" s="51"/>
      <c r="BGA20" s="51"/>
      <c r="BGB20" s="51"/>
      <c r="BGC20" s="51"/>
      <c r="BGD20" s="51"/>
      <c r="BGE20" s="51"/>
      <c r="BGF20" s="51"/>
      <c r="BGG20" s="51"/>
      <c r="BGH20" s="51"/>
      <c r="BGI20" s="51"/>
      <c r="BGJ20" s="51"/>
      <c r="BGK20" s="51"/>
      <c r="BGL20" s="51"/>
      <c r="BGM20" s="51"/>
      <c r="BGN20" s="51"/>
      <c r="BGO20" s="51"/>
      <c r="BGP20" s="51"/>
      <c r="BGQ20" s="51"/>
      <c r="BGR20" s="51"/>
      <c r="BGS20" s="51"/>
      <c r="BGT20" s="51"/>
      <c r="BGU20" s="51"/>
      <c r="BGV20" s="51"/>
      <c r="BGW20" s="51"/>
      <c r="BGX20" s="51"/>
      <c r="BGY20" s="51"/>
      <c r="BGZ20" s="51"/>
      <c r="BHA20" s="51"/>
      <c r="BHB20" s="51"/>
      <c r="BHC20" s="51"/>
      <c r="BHD20" s="51"/>
      <c r="BHE20" s="51"/>
      <c r="BHF20" s="51"/>
      <c r="BHG20" s="51"/>
      <c r="BHH20" s="51"/>
      <c r="BHI20" s="51"/>
      <c r="BHJ20" s="51"/>
      <c r="BHK20" s="51"/>
      <c r="BHL20" s="51"/>
      <c r="BHM20" s="51"/>
      <c r="BHN20" s="51"/>
      <c r="BHO20" s="51"/>
      <c r="BHP20" s="51"/>
      <c r="BHQ20" s="51"/>
      <c r="BHR20" s="51"/>
      <c r="BHS20" s="51"/>
      <c r="BHT20" s="51"/>
      <c r="BHU20" s="51"/>
      <c r="BHV20" s="51"/>
      <c r="BHW20" s="51"/>
      <c r="BHX20" s="51"/>
      <c r="BHY20" s="51"/>
      <c r="BHZ20" s="51"/>
      <c r="BIA20" s="51"/>
      <c r="BIB20" s="51"/>
      <c r="BIC20" s="51"/>
      <c r="BID20" s="51"/>
      <c r="BIE20" s="51"/>
      <c r="BIF20" s="51"/>
      <c r="BIG20" s="51"/>
      <c r="BIH20" s="51"/>
      <c r="BII20" s="51"/>
      <c r="BIJ20" s="51"/>
      <c r="BIK20" s="51"/>
      <c r="BIL20" s="51"/>
      <c r="BIM20" s="51"/>
      <c r="BIN20" s="51"/>
      <c r="BIO20" s="51"/>
      <c r="BIP20" s="51"/>
      <c r="BIQ20" s="51"/>
      <c r="BIR20" s="51"/>
      <c r="BIS20" s="51"/>
      <c r="BIT20" s="51"/>
      <c r="BIU20" s="51"/>
      <c r="BIV20" s="51"/>
      <c r="BIW20" s="51"/>
      <c r="BIX20" s="51"/>
      <c r="BIY20" s="51"/>
      <c r="BIZ20" s="51"/>
      <c r="BJA20" s="51"/>
      <c r="BJB20" s="51"/>
      <c r="BJC20" s="51"/>
      <c r="BJD20" s="51"/>
      <c r="BJE20" s="51"/>
      <c r="BJF20" s="51"/>
      <c r="BJG20" s="51"/>
      <c r="BJH20" s="51"/>
      <c r="BJI20" s="51"/>
      <c r="BJJ20" s="51"/>
      <c r="BJK20" s="51"/>
      <c r="BJL20" s="51"/>
      <c r="BJM20" s="51"/>
      <c r="BJN20" s="51"/>
      <c r="BJO20" s="51"/>
      <c r="BJP20" s="51"/>
      <c r="BJQ20" s="51"/>
      <c r="BJR20" s="51"/>
      <c r="BJS20" s="51"/>
      <c r="BJT20" s="51"/>
      <c r="BJU20" s="51"/>
      <c r="BJV20" s="51"/>
      <c r="BJW20" s="51"/>
      <c r="BJX20" s="51"/>
      <c r="BJY20" s="51"/>
      <c r="BJZ20" s="51"/>
      <c r="BKA20" s="51"/>
      <c r="BKB20" s="51"/>
      <c r="BKC20" s="51"/>
      <c r="BKD20" s="51"/>
      <c r="BKE20" s="51"/>
      <c r="BKF20" s="51"/>
      <c r="BKG20" s="51"/>
      <c r="BKH20" s="51"/>
      <c r="BKI20" s="51"/>
      <c r="BKJ20" s="51"/>
      <c r="BKK20" s="51"/>
      <c r="BKL20" s="51"/>
      <c r="BKM20" s="51"/>
      <c r="BKN20" s="51"/>
      <c r="BKO20" s="51"/>
      <c r="BKP20" s="51"/>
      <c r="BKQ20" s="51"/>
      <c r="BKR20" s="51"/>
      <c r="BKS20" s="51"/>
      <c r="BKT20" s="51"/>
      <c r="BKU20" s="51"/>
      <c r="BKV20" s="51"/>
      <c r="BKW20" s="51"/>
      <c r="BKX20" s="51"/>
      <c r="BKY20" s="51"/>
      <c r="BKZ20" s="51"/>
      <c r="BLA20" s="51"/>
      <c r="BLB20" s="51"/>
      <c r="BLC20" s="51"/>
      <c r="BLD20" s="51"/>
      <c r="BLE20" s="51"/>
      <c r="BLF20" s="51"/>
      <c r="BLG20" s="51"/>
      <c r="BLH20" s="51"/>
      <c r="BLI20" s="51"/>
      <c r="BLJ20" s="51"/>
      <c r="BLK20" s="51"/>
      <c r="BLL20" s="51"/>
      <c r="BLM20" s="51"/>
      <c r="BLN20" s="51"/>
      <c r="BLO20" s="51"/>
      <c r="BLP20" s="51"/>
      <c r="BLQ20" s="51"/>
      <c r="BLR20" s="51"/>
      <c r="BLS20" s="51"/>
      <c r="BLT20" s="51"/>
      <c r="BLU20" s="51"/>
      <c r="BLV20" s="51"/>
      <c r="BLW20" s="51"/>
      <c r="BLX20" s="51"/>
      <c r="BLY20" s="51"/>
      <c r="BLZ20" s="51"/>
      <c r="BMA20" s="51"/>
      <c r="BMB20" s="51"/>
      <c r="BMC20" s="51"/>
      <c r="BMD20" s="51"/>
      <c r="BME20" s="51"/>
      <c r="BMF20" s="51"/>
      <c r="BMG20" s="51"/>
      <c r="BMH20" s="51"/>
      <c r="BMI20" s="51"/>
      <c r="BMJ20" s="51"/>
      <c r="BMK20" s="51"/>
      <c r="BML20" s="51"/>
      <c r="BMM20" s="51"/>
      <c r="BMN20" s="51"/>
      <c r="BMO20" s="51"/>
      <c r="BMP20" s="51"/>
      <c r="BMQ20" s="51"/>
      <c r="BMR20" s="51"/>
      <c r="BMS20" s="51"/>
      <c r="BMT20" s="51"/>
      <c r="BMU20" s="51"/>
      <c r="BMV20" s="51"/>
      <c r="BMW20" s="51"/>
      <c r="BMX20" s="51"/>
      <c r="BMY20" s="51"/>
      <c r="BMZ20" s="51"/>
      <c r="BNA20" s="51"/>
      <c r="BNB20" s="51"/>
      <c r="BNC20" s="51"/>
      <c r="BND20" s="51"/>
      <c r="BNE20" s="51"/>
      <c r="BNF20" s="51"/>
      <c r="BNG20" s="51"/>
      <c r="BNH20" s="51"/>
      <c r="BNI20" s="51"/>
      <c r="BNJ20" s="51"/>
      <c r="BNK20" s="51"/>
      <c r="BNL20" s="51"/>
      <c r="BNM20" s="51"/>
      <c r="BNN20" s="51"/>
      <c r="BNO20" s="51"/>
      <c r="BNP20" s="51"/>
      <c r="BNQ20" s="51"/>
      <c r="BNR20" s="51"/>
      <c r="BNS20" s="51"/>
      <c r="BNT20" s="51"/>
      <c r="BNU20" s="51"/>
      <c r="BNV20" s="51"/>
      <c r="BNW20" s="51"/>
      <c r="BNX20" s="51"/>
      <c r="BNY20" s="51"/>
      <c r="BNZ20" s="51"/>
      <c r="BOA20" s="51"/>
      <c r="BOB20" s="51"/>
      <c r="BOC20" s="51"/>
      <c r="BOD20" s="51"/>
      <c r="BOE20" s="51"/>
      <c r="BOF20" s="51"/>
      <c r="BOG20" s="51"/>
      <c r="BOH20" s="51"/>
      <c r="BOI20" s="51"/>
      <c r="BOJ20" s="51"/>
      <c r="BOK20" s="51"/>
      <c r="BOL20" s="51"/>
      <c r="BOM20" s="51"/>
      <c r="BON20" s="51"/>
      <c r="BOO20" s="51"/>
      <c r="BOP20" s="51"/>
      <c r="BOQ20" s="51"/>
      <c r="BOR20" s="51"/>
      <c r="BOS20" s="51"/>
      <c r="BOT20" s="51"/>
      <c r="BOU20" s="51"/>
      <c r="BOV20" s="51"/>
      <c r="BOW20" s="51"/>
      <c r="BOX20" s="51"/>
      <c r="BOY20" s="51"/>
      <c r="BOZ20" s="51"/>
      <c r="BPA20" s="51"/>
      <c r="BPB20" s="51"/>
      <c r="BPC20" s="51"/>
      <c r="BPD20" s="51"/>
      <c r="BPE20" s="51"/>
      <c r="BPF20" s="51"/>
      <c r="BPG20" s="51"/>
      <c r="BPH20" s="51"/>
      <c r="BPI20" s="51"/>
      <c r="BPJ20" s="51"/>
      <c r="BPK20" s="51"/>
      <c r="BPL20" s="51"/>
      <c r="BPM20" s="51"/>
      <c r="BPN20" s="51"/>
      <c r="BPO20" s="51"/>
      <c r="BPP20" s="51"/>
      <c r="BPQ20" s="51"/>
      <c r="BPR20" s="51"/>
      <c r="BPS20" s="51"/>
      <c r="BPT20" s="51"/>
      <c r="BPU20" s="51"/>
      <c r="BPV20" s="51"/>
      <c r="BPW20" s="51"/>
      <c r="BPX20" s="51"/>
      <c r="BPY20" s="51"/>
      <c r="BPZ20" s="51"/>
      <c r="BQA20" s="51"/>
      <c r="BQB20" s="51"/>
      <c r="BQC20" s="51"/>
      <c r="BQD20" s="51"/>
      <c r="BQE20" s="51"/>
      <c r="BQF20" s="51"/>
      <c r="BQG20" s="51"/>
      <c r="BQH20" s="51"/>
      <c r="BQI20" s="51"/>
      <c r="BQJ20" s="51"/>
      <c r="BQK20" s="51"/>
      <c r="BQL20" s="51"/>
      <c r="BQM20" s="51"/>
      <c r="BQN20" s="51"/>
      <c r="BQO20" s="51"/>
      <c r="BQP20" s="51"/>
      <c r="BQQ20" s="51"/>
      <c r="BQR20" s="51"/>
      <c r="BQS20" s="51"/>
      <c r="BQT20" s="51"/>
      <c r="BQU20" s="51"/>
      <c r="BQV20" s="51"/>
      <c r="BQW20" s="51"/>
      <c r="BQX20" s="51"/>
      <c r="BQY20" s="51"/>
      <c r="BQZ20" s="51"/>
      <c r="BRA20" s="51"/>
      <c r="BRB20" s="51"/>
      <c r="BRC20" s="51"/>
      <c r="BRD20" s="51"/>
      <c r="BRE20" s="51"/>
      <c r="BRF20" s="51"/>
      <c r="BRG20" s="51"/>
      <c r="BRH20" s="51"/>
      <c r="BRI20" s="51"/>
      <c r="BRJ20" s="51"/>
      <c r="BRK20" s="51"/>
      <c r="BRL20" s="51"/>
      <c r="BRM20" s="51"/>
      <c r="BRN20" s="51"/>
      <c r="BRO20" s="51"/>
      <c r="BRP20" s="51"/>
      <c r="BRQ20" s="51"/>
      <c r="BRR20" s="51"/>
      <c r="BRS20" s="51"/>
      <c r="BRT20" s="51"/>
      <c r="BRU20" s="51"/>
      <c r="BRV20" s="51"/>
      <c r="BRW20" s="51"/>
      <c r="BRX20" s="51"/>
      <c r="BRY20" s="51"/>
      <c r="BRZ20" s="51"/>
      <c r="BSA20" s="51"/>
      <c r="BSB20" s="51"/>
      <c r="BSC20" s="51"/>
      <c r="BSD20" s="51"/>
      <c r="BSE20" s="51"/>
      <c r="BSF20" s="51"/>
      <c r="BSG20" s="51"/>
      <c r="BSH20" s="51"/>
      <c r="BSI20" s="51"/>
      <c r="BSJ20" s="51"/>
      <c r="BSK20" s="51"/>
      <c r="BSL20" s="51"/>
      <c r="BSM20" s="51"/>
      <c r="BSN20" s="51"/>
      <c r="BSO20" s="51"/>
      <c r="BSP20" s="51"/>
      <c r="BSQ20" s="51"/>
      <c r="BSR20" s="51"/>
      <c r="BSS20" s="51"/>
      <c r="BST20" s="51"/>
      <c r="BSU20" s="51"/>
      <c r="BSV20" s="51"/>
      <c r="BSW20" s="51"/>
      <c r="BSX20" s="51"/>
      <c r="BSY20" s="51"/>
      <c r="BSZ20" s="51"/>
      <c r="BTA20" s="51"/>
      <c r="BTB20" s="51"/>
      <c r="BTC20" s="51"/>
      <c r="BTD20" s="51"/>
      <c r="BTE20" s="51"/>
      <c r="BTF20" s="51"/>
      <c r="BTG20" s="51"/>
      <c r="BTH20" s="51"/>
      <c r="BTI20" s="51"/>
      <c r="BTJ20" s="51"/>
      <c r="BTK20" s="51"/>
      <c r="BTL20" s="51"/>
      <c r="BTM20" s="51"/>
      <c r="BTN20" s="51"/>
      <c r="BTO20" s="51"/>
      <c r="BTP20" s="51"/>
      <c r="BTQ20" s="51"/>
      <c r="BTR20" s="51"/>
      <c r="BTS20" s="51"/>
      <c r="BTT20" s="51"/>
      <c r="BTU20" s="51"/>
      <c r="BTV20" s="51"/>
      <c r="BTW20" s="51"/>
      <c r="BTX20" s="51"/>
      <c r="BTY20" s="51"/>
      <c r="BTZ20" s="51"/>
      <c r="BUA20" s="51"/>
      <c r="BUB20" s="51"/>
      <c r="BUC20" s="51"/>
      <c r="BUD20" s="51"/>
      <c r="BUE20" s="51"/>
      <c r="BUF20" s="51"/>
      <c r="BUG20" s="51"/>
      <c r="BUH20" s="51"/>
      <c r="BUI20" s="51"/>
      <c r="BUJ20" s="51"/>
      <c r="BUK20" s="51"/>
      <c r="BUL20" s="51"/>
      <c r="BUM20" s="51"/>
      <c r="BUN20" s="51"/>
      <c r="BUO20" s="51"/>
      <c r="BUP20" s="51"/>
      <c r="BUQ20" s="51"/>
      <c r="BUR20" s="51"/>
      <c r="BUS20" s="51"/>
      <c r="BUT20" s="51"/>
      <c r="BUU20" s="51"/>
      <c r="BUV20" s="51"/>
      <c r="BUW20" s="51"/>
      <c r="BUX20" s="51"/>
      <c r="BUY20" s="51"/>
      <c r="BUZ20" s="51"/>
      <c r="BVA20" s="51"/>
      <c r="BVB20" s="51"/>
      <c r="BVC20" s="51"/>
      <c r="BVD20" s="51"/>
      <c r="BVE20" s="51"/>
      <c r="BVF20" s="51"/>
      <c r="BVG20" s="51"/>
      <c r="BVH20" s="51"/>
      <c r="BVI20" s="51"/>
      <c r="BVJ20" s="51"/>
      <c r="BVK20" s="51"/>
      <c r="BVL20" s="51"/>
      <c r="BVM20" s="51"/>
      <c r="BVN20" s="51"/>
      <c r="BVO20" s="51"/>
      <c r="BVP20" s="51"/>
      <c r="BVQ20" s="51"/>
      <c r="BVR20" s="51"/>
      <c r="BVS20" s="51"/>
      <c r="BVT20" s="51"/>
      <c r="BVU20" s="51"/>
      <c r="BVV20" s="51"/>
      <c r="BVW20" s="51"/>
      <c r="BVX20" s="51"/>
      <c r="BVY20" s="51"/>
      <c r="BVZ20" s="51"/>
      <c r="BWA20" s="51"/>
      <c r="BWB20" s="51"/>
      <c r="BWC20" s="51"/>
      <c r="BWD20" s="51"/>
      <c r="BWE20" s="51"/>
      <c r="BWF20" s="51"/>
      <c r="BWG20" s="51"/>
      <c r="BWH20" s="51"/>
      <c r="BWI20" s="51"/>
      <c r="BWJ20" s="51"/>
      <c r="BWK20" s="51"/>
      <c r="BWL20" s="51"/>
      <c r="BWM20" s="51"/>
      <c r="BWN20" s="51"/>
      <c r="BWO20" s="51"/>
      <c r="BWP20" s="51"/>
      <c r="BWQ20" s="51"/>
      <c r="BWR20" s="51"/>
      <c r="BWS20" s="51"/>
      <c r="BWT20" s="51"/>
      <c r="BWU20" s="51"/>
      <c r="BWV20" s="51"/>
      <c r="BWW20" s="51"/>
      <c r="BWX20" s="51"/>
      <c r="BWY20" s="51"/>
      <c r="BWZ20" s="51"/>
      <c r="BXA20" s="51"/>
      <c r="BXB20" s="51"/>
      <c r="BXC20" s="51"/>
      <c r="BXD20" s="51"/>
      <c r="BXE20" s="51"/>
      <c r="BXF20" s="51"/>
      <c r="BXG20" s="51"/>
      <c r="BXH20" s="51"/>
      <c r="BXI20" s="51"/>
      <c r="BXJ20" s="51"/>
      <c r="BXK20" s="51"/>
      <c r="BXL20" s="51"/>
      <c r="BXM20" s="51"/>
      <c r="BXN20" s="51"/>
      <c r="BXO20" s="51"/>
      <c r="BXP20" s="51"/>
      <c r="BXQ20" s="51"/>
      <c r="BXR20" s="51"/>
      <c r="BXS20" s="51"/>
      <c r="BXT20" s="51"/>
      <c r="BXU20" s="51"/>
      <c r="BXV20" s="51"/>
      <c r="BXW20" s="51"/>
      <c r="BXX20" s="51"/>
      <c r="BXY20" s="51"/>
      <c r="BXZ20" s="51"/>
      <c r="BYA20" s="51"/>
      <c r="BYB20" s="51"/>
      <c r="BYC20" s="51"/>
      <c r="BYD20" s="51"/>
      <c r="BYE20" s="51"/>
      <c r="BYF20" s="51"/>
      <c r="BYG20" s="51"/>
      <c r="BYH20" s="51"/>
      <c r="BYI20" s="51"/>
      <c r="BYJ20" s="51"/>
      <c r="BYK20" s="51"/>
      <c r="BYL20" s="51"/>
      <c r="BYM20" s="51"/>
      <c r="BYN20" s="51"/>
      <c r="BYO20" s="51"/>
      <c r="BYP20" s="51"/>
      <c r="BYQ20" s="51"/>
      <c r="BYR20" s="51"/>
      <c r="BYS20" s="51"/>
      <c r="BYT20" s="51"/>
      <c r="BYU20" s="51"/>
      <c r="BYV20" s="51"/>
      <c r="BYW20" s="51"/>
      <c r="BYX20" s="51"/>
      <c r="BYY20" s="51"/>
      <c r="BYZ20" s="51"/>
      <c r="BZA20" s="51"/>
      <c r="BZB20" s="51"/>
      <c r="BZC20" s="51"/>
      <c r="BZD20" s="51"/>
      <c r="BZE20" s="51"/>
      <c r="BZF20" s="51"/>
      <c r="BZG20" s="51"/>
      <c r="BZH20" s="51"/>
      <c r="BZI20" s="51"/>
      <c r="BZJ20" s="51"/>
      <c r="BZK20" s="51"/>
      <c r="BZL20" s="51"/>
      <c r="BZM20" s="51"/>
      <c r="BZN20" s="51"/>
      <c r="BZO20" s="51"/>
      <c r="BZP20" s="51"/>
      <c r="BZQ20" s="51"/>
      <c r="BZR20" s="51"/>
      <c r="BZS20" s="51"/>
      <c r="BZT20" s="51"/>
      <c r="BZU20" s="51"/>
      <c r="BZV20" s="51"/>
      <c r="BZW20" s="51"/>
      <c r="BZX20" s="51"/>
      <c r="BZY20" s="51"/>
      <c r="BZZ20" s="51"/>
      <c r="CAA20" s="51"/>
      <c r="CAB20" s="51"/>
      <c r="CAC20" s="51"/>
      <c r="CAD20" s="51"/>
      <c r="CAE20" s="51"/>
      <c r="CAF20" s="51"/>
      <c r="CAG20" s="51"/>
      <c r="CAH20" s="51"/>
      <c r="CAI20" s="51"/>
      <c r="CAJ20" s="51"/>
      <c r="CAK20" s="51"/>
      <c r="CAL20" s="51"/>
      <c r="CAM20" s="51"/>
      <c r="CAN20" s="51"/>
      <c r="CAO20" s="51"/>
      <c r="CAP20" s="51"/>
      <c r="CAQ20" s="51"/>
      <c r="CAR20" s="51"/>
      <c r="CAS20" s="51"/>
      <c r="CAT20" s="51"/>
      <c r="CAU20" s="51"/>
      <c r="CAV20" s="51"/>
      <c r="CAW20" s="51"/>
      <c r="CAX20" s="51"/>
      <c r="CAY20" s="51"/>
      <c r="CAZ20" s="51"/>
      <c r="CBA20" s="51"/>
      <c r="CBB20" s="51"/>
      <c r="CBC20" s="51"/>
      <c r="CBD20" s="51"/>
      <c r="CBE20" s="51"/>
      <c r="CBF20" s="51"/>
      <c r="CBG20" s="51"/>
      <c r="CBH20" s="51"/>
      <c r="CBI20" s="51"/>
      <c r="CBJ20" s="51"/>
      <c r="CBK20" s="51"/>
      <c r="CBL20" s="51"/>
      <c r="CBM20" s="51"/>
      <c r="CBN20" s="51"/>
      <c r="CBO20" s="51"/>
      <c r="CBP20" s="51"/>
      <c r="CBQ20" s="51"/>
      <c r="CBR20" s="51"/>
      <c r="CBS20" s="51"/>
      <c r="CBT20" s="51"/>
      <c r="CBU20" s="51"/>
      <c r="CBV20" s="51"/>
      <c r="CBW20" s="51"/>
      <c r="CBX20" s="51"/>
      <c r="CBY20" s="51"/>
      <c r="CBZ20" s="51"/>
      <c r="CCA20" s="51"/>
      <c r="CCB20" s="51"/>
      <c r="CCC20" s="51"/>
      <c r="CCD20" s="51"/>
      <c r="CCE20" s="51"/>
      <c r="CCF20" s="51"/>
      <c r="CCG20" s="51"/>
      <c r="CCH20" s="51"/>
      <c r="CCI20" s="51"/>
      <c r="CCJ20" s="51"/>
      <c r="CCK20" s="51"/>
      <c r="CCL20" s="51"/>
      <c r="CCM20" s="51"/>
      <c r="CCN20" s="51"/>
      <c r="CCO20" s="51"/>
      <c r="CCP20" s="51"/>
      <c r="CCQ20" s="51"/>
      <c r="CCR20" s="51"/>
      <c r="CCS20" s="51"/>
      <c r="CCT20" s="51"/>
      <c r="CCU20" s="51"/>
      <c r="CCV20" s="51"/>
      <c r="CCW20" s="51"/>
      <c r="CCX20" s="51"/>
      <c r="CCY20" s="51"/>
      <c r="CCZ20" s="51"/>
      <c r="CDA20" s="51"/>
      <c r="CDB20" s="51"/>
      <c r="CDC20" s="51"/>
      <c r="CDD20" s="51"/>
      <c r="CDE20" s="51"/>
      <c r="CDF20" s="51"/>
      <c r="CDG20" s="51"/>
      <c r="CDH20" s="51"/>
      <c r="CDI20" s="51"/>
      <c r="CDJ20" s="51"/>
      <c r="CDK20" s="51"/>
      <c r="CDL20" s="51"/>
      <c r="CDM20" s="51"/>
      <c r="CDN20" s="51"/>
      <c r="CDO20" s="51"/>
      <c r="CDP20" s="51"/>
      <c r="CDQ20" s="51"/>
      <c r="CDR20" s="51"/>
      <c r="CDS20" s="51"/>
      <c r="CDT20" s="51"/>
      <c r="CDU20" s="51"/>
      <c r="CDV20" s="51"/>
      <c r="CDW20" s="51"/>
      <c r="CDX20" s="51"/>
      <c r="CDY20" s="51"/>
      <c r="CDZ20" s="51"/>
      <c r="CEA20" s="51"/>
      <c r="CEB20" s="51"/>
      <c r="CEC20" s="51"/>
      <c r="CED20" s="51"/>
      <c r="CEE20" s="51"/>
      <c r="CEF20" s="51"/>
      <c r="CEG20" s="51"/>
      <c r="CEH20" s="51"/>
      <c r="CEI20" s="51"/>
      <c r="CEJ20" s="51"/>
      <c r="CEK20" s="51"/>
      <c r="CEL20" s="51"/>
      <c r="CEM20" s="51"/>
      <c r="CEN20" s="51"/>
      <c r="CEO20" s="51"/>
      <c r="CEP20" s="51"/>
      <c r="CEQ20" s="51"/>
      <c r="CER20" s="51"/>
      <c r="CES20" s="51"/>
      <c r="CET20" s="51"/>
      <c r="CEU20" s="51"/>
      <c r="CEV20" s="51"/>
      <c r="CEW20" s="51"/>
      <c r="CEX20" s="51"/>
      <c r="CEY20" s="51"/>
      <c r="CEZ20" s="51"/>
      <c r="CFA20" s="51"/>
      <c r="CFB20" s="51"/>
      <c r="CFC20" s="51"/>
      <c r="CFD20" s="51"/>
      <c r="CFE20" s="51"/>
      <c r="CFF20" s="51"/>
      <c r="CFG20" s="51"/>
      <c r="CFH20" s="51"/>
      <c r="CFI20" s="51"/>
      <c r="CFJ20" s="51"/>
      <c r="CFK20" s="51"/>
      <c r="CFL20" s="51"/>
      <c r="CFM20" s="51"/>
      <c r="CFN20" s="51"/>
      <c r="CFO20" s="51"/>
      <c r="CFP20" s="51"/>
      <c r="CFQ20" s="51"/>
      <c r="CFR20" s="51"/>
      <c r="CFS20" s="51"/>
      <c r="CFT20" s="51"/>
      <c r="CFU20" s="51"/>
      <c r="CFV20" s="51"/>
      <c r="CFW20" s="51"/>
      <c r="CFX20" s="51"/>
      <c r="CFY20" s="51"/>
      <c r="CFZ20" s="51"/>
      <c r="CGA20" s="51"/>
      <c r="CGB20" s="51"/>
      <c r="CGC20" s="51"/>
      <c r="CGD20" s="51"/>
      <c r="CGE20" s="51"/>
      <c r="CGF20" s="51"/>
      <c r="CGG20" s="51"/>
      <c r="CGH20" s="51"/>
      <c r="CGI20" s="51"/>
      <c r="CGJ20" s="51"/>
      <c r="CGK20" s="51"/>
      <c r="CGL20" s="51"/>
      <c r="CGM20" s="51"/>
      <c r="CGN20" s="51"/>
      <c r="CGO20" s="51"/>
      <c r="CGP20" s="51"/>
      <c r="CGQ20" s="51"/>
      <c r="CGR20" s="51"/>
      <c r="CGS20" s="51"/>
      <c r="CGT20" s="51"/>
      <c r="CGU20" s="51"/>
      <c r="CGV20" s="51"/>
      <c r="CGW20" s="51"/>
      <c r="CGX20" s="51"/>
      <c r="CGY20" s="51"/>
      <c r="CGZ20" s="51"/>
      <c r="CHA20" s="51"/>
      <c r="CHB20" s="51"/>
      <c r="CHC20" s="51"/>
      <c r="CHD20" s="51"/>
      <c r="CHE20" s="51"/>
      <c r="CHF20" s="51"/>
      <c r="CHG20" s="51"/>
      <c r="CHH20" s="51"/>
      <c r="CHI20" s="51"/>
      <c r="CHJ20" s="51"/>
      <c r="CHK20" s="51"/>
      <c r="CHL20" s="51"/>
      <c r="CHM20" s="51"/>
      <c r="CHN20" s="51"/>
      <c r="CHO20" s="51"/>
      <c r="CHP20" s="51"/>
      <c r="CHQ20" s="51"/>
      <c r="CHR20" s="51"/>
      <c r="CHS20" s="51"/>
      <c r="CHT20" s="51"/>
      <c r="CHU20" s="51"/>
      <c r="CHV20" s="51"/>
      <c r="CHW20" s="51"/>
      <c r="CHX20" s="51"/>
      <c r="CHY20" s="51"/>
      <c r="CHZ20" s="51"/>
      <c r="CIA20" s="51"/>
      <c r="CIB20" s="51"/>
      <c r="CIC20" s="51"/>
      <c r="CID20" s="51"/>
      <c r="CIE20" s="51"/>
      <c r="CIF20" s="51"/>
      <c r="CIG20" s="51"/>
      <c r="CIH20" s="51"/>
      <c r="CII20" s="51"/>
      <c r="CIJ20" s="51"/>
      <c r="CIK20" s="51"/>
      <c r="CIL20" s="51"/>
      <c r="CIM20" s="51"/>
      <c r="CIN20" s="51"/>
      <c r="CIO20" s="51"/>
      <c r="CIP20" s="51"/>
      <c r="CIQ20" s="51"/>
      <c r="CIR20" s="51"/>
      <c r="CIS20" s="51"/>
      <c r="CIT20" s="51"/>
      <c r="CIU20" s="51"/>
      <c r="CIV20" s="51"/>
      <c r="CIW20" s="51"/>
      <c r="CIX20" s="51"/>
      <c r="CIY20" s="51"/>
      <c r="CIZ20" s="51"/>
      <c r="CJA20" s="51"/>
      <c r="CJB20" s="51"/>
      <c r="CJC20" s="51"/>
      <c r="CJD20" s="51"/>
      <c r="CJE20" s="51"/>
      <c r="CJF20" s="51"/>
      <c r="CJG20" s="51"/>
      <c r="CJH20" s="51"/>
      <c r="CJI20" s="51"/>
      <c r="CJJ20" s="51"/>
      <c r="CJK20" s="51"/>
      <c r="CJL20" s="51"/>
      <c r="CJM20" s="51"/>
      <c r="CJN20" s="51"/>
      <c r="CJO20" s="51"/>
      <c r="CJP20" s="51"/>
      <c r="CJQ20" s="51"/>
      <c r="CJR20" s="51"/>
      <c r="CJS20" s="51"/>
      <c r="CJT20" s="51"/>
      <c r="CJU20" s="51"/>
      <c r="CJV20" s="51"/>
      <c r="CJW20" s="51"/>
      <c r="CJX20" s="51"/>
      <c r="CJY20" s="51"/>
      <c r="CJZ20" s="51"/>
      <c r="CKA20" s="51"/>
      <c r="CKB20" s="51"/>
      <c r="CKC20" s="51"/>
      <c r="CKD20" s="51"/>
      <c r="CKE20" s="51"/>
      <c r="CKF20" s="51"/>
      <c r="CKG20" s="51"/>
      <c r="CKH20" s="51"/>
      <c r="CKI20" s="51"/>
      <c r="CKJ20" s="51"/>
      <c r="CKK20" s="51"/>
      <c r="CKL20" s="51"/>
      <c r="CKM20" s="51"/>
      <c r="CKN20" s="51"/>
      <c r="CKO20" s="51"/>
      <c r="CKP20" s="51"/>
      <c r="CKQ20" s="51"/>
      <c r="CKR20" s="51"/>
      <c r="CKS20" s="51"/>
      <c r="CKT20" s="51"/>
      <c r="CKU20" s="51"/>
      <c r="CKV20" s="51"/>
      <c r="CKW20" s="51"/>
      <c r="CKX20" s="51"/>
      <c r="CKY20" s="51"/>
      <c r="CKZ20" s="51"/>
      <c r="CLA20" s="51"/>
      <c r="CLB20" s="51"/>
      <c r="CLC20" s="51"/>
      <c r="CLD20" s="51"/>
      <c r="CLE20" s="51"/>
      <c r="CLF20" s="51"/>
      <c r="CLG20" s="51"/>
      <c r="CLH20" s="51"/>
      <c r="CLI20" s="51"/>
      <c r="CLJ20" s="51"/>
      <c r="CLK20" s="51"/>
      <c r="CLL20" s="51"/>
      <c r="CLM20" s="51"/>
      <c r="CLN20" s="51"/>
      <c r="CLO20" s="51"/>
      <c r="CLP20" s="51"/>
      <c r="CLQ20" s="51"/>
      <c r="CLR20" s="51"/>
      <c r="CLS20" s="51"/>
      <c r="CLT20" s="51"/>
      <c r="CLU20" s="51"/>
      <c r="CLV20" s="51"/>
      <c r="CLW20" s="51"/>
      <c r="CLX20" s="51"/>
      <c r="CLY20" s="51"/>
      <c r="CLZ20" s="51"/>
      <c r="CMA20" s="51"/>
      <c r="CMB20" s="51"/>
      <c r="CMC20" s="51"/>
      <c r="CMD20" s="51"/>
      <c r="CME20" s="51"/>
      <c r="CMF20" s="51"/>
      <c r="CMG20" s="51"/>
      <c r="CMH20" s="51"/>
      <c r="CMI20" s="51"/>
      <c r="CMJ20" s="51"/>
      <c r="CMK20" s="51"/>
      <c r="CML20" s="51"/>
      <c r="CMM20" s="51"/>
      <c r="CMN20" s="51"/>
      <c r="CMO20" s="51"/>
      <c r="CMP20" s="51"/>
      <c r="CMQ20" s="51"/>
      <c r="CMR20" s="51"/>
      <c r="CMS20" s="51"/>
      <c r="CMT20" s="51"/>
      <c r="CMU20" s="51"/>
      <c r="CMV20" s="51"/>
      <c r="CMW20" s="51"/>
      <c r="CMX20" s="51"/>
      <c r="CMY20" s="51"/>
      <c r="CMZ20" s="51"/>
      <c r="CNA20" s="51"/>
      <c r="CNB20" s="51"/>
      <c r="CNC20" s="51"/>
      <c r="CND20" s="51"/>
      <c r="CNE20" s="51"/>
      <c r="CNF20" s="51"/>
      <c r="CNG20" s="51"/>
      <c r="CNH20" s="51"/>
      <c r="CNI20" s="51"/>
      <c r="CNJ20" s="51"/>
      <c r="CNK20" s="51"/>
      <c r="CNL20" s="51"/>
      <c r="CNM20" s="51"/>
      <c r="CNN20" s="51"/>
      <c r="CNO20" s="51"/>
      <c r="CNP20" s="51"/>
      <c r="CNQ20" s="51"/>
      <c r="CNR20" s="51"/>
      <c r="CNS20" s="51"/>
      <c r="CNT20" s="51"/>
      <c r="CNU20" s="51"/>
      <c r="CNV20" s="51"/>
      <c r="CNW20" s="51"/>
      <c r="CNX20" s="51"/>
      <c r="CNY20" s="51"/>
      <c r="CNZ20" s="51"/>
      <c r="COA20" s="51"/>
      <c r="COB20" s="51"/>
      <c r="COC20" s="51"/>
      <c r="COD20" s="51"/>
      <c r="COE20" s="51"/>
      <c r="COF20" s="51"/>
      <c r="COG20" s="51"/>
      <c r="COH20" s="51"/>
      <c r="COI20" s="51"/>
      <c r="COJ20" s="51"/>
      <c r="COK20" s="51"/>
      <c r="COL20" s="51"/>
      <c r="COM20" s="51"/>
      <c r="CON20" s="51"/>
      <c r="COO20" s="51"/>
      <c r="COP20" s="51"/>
      <c r="COQ20" s="51"/>
      <c r="COR20" s="51"/>
      <c r="COS20" s="51"/>
      <c r="COT20" s="51"/>
      <c r="COU20" s="51"/>
      <c r="COV20" s="51"/>
      <c r="COW20" s="51"/>
      <c r="COX20" s="51"/>
      <c r="COY20" s="51"/>
      <c r="COZ20" s="51"/>
      <c r="CPA20" s="51"/>
      <c r="CPB20" s="51"/>
      <c r="CPC20" s="51"/>
      <c r="CPD20" s="51"/>
      <c r="CPE20" s="51"/>
      <c r="CPF20" s="51"/>
      <c r="CPG20" s="51"/>
      <c r="CPH20" s="51"/>
      <c r="CPI20" s="51"/>
      <c r="CPJ20" s="51"/>
      <c r="CPK20" s="51"/>
      <c r="CPL20" s="51"/>
      <c r="CPM20" s="51"/>
      <c r="CPN20" s="51"/>
      <c r="CPO20" s="51"/>
      <c r="CPP20" s="51"/>
      <c r="CPQ20" s="51"/>
      <c r="CPR20" s="51"/>
      <c r="CPS20" s="51"/>
      <c r="CPT20" s="51"/>
      <c r="CPU20" s="51"/>
      <c r="CPV20" s="51"/>
      <c r="CPW20" s="51"/>
      <c r="CPX20" s="51"/>
      <c r="CPY20" s="51"/>
      <c r="CPZ20" s="51"/>
      <c r="CQA20" s="51"/>
      <c r="CQB20" s="51"/>
      <c r="CQC20" s="51"/>
      <c r="CQD20" s="51"/>
      <c r="CQE20" s="51"/>
      <c r="CQF20" s="51"/>
      <c r="CQG20" s="51"/>
      <c r="CQH20" s="51"/>
      <c r="CQI20" s="51"/>
      <c r="CQJ20" s="51"/>
      <c r="CQK20" s="51"/>
      <c r="CQL20" s="51"/>
      <c r="CQM20" s="51"/>
      <c r="CQN20" s="51"/>
      <c r="CQO20" s="51"/>
      <c r="CQP20" s="51"/>
      <c r="CQQ20" s="51"/>
      <c r="CQR20" s="51"/>
      <c r="CQS20" s="51"/>
      <c r="CQT20" s="51"/>
      <c r="CQU20" s="51"/>
      <c r="CQV20" s="51"/>
      <c r="CQW20" s="51"/>
      <c r="CQX20" s="51"/>
      <c r="CQY20" s="51"/>
      <c r="CQZ20" s="51"/>
      <c r="CRA20" s="51"/>
      <c r="CRB20" s="51"/>
      <c r="CRC20" s="51"/>
      <c r="CRD20" s="51"/>
      <c r="CRE20" s="51"/>
      <c r="CRF20" s="51"/>
      <c r="CRG20" s="51"/>
      <c r="CRH20" s="51"/>
      <c r="CRI20" s="51"/>
      <c r="CRJ20" s="51"/>
      <c r="CRK20" s="51"/>
      <c r="CRL20" s="51"/>
      <c r="CRM20" s="51"/>
      <c r="CRN20" s="51"/>
      <c r="CRO20" s="51"/>
      <c r="CRP20" s="51"/>
      <c r="CRQ20" s="51"/>
      <c r="CRR20" s="51"/>
      <c r="CRS20" s="51"/>
      <c r="CRT20" s="51"/>
      <c r="CRU20" s="51"/>
      <c r="CRV20" s="51"/>
      <c r="CRW20" s="51"/>
      <c r="CRX20" s="51"/>
      <c r="CRY20" s="51"/>
      <c r="CRZ20" s="51"/>
      <c r="CSA20" s="51"/>
      <c r="CSB20" s="51"/>
      <c r="CSC20" s="51"/>
      <c r="CSD20" s="51"/>
      <c r="CSE20" s="51"/>
      <c r="CSF20" s="51"/>
      <c r="CSG20" s="51"/>
      <c r="CSH20" s="51"/>
      <c r="CSI20" s="51"/>
      <c r="CSJ20" s="51"/>
      <c r="CSK20" s="51"/>
      <c r="CSL20" s="51"/>
      <c r="CSM20" s="51"/>
      <c r="CSN20" s="51"/>
      <c r="CSO20" s="51"/>
      <c r="CSP20" s="51"/>
      <c r="CSQ20" s="51"/>
      <c r="CSR20" s="51"/>
      <c r="CSS20" s="51"/>
      <c r="CST20" s="51"/>
      <c r="CSU20" s="51"/>
      <c r="CSV20" s="51"/>
      <c r="CSW20" s="51"/>
      <c r="CSX20" s="51"/>
      <c r="CSY20" s="51"/>
      <c r="CSZ20" s="51"/>
      <c r="CTA20" s="51"/>
      <c r="CTB20" s="51"/>
      <c r="CTC20" s="51"/>
      <c r="CTD20" s="51"/>
      <c r="CTE20" s="51"/>
      <c r="CTF20" s="51"/>
      <c r="CTG20" s="51"/>
      <c r="CTH20" s="51"/>
      <c r="CTI20" s="51"/>
      <c r="CTJ20" s="51"/>
      <c r="CTK20" s="51"/>
      <c r="CTL20" s="51"/>
      <c r="CTM20" s="51"/>
      <c r="CTN20" s="51"/>
      <c r="CTO20" s="51"/>
      <c r="CTP20" s="51"/>
      <c r="CTQ20" s="51"/>
      <c r="CTR20" s="51"/>
      <c r="CTS20" s="51"/>
      <c r="CTT20" s="51"/>
      <c r="CTU20" s="51"/>
      <c r="CTV20" s="51"/>
      <c r="CTW20" s="51"/>
      <c r="CTX20" s="51"/>
      <c r="CTY20" s="51"/>
      <c r="CTZ20" s="51"/>
      <c r="CUA20" s="51"/>
      <c r="CUB20" s="51"/>
      <c r="CUC20" s="51"/>
      <c r="CUD20" s="51"/>
      <c r="CUE20" s="51"/>
      <c r="CUF20" s="51"/>
      <c r="CUG20" s="51"/>
      <c r="CUH20" s="51"/>
      <c r="CUI20" s="51"/>
      <c r="CUJ20" s="51"/>
      <c r="CUK20" s="51"/>
      <c r="CUL20" s="51"/>
      <c r="CUM20" s="51"/>
      <c r="CUN20" s="51"/>
      <c r="CUO20" s="51"/>
      <c r="CUP20" s="51"/>
      <c r="CUQ20" s="51"/>
      <c r="CUR20" s="51"/>
      <c r="CUS20" s="51"/>
      <c r="CUT20" s="51"/>
      <c r="CUU20" s="51"/>
      <c r="CUV20" s="51"/>
      <c r="CUW20" s="51"/>
      <c r="CUX20" s="51"/>
      <c r="CUY20" s="51"/>
      <c r="CUZ20" s="51"/>
      <c r="CVA20" s="51"/>
      <c r="CVB20" s="51"/>
      <c r="CVC20" s="51"/>
      <c r="CVD20" s="51"/>
      <c r="CVE20" s="51"/>
      <c r="CVF20" s="51"/>
      <c r="CVG20" s="51"/>
      <c r="CVH20" s="51"/>
      <c r="CVI20" s="51"/>
      <c r="CVJ20" s="51"/>
      <c r="CVK20" s="51"/>
      <c r="CVL20" s="51"/>
      <c r="CVM20" s="51"/>
      <c r="CVN20" s="51"/>
      <c r="CVO20" s="51"/>
      <c r="CVP20" s="51"/>
      <c r="CVQ20" s="51"/>
      <c r="CVR20" s="51"/>
      <c r="CVS20" s="51"/>
      <c r="CVT20" s="51"/>
      <c r="CVU20" s="51"/>
      <c r="CVV20" s="51"/>
      <c r="CVW20" s="51"/>
      <c r="CVX20" s="51"/>
      <c r="CVY20" s="51"/>
      <c r="CVZ20" s="51"/>
      <c r="CWA20" s="51"/>
      <c r="CWB20" s="51"/>
      <c r="CWC20" s="51"/>
      <c r="CWD20" s="51"/>
      <c r="CWE20" s="51"/>
      <c r="CWF20" s="51"/>
      <c r="CWG20" s="51"/>
      <c r="CWH20" s="51"/>
      <c r="CWI20" s="51"/>
      <c r="CWJ20" s="51"/>
      <c r="CWK20" s="51"/>
      <c r="CWL20" s="51"/>
      <c r="CWM20" s="51"/>
      <c r="CWN20" s="51"/>
      <c r="CWO20" s="51"/>
      <c r="CWP20" s="51"/>
      <c r="CWQ20" s="51"/>
      <c r="CWR20" s="51"/>
      <c r="CWS20" s="51"/>
      <c r="CWT20" s="51"/>
      <c r="CWU20" s="51"/>
      <c r="CWV20" s="51"/>
      <c r="CWW20" s="51"/>
      <c r="CWX20" s="51"/>
      <c r="CWY20" s="51"/>
      <c r="CWZ20" s="51"/>
      <c r="CXA20" s="51"/>
      <c r="CXB20" s="51"/>
      <c r="CXC20" s="51"/>
      <c r="CXD20" s="51"/>
      <c r="CXE20" s="51"/>
      <c r="CXF20" s="51"/>
      <c r="CXG20" s="51"/>
      <c r="CXH20" s="51"/>
      <c r="CXI20" s="51"/>
      <c r="CXJ20" s="51"/>
      <c r="CXK20" s="51"/>
      <c r="CXL20" s="51"/>
      <c r="CXM20" s="51"/>
      <c r="CXN20" s="51"/>
      <c r="CXO20" s="51"/>
      <c r="CXP20" s="51"/>
      <c r="CXQ20" s="51"/>
      <c r="CXR20" s="51"/>
      <c r="CXS20" s="51"/>
      <c r="CXT20" s="51"/>
      <c r="CXU20" s="51"/>
      <c r="CXV20" s="51"/>
      <c r="CXW20" s="51"/>
      <c r="CXX20" s="51"/>
      <c r="CXY20" s="51"/>
      <c r="CXZ20" s="51"/>
      <c r="CYA20" s="51"/>
      <c r="CYB20" s="51"/>
      <c r="CYC20" s="51"/>
      <c r="CYD20" s="51"/>
      <c r="CYE20" s="51"/>
      <c r="CYF20" s="51"/>
      <c r="CYG20" s="51"/>
      <c r="CYH20" s="51"/>
      <c r="CYI20" s="51"/>
      <c r="CYJ20" s="51"/>
      <c r="CYK20" s="51"/>
      <c r="CYL20" s="51"/>
      <c r="CYM20" s="51"/>
      <c r="CYN20" s="51"/>
      <c r="CYO20" s="51"/>
      <c r="CYP20" s="51"/>
      <c r="CYQ20" s="51"/>
      <c r="CYR20" s="51"/>
      <c r="CYS20" s="51"/>
      <c r="CYT20" s="51"/>
      <c r="CYU20" s="51"/>
      <c r="CYV20" s="51"/>
      <c r="CYW20" s="51"/>
      <c r="CYX20" s="51"/>
      <c r="CYY20" s="51"/>
      <c r="CYZ20" s="51"/>
      <c r="CZA20" s="51"/>
      <c r="CZB20" s="51"/>
      <c r="CZC20" s="51"/>
      <c r="CZD20" s="51"/>
      <c r="CZE20" s="51"/>
      <c r="CZF20" s="51"/>
      <c r="CZG20" s="51"/>
      <c r="CZH20" s="51"/>
      <c r="CZI20" s="51"/>
      <c r="CZJ20" s="51"/>
      <c r="CZK20" s="51"/>
      <c r="CZL20" s="51"/>
      <c r="CZM20" s="51"/>
      <c r="CZN20" s="51"/>
      <c r="CZO20" s="51"/>
      <c r="CZP20" s="51"/>
      <c r="CZQ20" s="51"/>
      <c r="CZR20" s="51"/>
      <c r="CZS20" s="51"/>
      <c r="CZT20" s="51"/>
      <c r="CZU20" s="51"/>
      <c r="CZV20" s="51"/>
      <c r="CZW20" s="51"/>
      <c r="CZX20" s="51"/>
      <c r="CZY20" s="51"/>
      <c r="CZZ20" s="51"/>
      <c r="DAA20" s="51"/>
      <c r="DAB20" s="51"/>
      <c r="DAC20" s="51"/>
      <c r="DAD20" s="51"/>
      <c r="DAE20" s="51"/>
      <c r="DAF20" s="51"/>
      <c r="DAG20" s="51"/>
      <c r="DAH20" s="51"/>
      <c r="DAI20" s="51"/>
      <c r="DAJ20" s="51"/>
      <c r="DAK20" s="51"/>
      <c r="DAL20" s="51"/>
      <c r="DAM20" s="51"/>
      <c r="DAN20" s="51"/>
      <c r="DAO20" s="51"/>
      <c r="DAP20" s="51"/>
      <c r="DAQ20" s="51"/>
      <c r="DAR20" s="51"/>
      <c r="DAS20" s="51"/>
      <c r="DAT20" s="51"/>
      <c r="DAU20" s="51"/>
      <c r="DAV20" s="51"/>
      <c r="DAW20" s="51"/>
      <c r="DAX20" s="51"/>
      <c r="DAY20" s="51"/>
      <c r="DAZ20" s="51"/>
      <c r="DBA20" s="51"/>
      <c r="DBB20" s="51"/>
      <c r="DBC20" s="51"/>
      <c r="DBD20" s="51"/>
      <c r="DBE20" s="51"/>
      <c r="DBF20" s="51"/>
      <c r="DBG20" s="51"/>
      <c r="DBH20" s="51"/>
      <c r="DBI20" s="51"/>
      <c r="DBJ20" s="51"/>
      <c r="DBK20" s="51"/>
      <c r="DBL20" s="51"/>
      <c r="DBM20" s="51"/>
      <c r="DBN20" s="51"/>
      <c r="DBO20" s="51"/>
      <c r="DBP20" s="51"/>
      <c r="DBQ20" s="51"/>
      <c r="DBR20" s="51"/>
      <c r="DBS20" s="51"/>
      <c r="DBT20" s="51"/>
      <c r="DBU20" s="51"/>
      <c r="DBV20" s="51"/>
      <c r="DBW20" s="51"/>
      <c r="DBX20" s="51"/>
      <c r="DBY20" s="51"/>
      <c r="DBZ20" s="51"/>
      <c r="DCA20" s="51"/>
      <c r="DCB20" s="51"/>
      <c r="DCC20" s="51"/>
      <c r="DCD20" s="51"/>
      <c r="DCE20" s="51"/>
      <c r="DCF20" s="51"/>
      <c r="DCG20" s="51"/>
      <c r="DCH20" s="51"/>
      <c r="DCI20" s="51"/>
      <c r="DCJ20" s="51"/>
      <c r="DCK20" s="51"/>
      <c r="DCL20" s="51"/>
      <c r="DCM20" s="51"/>
      <c r="DCN20" s="51"/>
      <c r="DCO20" s="51"/>
      <c r="DCP20" s="51"/>
      <c r="DCQ20" s="51"/>
      <c r="DCR20" s="51"/>
      <c r="DCS20" s="51"/>
      <c r="DCT20" s="51"/>
      <c r="DCU20" s="51"/>
      <c r="DCV20" s="51"/>
      <c r="DCW20" s="51"/>
      <c r="DCX20" s="51"/>
      <c r="DCY20" s="51"/>
      <c r="DCZ20" s="51"/>
      <c r="DDA20" s="51"/>
      <c r="DDB20" s="51"/>
      <c r="DDC20" s="51"/>
      <c r="DDD20" s="51"/>
      <c r="DDE20" s="51"/>
      <c r="DDF20" s="51"/>
      <c r="DDG20" s="51"/>
      <c r="DDH20" s="51"/>
      <c r="DDI20" s="51"/>
      <c r="DDJ20" s="51"/>
      <c r="DDK20" s="51"/>
      <c r="DDL20" s="51"/>
      <c r="DDM20" s="51"/>
      <c r="DDN20" s="51"/>
      <c r="DDO20" s="51"/>
      <c r="DDP20" s="51"/>
      <c r="DDQ20" s="51"/>
      <c r="DDR20" s="51"/>
      <c r="DDS20" s="51"/>
      <c r="DDT20" s="51"/>
      <c r="DDU20" s="51"/>
      <c r="DDV20" s="51"/>
      <c r="DDW20" s="51"/>
      <c r="DDX20" s="51"/>
      <c r="DDY20" s="51"/>
      <c r="DDZ20" s="51"/>
      <c r="DEA20" s="51"/>
      <c r="DEB20" s="51"/>
      <c r="DEC20" s="51"/>
      <c r="DED20" s="51"/>
      <c r="DEE20" s="51"/>
      <c r="DEF20" s="51"/>
      <c r="DEG20" s="51"/>
      <c r="DEH20" s="51"/>
      <c r="DEI20" s="51"/>
      <c r="DEJ20" s="51"/>
      <c r="DEK20" s="51"/>
      <c r="DEL20" s="51"/>
      <c r="DEM20" s="51"/>
      <c r="DEN20" s="51"/>
      <c r="DEO20" s="51"/>
      <c r="DEP20" s="51"/>
      <c r="DEQ20" s="51"/>
      <c r="DER20" s="51"/>
      <c r="DES20" s="51"/>
      <c r="DET20" s="51"/>
      <c r="DEU20" s="51"/>
      <c r="DEV20" s="51"/>
      <c r="DEW20" s="51"/>
      <c r="DEX20" s="51"/>
      <c r="DEY20" s="51"/>
      <c r="DEZ20" s="51"/>
      <c r="DFA20" s="51"/>
      <c r="DFB20" s="51"/>
      <c r="DFC20" s="51"/>
      <c r="DFD20" s="51"/>
      <c r="DFE20" s="51"/>
      <c r="DFF20" s="51"/>
      <c r="DFG20" s="51"/>
      <c r="DFH20" s="51"/>
      <c r="DFI20" s="51"/>
      <c r="DFJ20" s="51"/>
      <c r="DFK20" s="51"/>
      <c r="DFL20" s="51"/>
      <c r="DFM20" s="51"/>
      <c r="DFN20" s="51"/>
      <c r="DFO20" s="51"/>
      <c r="DFP20" s="51"/>
      <c r="DFQ20" s="51"/>
      <c r="DFR20" s="51"/>
      <c r="DFS20" s="51"/>
      <c r="DFT20" s="51"/>
      <c r="DFU20" s="51"/>
      <c r="DFV20" s="51"/>
      <c r="DFW20" s="51"/>
      <c r="DFX20" s="51"/>
      <c r="DFY20" s="51"/>
      <c r="DFZ20" s="51"/>
      <c r="DGA20" s="51"/>
      <c r="DGB20" s="51"/>
      <c r="DGC20" s="51"/>
      <c r="DGD20" s="51"/>
      <c r="DGE20" s="51"/>
      <c r="DGF20" s="51"/>
      <c r="DGG20" s="51"/>
      <c r="DGH20" s="51"/>
      <c r="DGI20" s="51"/>
      <c r="DGJ20" s="51"/>
      <c r="DGK20" s="51"/>
      <c r="DGL20" s="51"/>
      <c r="DGM20" s="51"/>
      <c r="DGN20" s="51"/>
      <c r="DGO20" s="51"/>
      <c r="DGP20" s="51"/>
      <c r="DGQ20" s="51"/>
      <c r="DGR20" s="51"/>
      <c r="DGS20" s="51"/>
      <c r="DGT20" s="51"/>
      <c r="DGU20" s="51"/>
      <c r="DGV20" s="51"/>
      <c r="DGW20" s="51"/>
      <c r="DGX20" s="51"/>
      <c r="DGY20" s="51"/>
      <c r="DGZ20" s="51"/>
      <c r="DHA20" s="51"/>
      <c r="DHB20" s="51"/>
      <c r="DHC20" s="51"/>
      <c r="DHD20" s="51"/>
      <c r="DHE20" s="51"/>
      <c r="DHF20" s="51"/>
      <c r="DHG20" s="51"/>
      <c r="DHH20" s="51"/>
      <c r="DHI20" s="51"/>
      <c r="DHJ20" s="51"/>
      <c r="DHK20" s="51"/>
      <c r="DHL20" s="51"/>
      <c r="DHM20" s="51"/>
      <c r="DHN20" s="51"/>
      <c r="DHO20" s="51"/>
      <c r="DHP20" s="51"/>
      <c r="DHQ20" s="51"/>
      <c r="DHR20" s="51"/>
      <c r="DHS20" s="51"/>
      <c r="DHT20" s="51"/>
      <c r="DHU20" s="51"/>
      <c r="DHV20" s="51"/>
      <c r="DHW20" s="51"/>
      <c r="DHX20" s="51"/>
      <c r="DHY20" s="51"/>
      <c r="DHZ20" s="51"/>
      <c r="DIA20" s="51"/>
      <c r="DIB20" s="51"/>
      <c r="DIC20" s="51"/>
      <c r="DID20" s="51"/>
      <c r="DIE20" s="51"/>
      <c r="DIF20" s="51"/>
      <c r="DIG20" s="51"/>
      <c r="DIH20" s="51"/>
      <c r="DII20" s="51"/>
      <c r="DIJ20" s="51"/>
      <c r="DIK20" s="51"/>
      <c r="DIL20" s="51"/>
      <c r="DIM20" s="51"/>
      <c r="DIN20" s="51"/>
      <c r="DIO20" s="51"/>
      <c r="DIP20" s="51"/>
      <c r="DIQ20" s="51"/>
      <c r="DIR20" s="51"/>
      <c r="DIS20" s="51"/>
      <c r="DIT20" s="51"/>
      <c r="DIU20" s="51"/>
      <c r="DIV20" s="51"/>
      <c r="DIW20" s="51"/>
      <c r="DIX20" s="51"/>
      <c r="DIY20" s="51"/>
      <c r="DIZ20" s="51"/>
      <c r="DJA20" s="51"/>
      <c r="DJB20" s="51"/>
      <c r="DJC20" s="51"/>
      <c r="DJD20" s="51"/>
      <c r="DJE20" s="51"/>
      <c r="DJF20" s="51"/>
      <c r="DJG20" s="51"/>
      <c r="DJH20" s="51"/>
      <c r="DJI20" s="51"/>
      <c r="DJJ20" s="51"/>
      <c r="DJK20" s="51"/>
      <c r="DJL20" s="51"/>
      <c r="DJM20" s="51"/>
      <c r="DJN20" s="51"/>
      <c r="DJO20" s="51"/>
      <c r="DJP20" s="51"/>
      <c r="DJQ20" s="51"/>
      <c r="DJR20" s="51"/>
      <c r="DJS20" s="51"/>
      <c r="DJT20" s="51"/>
      <c r="DJU20" s="51"/>
      <c r="DJV20" s="51"/>
      <c r="DJW20" s="51"/>
      <c r="DJX20" s="51"/>
      <c r="DJY20" s="51"/>
      <c r="DJZ20" s="51"/>
      <c r="DKA20" s="51"/>
      <c r="DKB20" s="51"/>
      <c r="DKC20" s="51"/>
      <c r="DKD20" s="51"/>
      <c r="DKE20" s="51"/>
      <c r="DKF20" s="51"/>
      <c r="DKG20" s="51"/>
      <c r="DKH20" s="51"/>
      <c r="DKI20" s="51"/>
      <c r="DKJ20" s="51"/>
      <c r="DKK20" s="51"/>
      <c r="DKL20" s="51"/>
      <c r="DKM20" s="51"/>
      <c r="DKN20" s="51"/>
      <c r="DKO20" s="51"/>
      <c r="DKP20" s="51"/>
      <c r="DKQ20" s="51"/>
      <c r="DKR20" s="51"/>
      <c r="DKS20" s="51"/>
      <c r="DKT20" s="51"/>
      <c r="DKU20" s="51"/>
      <c r="DKV20" s="51"/>
      <c r="DKW20" s="51"/>
      <c r="DKX20" s="51"/>
      <c r="DKY20" s="51"/>
      <c r="DKZ20" s="51"/>
      <c r="DLA20" s="51"/>
      <c r="DLB20" s="51"/>
      <c r="DLC20" s="51"/>
      <c r="DLD20" s="51"/>
      <c r="DLE20" s="51"/>
      <c r="DLF20" s="51"/>
      <c r="DLG20" s="51"/>
      <c r="DLH20" s="51"/>
      <c r="DLI20" s="51"/>
      <c r="DLJ20" s="51"/>
      <c r="DLK20" s="51"/>
      <c r="DLL20" s="51"/>
      <c r="DLM20" s="51"/>
      <c r="DLN20" s="51"/>
      <c r="DLO20" s="51"/>
      <c r="DLP20" s="51"/>
      <c r="DLQ20" s="51"/>
      <c r="DLR20" s="51"/>
      <c r="DLS20" s="51"/>
      <c r="DLT20" s="51"/>
      <c r="DLU20" s="51"/>
      <c r="DLV20" s="51"/>
      <c r="DLW20" s="51"/>
      <c r="DLX20" s="51"/>
      <c r="DLY20" s="51"/>
      <c r="DLZ20" s="51"/>
      <c r="DMA20" s="51"/>
      <c r="DMB20" s="51"/>
      <c r="DMC20" s="51"/>
      <c r="DMD20" s="51"/>
      <c r="DME20" s="51"/>
      <c r="DMF20" s="51"/>
      <c r="DMG20" s="51"/>
      <c r="DMH20" s="51"/>
      <c r="DMI20" s="51"/>
      <c r="DMJ20" s="51"/>
      <c r="DMK20" s="51"/>
      <c r="DML20" s="51"/>
      <c r="DMM20" s="51"/>
      <c r="DMN20" s="51"/>
      <c r="DMO20" s="51"/>
      <c r="DMP20" s="51"/>
      <c r="DMQ20" s="51"/>
      <c r="DMR20" s="51"/>
      <c r="DMS20" s="51"/>
      <c r="DMT20" s="51"/>
      <c r="DMU20" s="51"/>
      <c r="DMV20" s="51"/>
      <c r="DMW20" s="51"/>
      <c r="DMX20" s="51"/>
      <c r="DMY20" s="51"/>
      <c r="DMZ20" s="51"/>
      <c r="DNA20" s="51"/>
      <c r="DNB20" s="51"/>
      <c r="DNC20" s="51"/>
      <c r="DND20" s="51"/>
      <c r="DNE20" s="51"/>
      <c r="DNF20" s="51"/>
      <c r="DNG20" s="51"/>
      <c r="DNH20" s="51"/>
      <c r="DNI20" s="51"/>
      <c r="DNJ20" s="51"/>
      <c r="DNK20" s="51"/>
      <c r="DNL20" s="51"/>
      <c r="DNM20" s="51"/>
      <c r="DNN20" s="51"/>
      <c r="DNO20" s="51"/>
      <c r="DNP20" s="51"/>
      <c r="DNQ20" s="51"/>
      <c r="DNR20" s="51"/>
      <c r="DNS20" s="51"/>
      <c r="DNT20" s="51"/>
      <c r="DNU20" s="51"/>
      <c r="DNV20" s="51"/>
      <c r="DNW20" s="51"/>
      <c r="DNX20" s="51"/>
      <c r="DNY20" s="51"/>
      <c r="DNZ20" s="51"/>
      <c r="DOA20" s="51"/>
      <c r="DOB20" s="51"/>
      <c r="DOC20" s="51"/>
      <c r="DOD20" s="51"/>
      <c r="DOE20" s="51"/>
      <c r="DOF20" s="51"/>
      <c r="DOG20" s="51"/>
      <c r="DOH20" s="51"/>
      <c r="DOI20" s="51"/>
      <c r="DOJ20" s="51"/>
      <c r="DOK20" s="51"/>
      <c r="DOL20" s="51"/>
      <c r="DOM20" s="51"/>
      <c r="DON20" s="51"/>
      <c r="DOO20" s="51"/>
      <c r="DOP20" s="51"/>
      <c r="DOQ20" s="51"/>
      <c r="DOR20" s="51"/>
      <c r="DOS20" s="51"/>
      <c r="DOT20" s="51"/>
      <c r="DOU20" s="51"/>
      <c r="DOV20" s="51"/>
      <c r="DOW20" s="51"/>
      <c r="DOX20" s="51"/>
      <c r="DOY20" s="51"/>
      <c r="DOZ20" s="51"/>
      <c r="DPA20" s="51"/>
      <c r="DPB20" s="51"/>
      <c r="DPC20" s="51"/>
      <c r="DPD20" s="51"/>
      <c r="DPE20" s="51"/>
      <c r="DPF20" s="51"/>
      <c r="DPG20" s="51"/>
      <c r="DPH20" s="51"/>
      <c r="DPI20" s="51"/>
      <c r="DPJ20" s="51"/>
      <c r="DPK20" s="51"/>
      <c r="DPL20" s="51"/>
      <c r="DPM20" s="51"/>
      <c r="DPN20" s="51"/>
      <c r="DPO20" s="51"/>
      <c r="DPP20" s="51"/>
      <c r="DPQ20" s="51"/>
      <c r="DPR20" s="51"/>
      <c r="DPS20" s="51"/>
      <c r="DPT20" s="51"/>
      <c r="DPU20" s="51"/>
      <c r="DPV20" s="51"/>
      <c r="DPW20" s="51"/>
      <c r="DPX20" s="51"/>
      <c r="DPY20" s="51"/>
      <c r="DPZ20" s="51"/>
      <c r="DQA20" s="51"/>
      <c r="DQB20" s="51"/>
      <c r="DQC20" s="51"/>
      <c r="DQD20" s="51"/>
      <c r="DQE20" s="51"/>
      <c r="DQF20" s="51"/>
      <c r="DQG20" s="51"/>
      <c r="DQH20" s="51"/>
      <c r="DQI20" s="51"/>
      <c r="DQJ20" s="51"/>
      <c r="DQK20" s="51"/>
      <c r="DQL20" s="51"/>
      <c r="DQM20" s="51"/>
      <c r="DQN20" s="51"/>
      <c r="DQO20" s="51"/>
      <c r="DQP20" s="51"/>
      <c r="DQQ20" s="51"/>
      <c r="DQR20" s="51"/>
      <c r="DQS20" s="51"/>
      <c r="DQT20" s="51"/>
      <c r="DQU20" s="51"/>
      <c r="DQV20" s="51"/>
      <c r="DQW20" s="51"/>
      <c r="DQX20" s="51"/>
      <c r="DQY20" s="51"/>
      <c r="DQZ20" s="51"/>
      <c r="DRA20" s="51"/>
      <c r="DRB20" s="51"/>
      <c r="DRC20" s="51"/>
      <c r="DRD20" s="51"/>
      <c r="DRE20" s="51"/>
      <c r="DRF20" s="51"/>
      <c r="DRG20" s="51"/>
      <c r="DRH20" s="51"/>
      <c r="DRI20" s="51"/>
      <c r="DRJ20" s="51"/>
      <c r="DRK20" s="51"/>
      <c r="DRL20" s="51"/>
      <c r="DRM20" s="51"/>
      <c r="DRN20" s="51"/>
      <c r="DRO20" s="51"/>
      <c r="DRP20" s="51"/>
      <c r="DRQ20" s="51"/>
      <c r="DRR20" s="51"/>
      <c r="DRS20" s="51"/>
      <c r="DRT20" s="51"/>
      <c r="DRU20" s="51"/>
      <c r="DRV20" s="51"/>
      <c r="DRW20" s="51"/>
      <c r="DRX20" s="51"/>
      <c r="DRY20" s="51"/>
      <c r="DRZ20" s="51"/>
      <c r="DSA20" s="51"/>
      <c r="DSB20" s="51"/>
      <c r="DSC20" s="51"/>
      <c r="DSD20" s="51"/>
      <c r="DSE20" s="51"/>
      <c r="DSF20" s="51"/>
      <c r="DSG20" s="51"/>
      <c r="DSH20" s="51"/>
      <c r="DSI20" s="51"/>
      <c r="DSJ20" s="51"/>
      <c r="DSK20" s="51"/>
      <c r="DSL20" s="51"/>
      <c r="DSM20" s="51"/>
      <c r="DSN20" s="51"/>
      <c r="DSO20" s="51"/>
      <c r="DSP20" s="51"/>
      <c r="DSQ20" s="51"/>
      <c r="DSR20" s="51"/>
      <c r="DSS20" s="51"/>
      <c r="DST20" s="51"/>
      <c r="DSU20" s="51"/>
      <c r="DSV20" s="51"/>
      <c r="DSW20" s="51"/>
      <c r="DSX20" s="51"/>
      <c r="DSY20" s="51"/>
      <c r="DSZ20" s="51"/>
      <c r="DTA20" s="51"/>
      <c r="DTB20" s="51"/>
    </row>
    <row r="21" spans="1:3226" s="51" customFormat="1" ht="21.75" customHeight="1" x14ac:dyDescent="0.3">
      <c r="A21" s="247"/>
      <c r="B21" s="248"/>
      <c r="C21" s="248"/>
      <c r="D21" s="249"/>
      <c r="E21" s="249"/>
      <c r="F21" s="249"/>
      <c r="G21" s="249"/>
      <c r="H21" s="249"/>
      <c r="I21" s="203"/>
      <c r="J21" s="250"/>
      <c r="K21" s="251"/>
      <c r="L21" s="252"/>
      <c r="M21" s="253"/>
      <c r="N21" s="254"/>
      <c r="O21" s="254"/>
      <c r="P21" s="254"/>
      <c r="Q21" s="254"/>
      <c r="R21" s="255"/>
      <c r="S21" s="254"/>
      <c r="T21" s="254"/>
      <c r="U21" s="254"/>
      <c r="V21" s="254"/>
      <c r="W21" s="254"/>
      <c r="X21" s="253"/>
      <c r="Y21" s="253"/>
      <c r="Z21" s="256"/>
      <c r="AA21" s="253"/>
      <c r="AB21" s="253"/>
      <c r="AC21" s="58"/>
    </row>
    <row r="22" spans="1:3226" s="51" customFormat="1" ht="41.25" customHeight="1" thickBot="1" x14ac:dyDescent="0.35">
      <c r="A22" s="302" t="s">
        <v>44</v>
      </c>
      <c r="B22" s="303"/>
      <c r="C22" s="303"/>
      <c r="D22" s="303"/>
      <c r="E22" s="303"/>
      <c r="F22" s="303"/>
      <c r="G22" s="303"/>
      <c r="H22" s="303"/>
      <c r="I22" s="303"/>
      <c r="J22" s="304"/>
      <c r="K22" s="167">
        <f>K8+K12+K14+K16+K19</f>
        <v>76059.41</v>
      </c>
      <c r="L22" s="167">
        <f>L8+L12+L14+L16+L19</f>
        <v>0</v>
      </c>
      <c r="M22" s="167">
        <f>M8+M12+M14+M16+M19</f>
        <v>76205.91</v>
      </c>
      <c r="N22" s="168">
        <f t="shared" ref="N22:W22" si="35">SUM(N9:N20)</f>
        <v>0</v>
      </c>
      <c r="O22" s="168">
        <f t="shared" si="35"/>
        <v>76205.91</v>
      </c>
      <c r="P22" s="168">
        <f t="shared" si="35"/>
        <v>57174.83</v>
      </c>
      <c r="Q22" s="168">
        <f t="shared" si="35"/>
        <v>19031.079999999998</v>
      </c>
      <c r="R22" s="168">
        <f t="shared" si="35"/>
        <v>1.3288000000000002</v>
      </c>
      <c r="S22" s="168">
        <f t="shared" si="35"/>
        <v>3642.8484799999997</v>
      </c>
      <c r="T22" s="168">
        <f t="shared" si="35"/>
        <v>7432.2</v>
      </c>
      <c r="U22" s="168">
        <f t="shared" si="35"/>
        <v>11075.048480000001</v>
      </c>
      <c r="V22" s="168">
        <f t="shared" si="35"/>
        <v>145.35</v>
      </c>
      <c r="W22" s="168">
        <f t="shared" si="35"/>
        <v>10929.7</v>
      </c>
      <c r="X22" s="167">
        <f>X8+X12+X14+X16+X19</f>
        <v>0</v>
      </c>
      <c r="Y22" s="167">
        <f>Y8+Y12+Y14+Y16+Y19</f>
        <v>10902.5</v>
      </c>
      <c r="Z22" s="167">
        <f>Z8+Z12+Z14+Z16+Z19</f>
        <v>3500</v>
      </c>
      <c r="AA22" s="167">
        <f>AA8+AA12+AA14+AA16+AA19</f>
        <v>14402.499999999998</v>
      </c>
      <c r="AB22" s="167">
        <f>AB8+AB12+AB14+AB16+AB19</f>
        <v>61803.41</v>
      </c>
    </row>
    <row r="23" spans="1:3226" s="51" customFormat="1" ht="12" customHeight="1" thickTop="1" x14ac:dyDescent="0.3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</row>
    <row r="24" spans="1:3226" s="51" customFormat="1" ht="12" customHeight="1" x14ac:dyDescent="0.2"/>
    <row r="25" spans="1:3226" s="51" customFormat="1" ht="12" customHeight="1" x14ac:dyDescent="0.2"/>
    <row r="26" spans="1:3226" s="51" customFormat="1" ht="12" customHeight="1" x14ac:dyDescent="0.2"/>
    <row r="27" spans="1:3226" s="51" customFormat="1" ht="12" customHeight="1" x14ac:dyDescent="0.2"/>
    <row r="28" spans="1:3226" s="51" customFormat="1" ht="12" customHeight="1" x14ac:dyDescent="0.2"/>
    <row r="38" spans="13:13" x14ac:dyDescent="0.25">
      <c r="M38" s="4" t="s">
        <v>305</v>
      </c>
    </row>
  </sheetData>
  <mergeCells count="7">
    <mergeCell ref="A22:J22"/>
    <mergeCell ref="A1:AC1"/>
    <mergeCell ref="A2:AC2"/>
    <mergeCell ref="A3:AC3"/>
    <mergeCell ref="K5:M5"/>
    <mergeCell ref="P5:U5"/>
    <mergeCell ref="Y5:AA5"/>
  </mergeCells>
  <pageMargins left="0.27559055118110237" right="0.27559055118110237" top="0.74803149606299213" bottom="0.35433070866141736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C16"/>
  <sheetViews>
    <sheetView topLeftCell="B12" zoomScale="89" zoomScaleNormal="89" workbookViewId="0">
      <selection activeCell="B23" sqref="A23:XFD29"/>
    </sheetView>
  </sheetViews>
  <sheetFormatPr baseColWidth="10" defaultColWidth="11.44140625" defaultRowHeight="13.2" x14ac:dyDescent="0.25"/>
  <cols>
    <col min="1" max="1" width="5.5546875" hidden="1" customWidth="1"/>
    <col min="2" max="2" width="14.109375" customWidth="1"/>
    <col min="3" max="3" width="11.33203125" customWidth="1"/>
    <col min="4" max="4" width="25" customWidth="1"/>
    <col min="5" max="5" width="24.6640625" customWidth="1"/>
    <col min="6" max="6" width="30.88671875" customWidth="1"/>
    <col min="7" max="7" width="16.6640625" customWidth="1"/>
    <col min="8" max="8" width="18" customWidth="1"/>
    <col min="9" max="9" width="6.5546875" hidden="1" customWidth="1"/>
    <col min="10" max="10" width="7.33203125" hidden="1" customWidth="1"/>
    <col min="11" max="11" width="14.5546875" customWidth="1"/>
    <col min="12" max="12" width="10.88671875" customWidth="1"/>
    <col min="13" max="13" width="14.109375" customWidth="1"/>
    <col min="14" max="14" width="13.109375" hidden="1" customWidth="1"/>
    <col min="15" max="15" width="13.88671875" hidden="1" customWidth="1"/>
    <col min="16" max="16" width="13.5546875" hidden="1" customWidth="1"/>
    <col min="17" max="17" width="14" hidden="1" customWidth="1"/>
    <col min="18" max="19" width="13.109375" hidden="1" customWidth="1"/>
    <col min="20" max="20" width="10.5546875" hidden="1" customWidth="1"/>
    <col min="21" max="21" width="13" hidden="1" customWidth="1"/>
    <col min="22" max="22" width="13.109375" hidden="1" customWidth="1"/>
    <col min="23" max="23" width="15.44140625" hidden="1" customWidth="1"/>
    <col min="24" max="24" width="9.6640625" customWidth="1"/>
    <col min="25" max="25" width="14" customWidth="1"/>
    <col min="26" max="26" width="11.6640625" customWidth="1"/>
    <col min="27" max="27" width="12.5546875" customWidth="1"/>
    <col min="28" max="28" width="14.33203125" customWidth="1"/>
    <col min="29" max="29" width="52.33203125" customWidth="1"/>
  </cols>
  <sheetData>
    <row r="1" spans="1:29" ht="17.399999999999999" x14ac:dyDescent="0.3">
      <c r="A1" s="316" t="s">
        <v>78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</row>
    <row r="2" spans="1:29" ht="17.399999999999999" x14ac:dyDescent="0.3">
      <c r="A2" s="316" t="s">
        <v>64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</row>
    <row r="3" spans="1:29" ht="19.8" x14ac:dyDescent="0.3">
      <c r="A3" s="306" t="s">
        <v>477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</row>
    <row r="4" spans="1:29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</row>
    <row r="5" spans="1:29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x14ac:dyDescent="0.25">
      <c r="A6" s="22"/>
      <c r="B6" s="22"/>
      <c r="C6" s="22"/>
      <c r="D6" s="22"/>
      <c r="E6" s="22"/>
      <c r="F6" s="22"/>
      <c r="G6" s="22"/>
      <c r="H6" s="22"/>
      <c r="I6" s="23" t="s">
        <v>22</v>
      </c>
      <c r="J6" s="23" t="s">
        <v>243</v>
      </c>
      <c r="K6" s="317" t="s">
        <v>1</v>
      </c>
      <c r="L6" s="318"/>
      <c r="M6" s="319"/>
      <c r="N6" s="24" t="s">
        <v>25</v>
      </c>
      <c r="O6" s="25"/>
      <c r="P6" s="320" t="s">
        <v>8</v>
      </c>
      <c r="Q6" s="321"/>
      <c r="R6" s="321"/>
      <c r="S6" s="321"/>
      <c r="T6" s="321"/>
      <c r="U6" s="322"/>
      <c r="V6" s="24" t="s">
        <v>29</v>
      </c>
      <c r="W6" s="24" t="s">
        <v>9</v>
      </c>
      <c r="X6" s="23" t="s">
        <v>52</v>
      </c>
      <c r="Y6" s="323" t="s">
        <v>2</v>
      </c>
      <c r="Z6" s="324"/>
      <c r="AA6" s="325"/>
      <c r="AB6" s="23" t="s">
        <v>0</v>
      </c>
      <c r="AC6" s="34"/>
    </row>
    <row r="7" spans="1:29" ht="21" x14ac:dyDescent="0.25">
      <c r="A7" s="26" t="s">
        <v>20</v>
      </c>
      <c r="B7" s="44" t="s">
        <v>101</v>
      </c>
      <c r="C7" s="44" t="s">
        <v>125</v>
      </c>
      <c r="D7" s="26" t="s">
        <v>21</v>
      </c>
      <c r="E7" s="26"/>
      <c r="F7" s="26"/>
      <c r="G7" s="26"/>
      <c r="H7" s="26"/>
      <c r="I7" s="27" t="s">
        <v>23</v>
      </c>
      <c r="J7" s="26" t="s">
        <v>24</v>
      </c>
      <c r="K7" s="23" t="s">
        <v>5</v>
      </c>
      <c r="L7" s="23" t="s">
        <v>58</v>
      </c>
      <c r="M7" s="23" t="s">
        <v>27</v>
      </c>
      <c r="N7" s="28" t="s">
        <v>26</v>
      </c>
      <c r="O7" s="25" t="s">
        <v>31</v>
      </c>
      <c r="P7" s="25" t="s">
        <v>11</v>
      </c>
      <c r="Q7" s="25" t="s">
        <v>33</v>
      </c>
      <c r="R7" s="25" t="s">
        <v>35</v>
      </c>
      <c r="S7" s="25" t="s">
        <v>36</v>
      </c>
      <c r="T7" s="25" t="s">
        <v>13</v>
      </c>
      <c r="U7" s="25" t="s">
        <v>9</v>
      </c>
      <c r="V7" s="28" t="s">
        <v>39</v>
      </c>
      <c r="W7" s="28" t="s">
        <v>40</v>
      </c>
      <c r="X7" s="26" t="s">
        <v>30</v>
      </c>
      <c r="Y7" s="221" t="s">
        <v>433</v>
      </c>
      <c r="Z7" s="23" t="s">
        <v>56</v>
      </c>
      <c r="AA7" s="23" t="s">
        <v>6</v>
      </c>
      <c r="AB7" s="26" t="s">
        <v>3</v>
      </c>
      <c r="AC7" s="36" t="s">
        <v>57</v>
      </c>
    </row>
    <row r="8" spans="1:29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6" t="s">
        <v>46</v>
      </c>
      <c r="L8" s="26" t="s">
        <v>59</v>
      </c>
      <c r="M8" s="26" t="s">
        <v>28</v>
      </c>
      <c r="N8" s="28" t="s">
        <v>42</v>
      </c>
      <c r="O8" s="24" t="s">
        <v>32</v>
      </c>
      <c r="P8" s="24" t="s">
        <v>12</v>
      </c>
      <c r="Q8" s="24" t="s">
        <v>34</v>
      </c>
      <c r="R8" s="24" t="s">
        <v>34</v>
      </c>
      <c r="S8" s="24" t="s">
        <v>37</v>
      </c>
      <c r="T8" s="24" t="s">
        <v>14</v>
      </c>
      <c r="U8" s="24" t="s">
        <v>38</v>
      </c>
      <c r="V8" s="28" t="s">
        <v>18</v>
      </c>
      <c r="W8" s="31" t="s">
        <v>41</v>
      </c>
      <c r="X8" s="26" t="s">
        <v>51</v>
      </c>
      <c r="Y8" s="26"/>
      <c r="Z8" s="26"/>
      <c r="AA8" s="26" t="s">
        <v>43</v>
      </c>
      <c r="AB8" s="26" t="s">
        <v>4</v>
      </c>
      <c r="AC8" s="35"/>
    </row>
    <row r="9" spans="1:29" ht="34.799999999999997" x14ac:dyDescent="0.3">
      <c r="A9" s="26"/>
      <c r="B9" s="204" t="s">
        <v>101</v>
      </c>
      <c r="C9" s="204" t="s">
        <v>133</v>
      </c>
      <c r="D9" s="257" t="s">
        <v>318</v>
      </c>
      <c r="E9" s="223" t="s">
        <v>102</v>
      </c>
      <c r="F9" s="223" t="s">
        <v>326</v>
      </c>
      <c r="G9" s="241" t="s">
        <v>468</v>
      </c>
      <c r="H9" s="223" t="s">
        <v>61</v>
      </c>
      <c r="I9" s="259"/>
      <c r="J9" s="223"/>
      <c r="K9" s="260">
        <f>K10</f>
        <v>10653</v>
      </c>
      <c r="L9" s="260">
        <f>L10</f>
        <v>0</v>
      </c>
      <c r="M9" s="260">
        <f>M10</f>
        <v>10653</v>
      </c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60">
        <f>X10</f>
        <v>0</v>
      </c>
      <c r="Y9" s="260">
        <f>Y10</f>
        <v>1452.42</v>
      </c>
      <c r="Z9" s="260">
        <f>Z10</f>
        <v>0</v>
      </c>
      <c r="AA9" s="260">
        <f>AA10</f>
        <v>1452.42</v>
      </c>
      <c r="AB9" s="260">
        <f>AB10</f>
        <v>9200.58</v>
      </c>
      <c r="AC9" s="134"/>
    </row>
    <row r="10" spans="1:29" ht="133.5" customHeight="1" x14ac:dyDescent="0.35">
      <c r="A10" s="258"/>
      <c r="B10" s="174">
        <v>161</v>
      </c>
      <c r="C10" s="152" t="s">
        <v>124</v>
      </c>
      <c r="D10" s="227" t="s">
        <v>319</v>
      </c>
      <c r="E10" s="154" t="s">
        <v>320</v>
      </c>
      <c r="F10" s="154" t="s">
        <v>344</v>
      </c>
      <c r="G10" s="232">
        <v>43374</v>
      </c>
      <c r="H10" s="155" t="s">
        <v>321</v>
      </c>
      <c r="I10" s="175">
        <v>15</v>
      </c>
      <c r="J10" s="176">
        <f>K10/I10</f>
        <v>710.2</v>
      </c>
      <c r="K10" s="158">
        <v>10653</v>
      </c>
      <c r="L10" s="159">
        <v>0</v>
      </c>
      <c r="M10" s="160">
        <f>K10</f>
        <v>10653</v>
      </c>
      <c r="N10" s="161">
        <f>IF(K10/15&lt;=SMG,0,L10/2)</f>
        <v>0</v>
      </c>
      <c r="O10" s="161">
        <f t="shared" ref="O10" si="0">K10+N10</f>
        <v>10653</v>
      </c>
      <c r="P10" s="161">
        <f>VLOOKUP(O10,Tarifa1,1)</f>
        <v>7641.91</v>
      </c>
      <c r="Q10" s="161">
        <f t="shared" ref="Q10" si="1">O10-P10</f>
        <v>3011.09</v>
      </c>
      <c r="R10" s="162">
        <f>VLOOKUP(O10,Tarifa1,3)</f>
        <v>0.21360000000000001</v>
      </c>
      <c r="S10" s="161">
        <f t="shared" ref="S10" si="2">Q10*R10</f>
        <v>643.16882400000009</v>
      </c>
      <c r="T10" s="163">
        <f>VLOOKUP(O10,Tarifa1,2)</f>
        <v>809.25</v>
      </c>
      <c r="U10" s="161">
        <f t="shared" ref="U10" si="3">S10+T10</f>
        <v>1452.4188240000001</v>
      </c>
      <c r="V10" s="161">
        <f>VLOOKUP(O10,Credito1,2)</f>
        <v>0</v>
      </c>
      <c r="W10" s="161">
        <f t="shared" ref="W10" si="4">ROUND(U10-V10,2)</f>
        <v>1452.42</v>
      </c>
      <c r="X10" s="160">
        <f t="shared" ref="X10" si="5">-IF(W10&gt;0,0,W10)</f>
        <v>0</v>
      </c>
      <c r="Y10" s="160">
        <f>IF(K10/15&lt;=SMG,0,IF(W10&lt;0,0,W10))</f>
        <v>1452.42</v>
      </c>
      <c r="Z10" s="164">
        <v>0</v>
      </c>
      <c r="AA10" s="160">
        <f>SUM(Y10:Z10)</f>
        <v>1452.42</v>
      </c>
      <c r="AB10" s="160">
        <f>M10+X10-AA10</f>
        <v>9200.58</v>
      </c>
      <c r="AC10" s="110"/>
    </row>
    <row r="11" spans="1:29" ht="52.5" customHeight="1" x14ac:dyDescent="0.3">
      <c r="A11" s="223"/>
      <c r="B11" s="204" t="s">
        <v>101</v>
      </c>
      <c r="C11" s="204" t="s">
        <v>133</v>
      </c>
      <c r="D11" s="257" t="s">
        <v>135</v>
      </c>
      <c r="E11" s="223" t="s">
        <v>102</v>
      </c>
      <c r="F11" s="223"/>
      <c r="G11" s="246"/>
      <c r="H11" s="223" t="s">
        <v>61</v>
      </c>
      <c r="I11" s="259"/>
      <c r="J11" s="223"/>
      <c r="K11" s="260">
        <f>K12</f>
        <v>7823</v>
      </c>
      <c r="L11" s="260">
        <f>L12</f>
        <v>0</v>
      </c>
      <c r="M11" s="260">
        <f>M12</f>
        <v>7823</v>
      </c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60">
        <f>X12</f>
        <v>0</v>
      </c>
      <c r="Y11" s="260">
        <f>Y12</f>
        <v>847.93</v>
      </c>
      <c r="Z11" s="260">
        <f>Z12</f>
        <v>0</v>
      </c>
      <c r="AA11" s="260">
        <f>AA12</f>
        <v>847.93</v>
      </c>
      <c r="AB11" s="260">
        <f>AB12</f>
        <v>6975.07</v>
      </c>
      <c r="AC11" s="261"/>
    </row>
    <row r="12" spans="1:29" ht="132.75" customHeight="1" x14ac:dyDescent="0.35">
      <c r="A12" s="180"/>
      <c r="B12" s="152" t="s">
        <v>314</v>
      </c>
      <c r="C12" s="153" t="s">
        <v>124</v>
      </c>
      <c r="D12" s="227" t="s">
        <v>315</v>
      </c>
      <c r="E12" s="154" t="s">
        <v>316</v>
      </c>
      <c r="F12" s="154" t="s">
        <v>367</v>
      </c>
      <c r="G12" s="232">
        <v>44487</v>
      </c>
      <c r="H12" s="155" t="s">
        <v>317</v>
      </c>
      <c r="I12" s="156">
        <v>13</v>
      </c>
      <c r="J12" s="157">
        <f t="shared" ref="J12" si="6">K12/I12</f>
        <v>601.76923076923072</v>
      </c>
      <c r="K12" s="158">
        <v>7823</v>
      </c>
      <c r="L12" s="159">
        <v>0</v>
      </c>
      <c r="M12" s="160">
        <f t="shared" ref="M12" si="7">SUM(K12:L12)</f>
        <v>7823</v>
      </c>
      <c r="N12" s="161">
        <f t="shared" ref="N12" si="8">IF(K12/15&lt;=SMG,0,L12/2)</f>
        <v>0</v>
      </c>
      <c r="O12" s="161">
        <f t="shared" ref="O12" si="9">K12+N12</f>
        <v>7823</v>
      </c>
      <c r="P12" s="161">
        <f t="shared" ref="P12" si="10">VLOOKUP(O12,Tarifa1,1)</f>
        <v>7641.91</v>
      </c>
      <c r="Q12" s="161">
        <f t="shared" ref="Q12" si="11">O12-P12</f>
        <v>181.09000000000015</v>
      </c>
      <c r="R12" s="162">
        <f t="shared" ref="R12" si="12">VLOOKUP(O12,Tarifa1,3)</f>
        <v>0.21360000000000001</v>
      </c>
      <c r="S12" s="161">
        <f t="shared" ref="S12" si="13">Q12*R12</f>
        <v>38.680824000000037</v>
      </c>
      <c r="T12" s="163">
        <f t="shared" ref="T12" si="14">VLOOKUP(O12,Tarifa1,2)</f>
        <v>809.25</v>
      </c>
      <c r="U12" s="161">
        <f t="shared" ref="U12" si="15">S12+T12</f>
        <v>847.93082400000003</v>
      </c>
      <c r="V12" s="161">
        <f t="shared" ref="V12" si="16">VLOOKUP(O12,Credito1,2)</f>
        <v>0</v>
      </c>
      <c r="W12" s="161">
        <f t="shared" ref="W12" si="17">ROUND(U12-V12,2)</f>
        <v>847.93</v>
      </c>
      <c r="X12" s="160">
        <f t="shared" ref="X12" si="18">-IF(W12&gt;0,0,W12)</f>
        <v>0</v>
      </c>
      <c r="Y12" s="160">
        <f t="shared" ref="Y12" si="19">IF(K12/15&lt;=SMG,0,IF(W12&lt;0,0,W12))</f>
        <v>847.93</v>
      </c>
      <c r="Z12" s="164">
        <v>0</v>
      </c>
      <c r="AA12" s="160">
        <f t="shared" ref="AA12" si="20">SUM(Y12:Z12)</f>
        <v>847.93</v>
      </c>
      <c r="AB12" s="160">
        <f t="shared" ref="AB12" si="21">M12+X12-AA12</f>
        <v>6975.07</v>
      </c>
      <c r="AC12" s="110"/>
    </row>
    <row r="13" spans="1:29" ht="53.25" customHeight="1" x14ac:dyDescent="0.3">
      <c r="A13" s="180"/>
      <c r="B13" s="204" t="s">
        <v>101</v>
      </c>
      <c r="C13" s="204" t="s">
        <v>133</v>
      </c>
      <c r="D13" s="242" t="s">
        <v>76</v>
      </c>
      <c r="E13" s="223" t="s">
        <v>102</v>
      </c>
      <c r="F13" s="223" t="s">
        <v>326</v>
      </c>
      <c r="G13" s="246"/>
      <c r="H13" s="223" t="s">
        <v>61</v>
      </c>
      <c r="I13" s="223"/>
      <c r="J13" s="223"/>
      <c r="K13" s="260">
        <f>SUM(K14)</f>
        <v>12093</v>
      </c>
      <c r="L13" s="260">
        <f>SUM(L14)</f>
        <v>0</v>
      </c>
      <c r="M13" s="260">
        <f>SUM(M14)</f>
        <v>12093</v>
      </c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60">
        <f>SUM(X14)</f>
        <v>0</v>
      </c>
      <c r="Y13" s="260">
        <f>SUM(Y14)</f>
        <v>1760</v>
      </c>
      <c r="Z13" s="260">
        <f>SUM(Z14)</f>
        <v>0</v>
      </c>
      <c r="AA13" s="260">
        <f>SUM(AA14)</f>
        <v>1760</v>
      </c>
      <c r="AB13" s="260">
        <f>SUM(AB14)</f>
        <v>10333</v>
      </c>
      <c r="AC13" s="261"/>
    </row>
    <row r="14" spans="1:29" ht="132.75" customHeight="1" x14ac:dyDescent="0.35">
      <c r="A14" s="180"/>
      <c r="B14" s="174">
        <v>290</v>
      </c>
      <c r="C14" s="152" t="s">
        <v>124</v>
      </c>
      <c r="D14" s="227" t="s">
        <v>324</v>
      </c>
      <c r="E14" s="154" t="s">
        <v>325</v>
      </c>
      <c r="F14" s="154" t="s">
        <v>383</v>
      </c>
      <c r="G14" s="232">
        <v>44593</v>
      </c>
      <c r="H14" s="154" t="s">
        <v>76</v>
      </c>
      <c r="I14" s="175">
        <v>15</v>
      </c>
      <c r="J14" s="176">
        <f>K14/I14</f>
        <v>806.2</v>
      </c>
      <c r="K14" s="177">
        <v>12093</v>
      </c>
      <c r="L14" s="178">
        <v>0</v>
      </c>
      <c r="M14" s="179">
        <f>SUM(K14:L14)</f>
        <v>12093</v>
      </c>
      <c r="N14" s="161">
        <f>IF(K14/15&lt;=SMG,0,L14/2)</f>
        <v>0</v>
      </c>
      <c r="O14" s="161">
        <f>K14+N14</f>
        <v>12093</v>
      </c>
      <c r="P14" s="161">
        <f>VLOOKUP(O14,Tarifa1,1)</f>
        <v>7641.91</v>
      </c>
      <c r="Q14" s="161">
        <f>O14-P14</f>
        <v>4451.09</v>
      </c>
      <c r="R14" s="162">
        <f>VLOOKUP(O14,Tarifa1,3)</f>
        <v>0.21360000000000001</v>
      </c>
      <c r="S14" s="161">
        <f>Q14*R14</f>
        <v>950.75282400000003</v>
      </c>
      <c r="T14" s="163">
        <f>VLOOKUP(O14,Tarifa1,2)</f>
        <v>809.25</v>
      </c>
      <c r="U14" s="161">
        <f>S14+T14</f>
        <v>1760.0028240000001</v>
      </c>
      <c r="V14" s="161">
        <f>VLOOKUP(O14,Credito1,2)</f>
        <v>0</v>
      </c>
      <c r="W14" s="161">
        <f>ROUND(U14-V14,2)</f>
        <v>1760</v>
      </c>
      <c r="X14" s="160">
        <f>-IF(W14&gt;0,0,W14)</f>
        <v>0</v>
      </c>
      <c r="Y14" s="160">
        <f>IF(K14/15&lt;=SMG,0,IF(W14&lt;0,0,W14))</f>
        <v>1760</v>
      </c>
      <c r="Z14" s="164">
        <v>0</v>
      </c>
      <c r="AA14" s="160">
        <f>SUM(Y14:Z14)</f>
        <v>1760</v>
      </c>
      <c r="AB14" s="160">
        <f>M14+X14-AA14</f>
        <v>10333</v>
      </c>
      <c r="AC14" s="110"/>
    </row>
    <row r="15" spans="1:29" ht="40.5" customHeight="1" thickBot="1" x14ac:dyDescent="0.35">
      <c r="A15" s="302" t="s">
        <v>44</v>
      </c>
      <c r="B15" s="303"/>
      <c r="C15" s="303"/>
      <c r="D15" s="303"/>
      <c r="E15" s="303"/>
      <c r="F15" s="303"/>
      <c r="G15" s="303"/>
      <c r="H15" s="303"/>
      <c r="I15" s="303"/>
      <c r="J15" s="304"/>
      <c r="K15" s="220">
        <f>K9+K11+K13</f>
        <v>30569</v>
      </c>
      <c r="L15" s="220">
        <f>L9+L11+L13</f>
        <v>0</v>
      </c>
      <c r="M15" s="220">
        <f>M9+M11+M13</f>
        <v>30569</v>
      </c>
      <c r="N15" s="168">
        <f t="shared" ref="N15:W15" si="22">SUM(N12:N12)</f>
        <v>0</v>
      </c>
      <c r="O15" s="168">
        <f t="shared" si="22"/>
        <v>7823</v>
      </c>
      <c r="P15" s="168">
        <f t="shared" si="22"/>
        <v>7641.91</v>
      </c>
      <c r="Q15" s="168">
        <f t="shared" si="22"/>
        <v>181.09000000000015</v>
      </c>
      <c r="R15" s="168">
        <f t="shared" si="22"/>
        <v>0.21360000000000001</v>
      </c>
      <c r="S15" s="168">
        <f t="shared" si="22"/>
        <v>38.680824000000037</v>
      </c>
      <c r="T15" s="168">
        <f t="shared" si="22"/>
        <v>809.25</v>
      </c>
      <c r="U15" s="168">
        <f t="shared" si="22"/>
        <v>847.93082400000003</v>
      </c>
      <c r="V15" s="168">
        <f t="shared" si="22"/>
        <v>0</v>
      </c>
      <c r="W15" s="168">
        <f t="shared" si="22"/>
        <v>847.93</v>
      </c>
      <c r="X15" s="220">
        <f>X9+X11+X13</f>
        <v>0</v>
      </c>
      <c r="Y15" s="220">
        <f>Y9+Y11+Y13</f>
        <v>4060.35</v>
      </c>
      <c r="Z15" s="220">
        <f>Z9+Z11+Z13</f>
        <v>0</v>
      </c>
      <c r="AA15" s="220">
        <f>AA9+AA11+AA13</f>
        <v>4060.35</v>
      </c>
      <c r="AB15" s="220">
        <f>AB9+AB11+AB13</f>
        <v>26508.65</v>
      </c>
      <c r="AC15" s="111"/>
    </row>
    <row r="16" spans="1:29" ht="13.8" thickTop="1" x14ac:dyDescent="0.25"/>
  </sheetData>
  <mergeCells count="7">
    <mergeCell ref="A15:J15"/>
    <mergeCell ref="A1:AC1"/>
    <mergeCell ref="A2:AC2"/>
    <mergeCell ref="A3:AC3"/>
    <mergeCell ref="K6:M6"/>
    <mergeCell ref="P6:U6"/>
    <mergeCell ref="Y6:AA6"/>
  </mergeCells>
  <pageMargins left="0.27559055118110237" right="0.27559055118110237" top="0.7480314960629921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topLeftCell="B26" zoomScale="66" zoomScaleNormal="66" workbookViewId="0">
      <selection activeCell="B30" sqref="A30:XFD38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25.6640625" customWidth="1"/>
    <col min="5" max="5" width="23.44140625" customWidth="1"/>
    <col min="6" max="6" width="31.88671875" customWidth="1"/>
    <col min="7" max="7" width="17.88671875" customWidth="1"/>
    <col min="8" max="8" width="31.109375" customWidth="1"/>
    <col min="9" max="9" width="6.5546875" hidden="1" customWidth="1"/>
    <col min="10" max="10" width="10" hidden="1" customWidth="1"/>
    <col min="11" max="11" width="16.88671875" customWidth="1"/>
    <col min="12" max="12" width="13.44140625" customWidth="1"/>
    <col min="13" max="13" width="17" customWidth="1"/>
    <col min="14" max="14" width="13.109375" hidden="1" customWidth="1"/>
    <col min="15" max="15" width="15.109375" hidden="1" customWidth="1"/>
    <col min="16" max="16" width="14" hidden="1" customWidth="1"/>
    <col min="17" max="17" width="14.5546875" hidden="1" customWidth="1"/>
    <col min="18" max="19" width="13.109375" hidden="1" customWidth="1"/>
    <col min="20" max="21" width="14.33203125" hidden="1" customWidth="1"/>
    <col min="22" max="23" width="13.109375" hidden="1" customWidth="1"/>
    <col min="24" max="24" width="9.6640625" customWidth="1"/>
    <col min="25" max="25" width="14.44140625" customWidth="1"/>
    <col min="26" max="27" width="13.6640625" customWidth="1"/>
    <col min="28" max="28" width="17" customWidth="1"/>
    <col min="29" max="29" width="84.44140625" customWidth="1"/>
    <col min="30" max="30" width="1.44140625" customWidth="1"/>
  </cols>
  <sheetData>
    <row r="1" spans="1:35" ht="19.8" x14ac:dyDescent="0.3">
      <c r="A1" s="305" t="s">
        <v>78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</row>
    <row r="2" spans="1:35" ht="19.8" x14ac:dyDescent="0.3">
      <c r="A2" s="305" t="s">
        <v>64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</row>
    <row r="3" spans="1:35" ht="19.8" x14ac:dyDescent="0.3">
      <c r="A3" s="306" t="s">
        <v>477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</row>
    <row r="4" spans="1:35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</row>
    <row r="5" spans="1:35" s="51" customFormat="1" ht="12.75" customHeight="1" x14ac:dyDescent="0.25">
      <c r="A5" s="47"/>
      <c r="B5" s="47"/>
      <c r="C5" s="326" t="s">
        <v>125</v>
      </c>
      <c r="D5" s="47"/>
      <c r="E5" s="47"/>
      <c r="F5" s="47"/>
      <c r="G5" s="47"/>
      <c r="H5" s="47"/>
      <c r="I5" s="48" t="s">
        <v>22</v>
      </c>
      <c r="J5" s="48" t="s">
        <v>5</v>
      </c>
      <c r="K5" s="329" t="s">
        <v>1</v>
      </c>
      <c r="L5" s="330"/>
      <c r="M5" s="331"/>
      <c r="N5" s="49" t="s">
        <v>25</v>
      </c>
      <c r="O5" s="50"/>
      <c r="P5" s="332" t="s">
        <v>8</v>
      </c>
      <c r="Q5" s="333"/>
      <c r="R5" s="333"/>
      <c r="S5" s="333"/>
      <c r="T5" s="333"/>
      <c r="U5" s="334"/>
      <c r="V5" s="49" t="s">
        <v>29</v>
      </c>
      <c r="W5" s="49" t="s">
        <v>9</v>
      </c>
      <c r="X5" s="48" t="s">
        <v>52</v>
      </c>
      <c r="Y5" s="335" t="s">
        <v>2</v>
      </c>
      <c r="Z5" s="336"/>
      <c r="AA5" s="337"/>
      <c r="AB5" s="48" t="s">
        <v>0</v>
      </c>
      <c r="AC5" s="47"/>
    </row>
    <row r="6" spans="1:35" s="51" customFormat="1" ht="24" x14ac:dyDescent="0.25">
      <c r="A6" s="52" t="s">
        <v>20</v>
      </c>
      <c r="B6" s="46" t="s">
        <v>101</v>
      </c>
      <c r="C6" s="327"/>
      <c r="D6" s="52" t="s">
        <v>21</v>
      </c>
      <c r="E6" s="52"/>
      <c r="F6" s="52"/>
      <c r="G6" s="52"/>
      <c r="H6" s="52"/>
      <c r="I6" s="53" t="s">
        <v>23</v>
      </c>
      <c r="J6" s="52" t="s">
        <v>24</v>
      </c>
      <c r="K6" s="48" t="s">
        <v>5</v>
      </c>
      <c r="L6" s="48" t="s">
        <v>58</v>
      </c>
      <c r="M6" s="48" t="s">
        <v>27</v>
      </c>
      <c r="N6" s="54" t="s">
        <v>26</v>
      </c>
      <c r="O6" s="50" t="s">
        <v>31</v>
      </c>
      <c r="P6" s="50" t="s">
        <v>11</v>
      </c>
      <c r="Q6" s="50" t="s">
        <v>33</v>
      </c>
      <c r="R6" s="50" t="s">
        <v>35</v>
      </c>
      <c r="S6" s="50" t="s">
        <v>36</v>
      </c>
      <c r="T6" s="50" t="s">
        <v>13</v>
      </c>
      <c r="U6" s="50" t="s">
        <v>9</v>
      </c>
      <c r="V6" s="54" t="s">
        <v>39</v>
      </c>
      <c r="W6" s="54" t="s">
        <v>40</v>
      </c>
      <c r="X6" s="52" t="s">
        <v>30</v>
      </c>
      <c r="Y6" s="48" t="s">
        <v>433</v>
      </c>
      <c r="Z6" s="48" t="s">
        <v>56</v>
      </c>
      <c r="AA6" s="48" t="s">
        <v>6</v>
      </c>
      <c r="AB6" s="52" t="s">
        <v>3</v>
      </c>
      <c r="AC6" s="52" t="s">
        <v>57</v>
      </c>
    </row>
    <row r="7" spans="1:35" s="51" customFormat="1" ht="12" x14ac:dyDescent="0.25">
      <c r="A7" s="60"/>
      <c r="B7" s="60"/>
      <c r="C7" s="328"/>
      <c r="D7" s="60"/>
      <c r="E7" s="60"/>
      <c r="F7" s="60"/>
      <c r="G7" s="60"/>
      <c r="H7" s="60"/>
      <c r="I7" s="60"/>
      <c r="J7" s="60"/>
      <c r="K7" s="60" t="s">
        <v>46</v>
      </c>
      <c r="L7" s="60" t="s">
        <v>59</v>
      </c>
      <c r="M7" s="60" t="s">
        <v>28</v>
      </c>
      <c r="N7" s="61" t="s">
        <v>42</v>
      </c>
      <c r="O7" s="49" t="s">
        <v>32</v>
      </c>
      <c r="P7" s="49" t="s">
        <v>12</v>
      </c>
      <c r="Q7" s="49" t="s">
        <v>34</v>
      </c>
      <c r="R7" s="49" t="s">
        <v>34</v>
      </c>
      <c r="S7" s="49" t="s">
        <v>37</v>
      </c>
      <c r="T7" s="49" t="s">
        <v>14</v>
      </c>
      <c r="U7" s="49" t="s">
        <v>38</v>
      </c>
      <c r="V7" s="54" t="s">
        <v>18</v>
      </c>
      <c r="W7" s="55" t="s">
        <v>134</v>
      </c>
      <c r="X7" s="60" t="s">
        <v>51</v>
      </c>
      <c r="Y7" s="60"/>
      <c r="Z7" s="60"/>
      <c r="AA7" s="60" t="s">
        <v>43</v>
      </c>
      <c r="AB7" s="60" t="s">
        <v>4</v>
      </c>
      <c r="AC7" s="57"/>
    </row>
    <row r="8" spans="1:35" s="51" customFormat="1" ht="35.25" customHeight="1" x14ac:dyDescent="0.3">
      <c r="A8" s="62"/>
      <c r="B8" s="132"/>
      <c r="C8" s="132"/>
      <c r="D8" s="131" t="s">
        <v>68</v>
      </c>
      <c r="E8" s="132" t="s">
        <v>102</v>
      </c>
      <c r="F8" s="132" t="s">
        <v>326</v>
      </c>
      <c r="G8" s="130" t="s">
        <v>468</v>
      </c>
      <c r="H8" s="132" t="s">
        <v>61</v>
      </c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3"/>
      <c r="X8" s="132"/>
      <c r="Y8" s="132"/>
      <c r="Z8" s="132"/>
      <c r="AA8" s="132"/>
      <c r="AB8" s="132"/>
      <c r="AC8" s="63"/>
    </row>
    <row r="9" spans="1:35" s="93" customFormat="1" ht="173.25" customHeight="1" x14ac:dyDescent="0.35">
      <c r="A9" s="109" t="s">
        <v>85</v>
      </c>
      <c r="B9" s="152" t="s">
        <v>203</v>
      </c>
      <c r="C9" s="153" t="s">
        <v>124</v>
      </c>
      <c r="D9" s="227" t="s">
        <v>195</v>
      </c>
      <c r="E9" s="154" t="s">
        <v>201</v>
      </c>
      <c r="F9" s="154" t="s">
        <v>353</v>
      </c>
      <c r="G9" s="232">
        <v>43512</v>
      </c>
      <c r="H9" s="155" t="s">
        <v>469</v>
      </c>
      <c r="I9" s="156">
        <v>15</v>
      </c>
      <c r="J9" s="157">
        <f t="shared" ref="J9:J10" si="0">K9/I9</f>
        <v>757.26666666666665</v>
      </c>
      <c r="K9" s="158">
        <v>11359</v>
      </c>
      <c r="L9" s="159">
        <v>0</v>
      </c>
      <c r="M9" s="160">
        <f>SUM(K9:L9)</f>
        <v>11359</v>
      </c>
      <c r="N9" s="161">
        <f>IF(K9/15&lt;=SMG,0,L9/2)</f>
        <v>0</v>
      </c>
      <c r="O9" s="161">
        <f t="shared" ref="O9" si="1">K9+N9</f>
        <v>11359</v>
      </c>
      <c r="P9" s="161">
        <f t="shared" ref="P9" si="2">VLOOKUP(O9,Tarifa1,1)</f>
        <v>7641.91</v>
      </c>
      <c r="Q9" s="161">
        <f t="shared" ref="Q9" si="3">O9-P9</f>
        <v>3717.09</v>
      </c>
      <c r="R9" s="162">
        <f t="shared" ref="R9" si="4">VLOOKUP(O9,Tarifa1,3)</f>
        <v>0.21360000000000001</v>
      </c>
      <c r="S9" s="161">
        <f t="shared" ref="S9" si="5">Q9*R9</f>
        <v>793.97042400000009</v>
      </c>
      <c r="T9" s="163">
        <f t="shared" ref="T9" si="6">VLOOKUP(O9,Tarifa1,2)</f>
        <v>809.25</v>
      </c>
      <c r="U9" s="161">
        <f t="shared" ref="U9" si="7">S9+T9</f>
        <v>1603.2204240000001</v>
      </c>
      <c r="V9" s="161">
        <f t="shared" ref="V9" si="8">VLOOKUP(O9,Credito1,2)</f>
        <v>0</v>
      </c>
      <c r="W9" s="161">
        <f t="shared" ref="W9" si="9">ROUND(U9-V9,2)</f>
        <v>1603.22</v>
      </c>
      <c r="X9" s="160">
        <f t="shared" ref="X9" si="10">-IF(W9&gt;0,0,W9)</f>
        <v>0</v>
      </c>
      <c r="Y9" s="160">
        <f t="shared" ref="Y9" si="11">IF(K9/15&lt;=SMG,0,IF(W9&lt;0,0,W9))</f>
        <v>1603.22</v>
      </c>
      <c r="Z9" s="164">
        <v>0</v>
      </c>
      <c r="AA9" s="160">
        <f t="shared" ref="AA9:AA14" si="12">SUM(Y9:Z9)</f>
        <v>1603.22</v>
      </c>
      <c r="AB9" s="160">
        <f t="shared" ref="AB9" si="13">M9+X9-AA9</f>
        <v>9755.7800000000007</v>
      </c>
      <c r="AC9" s="110"/>
      <c r="AD9" s="95"/>
      <c r="AI9" s="96"/>
    </row>
    <row r="10" spans="1:35" s="93" customFormat="1" ht="173.25" customHeight="1" x14ac:dyDescent="0.35">
      <c r="A10" s="109"/>
      <c r="B10" s="153" t="s">
        <v>232</v>
      </c>
      <c r="C10" s="153" t="s">
        <v>124</v>
      </c>
      <c r="D10" s="227" t="s">
        <v>233</v>
      </c>
      <c r="E10" s="154" t="s">
        <v>234</v>
      </c>
      <c r="F10" s="154" t="s">
        <v>364</v>
      </c>
      <c r="G10" s="232">
        <v>43983</v>
      </c>
      <c r="H10" s="155" t="s">
        <v>386</v>
      </c>
      <c r="I10" s="156">
        <v>15</v>
      </c>
      <c r="J10" s="157">
        <f t="shared" si="0"/>
        <v>757.26666666666665</v>
      </c>
      <c r="K10" s="158">
        <v>11359</v>
      </c>
      <c r="L10" s="159">
        <v>0</v>
      </c>
      <c r="M10" s="160">
        <f>SUM(K10:L10)</f>
        <v>11359</v>
      </c>
      <c r="N10" s="161">
        <f>IF(K10/15&lt;=SMG,0,L10/2)</f>
        <v>0</v>
      </c>
      <c r="O10" s="161">
        <f t="shared" ref="O10:O15" si="14">K10+N10</f>
        <v>11359</v>
      </c>
      <c r="P10" s="161">
        <f t="shared" ref="P10:P15" si="15">VLOOKUP(O10,Tarifa1,1)</f>
        <v>7641.91</v>
      </c>
      <c r="Q10" s="161">
        <f t="shared" ref="Q10:Q15" si="16">O10-P10</f>
        <v>3717.09</v>
      </c>
      <c r="R10" s="162">
        <f t="shared" ref="R10:R15" si="17">VLOOKUP(O10,Tarifa1,3)</f>
        <v>0.21360000000000001</v>
      </c>
      <c r="S10" s="161">
        <f t="shared" ref="S10:S15" si="18">Q10*R10</f>
        <v>793.97042400000009</v>
      </c>
      <c r="T10" s="163">
        <f t="shared" ref="T10:T15" si="19">VLOOKUP(O10,Tarifa1,2)</f>
        <v>809.25</v>
      </c>
      <c r="U10" s="161">
        <f t="shared" ref="U10:U15" si="20">S10+T10</f>
        <v>1603.2204240000001</v>
      </c>
      <c r="V10" s="161">
        <f t="shared" ref="V10:V15" si="21">VLOOKUP(O10,Credito1,2)</f>
        <v>0</v>
      </c>
      <c r="W10" s="161">
        <f t="shared" ref="W10:W15" si="22">ROUND(U10-V10,2)</f>
        <v>1603.22</v>
      </c>
      <c r="X10" s="160">
        <f t="shared" ref="X10:X15" si="23">-IF(W10&gt;0,0,W10)</f>
        <v>0</v>
      </c>
      <c r="Y10" s="160">
        <f t="shared" ref="Y10:Y15" si="24">IF(K10/15&lt;=SMG,0,IF(W10&lt;0,0,W10))</f>
        <v>1603.22</v>
      </c>
      <c r="Z10" s="164">
        <v>0</v>
      </c>
      <c r="AA10" s="160">
        <f t="shared" si="12"/>
        <v>1603.22</v>
      </c>
      <c r="AB10" s="160">
        <f t="shared" ref="AB10" si="25">M10+X10-AA10</f>
        <v>9755.7800000000007</v>
      </c>
      <c r="AC10" s="110"/>
      <c r="AD10" s="95"/>
      <c r="AI10" s="96"/>
    </row>
    <row r="11" spans="1:35" s="93" customFormat="1" ht="173.25" customHeight="1" x14ac:dyDescent="0.35">
      <c r="A11" s="109"/>
      <c r="B11" s="153" t="s">
        <v>424</v>
      </c>
      <c r="C11" s="153" t="s">
        <v>124</v>
      </c>
      <c r="D11" s="227" t="s">
        <v>428</v>
      </c>
      <c r="E11" s="154" t="s">
        <v>427</v>
      </c>
      <c r="F11" s="154" t="s">
        <v>425</v>
      </c>
      <c r="G11" s="232">
        <v>44866</v>
      </c>
      <c r="H11" s="155" t="s">
        <v>426</v>
      </c>
      <c r="I11" s="156"/>
      <c r="J11" s="157"/>
      <c r="K11" s="158">
        <v>4467</v>
      </c>
      <c r="L11" s="159">
        <v>0</v>
      </c>
      <c r="M11" s="160">
        <f>SUM(K11:L11)</f>
        <v>4467</v>
      </c>
      <c r="N11" s="161">
        <f>IF(K11/15&lt;=SMG,0,L11/2)</f>
        <v>0</v>
      </c>
      <c r="O11" s="161">
        <f t="shared" si="14"/>
        <v>4467</v>
      </c>
      <c r="P11" s="161">
        <f t="shared" si="15"/>
        <v>3124.36</v>
      </c>
      <c r="Q11" s="161">
        <f t="shared" si="16"/>
        <v>1342.6399999999999</v>
      </c>
      <c r="R11" s="162">
        <f t="shared" si="17"/>
        <v>0.10879999999999999</v>
      </c>
      <c r="S11" s="161">
        <f t="shared" si="18"/>
        <v>146.07923199999999</v>
      </c>
      <c r="T11" s="163">
        <f t="shared" si="19"/>
        <v>183.45</v>
      </c>
      <c r="U11" s="161">
        <f t="shared" si="20"/>
        <v>329.52923199999998</v>
      </c>
      <c r="V11" s="161">
        <f t="shared" si="21"/>
        <v>0</v>
      </c>
      <c r="W11" s="161">
        <f t="shared" si="22"/>
        <v>329.53</v>
      </c>
      <c r="X11" s="160">
        <f t="shared" si="23"/>
        <v>0</v>
      </c>
      <c r="Y11" s="160">
        <f t="shared" si="24"/>
        <v>329.53</v>
      </c>
      <c r="Z11" s="164">
        <v>0</v>
      </c>
      <c r="AA11" s="160">
        <f t="shared" si="12"/>
        <v>329.53</v>
      </c>
      <c r="AB11" s="160">
        <f>M11+X11-AA11</f>
        <v>4137.47</v>
      </c>
      <c r="AC11" s="110"/>
      <c r="AD11" s="95"/>
      <c r="AI11" s="96"/>
    </row>
    <row r="12" spans="1:35" s="93" customFormat="1" ht="173.25" customHeight="1" x14ac:dyDescent="0.35">
      <c r="A12" s="109"/>
      <c r="B12" s="152" t="s">
        <v>239</v>
      </c>
      <c r="C12" s="152" t="s">
        <v>124</v>
      </c>
      <c r="D12" s="229" t="s">
        <v>238</v>
      </c>
      <c r="E12" s="170" t="s">
        <v>242</v>
      </c>
      <c r="F12" s="170" t="s">
        <v>366</v>
      </c>
      <c r="G12" s="236">
        <v>44470</v>
      </c>
      <c r="H12" s="155" t="s">
        <v>67</v>
      </c>
      <c r="I12" s="156">
        <v>15</v>
      </c>
      <c r="J12" s="157"/>
      <c r="K12" s="158">
        <v>6253</v>
      </c>
      <c r="L12" s="159">
        <v>1250.6099999999999</v>
      </c>
      <c r="M12" s="158">
        <f>K12</f>
        <v>6253</v>
      </c>
      <c r="N12" s="161">
        <f t="shared" ref="N12" si="26">IF(K12/15&lt;=SMG,0,L12/2)</f>
        <v>625.30499999999995</v>
      </c>
      <c r="O12" s="161">
        <f t="shared" si="14"/>
        <v>6878.3050000000003</v>
      </c>
      <c r="P12" s="161">
        <f t="shared" si="15"/>
        <v>6382.81</v>
      </c>
      <c r="Q12" s="161">
        <f t="shared" si="16"/>
        <v>495.49499999999989</v>
      </c>
      <c r="R12" s="162">
        <f t="shared" si="17"/>
        <v>0.1792</v>
      </c>
      <c r="S12" s="161">
        <f t="shared" si="18"/>
        <v>88.792703999999986</v>
      </c>
      <c r="T12" s="163">
        <f t="shared" si="19"/>
        <v>583.65</v>
      </c>
      <c r="U12" s="161">
        <f t="shared" si="20"/>
        <v>672.44270399999994</v>
      </c>
      <c r="V12" s="161">
        <f t="shared" si="21"/>
        <v>0</v>
      </c>
      <c r="W12" s="161">
        <f t="shared" si="22"/>
        <v>672.44</v>
      </c>
      <c r="X12" s="160">
        <f t="shared" si="23"/>
        <v>0</v>
      </c>
      <c r="Y12" s="160">
        <f t="shared" si="24"/>
        <v>672.44</v>
      </c>
      <c r="Z12" s="164">
        <v>0</v>
      </c>
      <c r="AA12" s="160">
        <f t="shared" si="12"/>
        <v>672.44</v>
      </c>
      <c r="AB12" s="160">
        <f>M12+X12-AA12+L12</f>
        <v>6831.1699999999992</v>
      </c>
      <c r="AC12" s="110"/>
      <c r="AI12" s="96"/>
    </row>
    <row r="13" spans="1:35" s="93" customFormat="1" ht="173.25" customHeight="1" x14ac:dyDescent="0.35">
      <c r="A13" s="109"/>
      <c r="B13" s="152" t="s">
        <v>429</v>
      </c>
      <c r="C13" s="152" t="s">
        <v>124</v>
      </c>
      <c r="D13" s="229" t="s">
        <v>430</v>
      </c>
      <c r="E13" s="170" t="s">
        <v>431</v>
      </c>
      <c r="F13" s="290" t="s">
        <v>432</v>
      </c>
      <c r="G13" s="240">
        <v>44866</v>
      </c>
      <c r="H13" s="155" t="s">
        <v>67</v>
      </c>
      <c r="I13" s="156"/>
      <c r="J13" s="157"/>
      <c r="K13" s="158">
        <v>6253</v>
      </c>
      <c r="L13" s="159">
        <v>0</v>
      </c>
      <c r="M13" s="158">
        <f>K13</f>
        <v>6253</v>
      </c>
      <c r="N13" s="161">
        <f t="shared" ref="N13" si="27">IF(K13/15&lt;=SMG,0,L13/2)</f>
        <v>0</v>
      </c>
      <c r="O13" s="161">
        <f t="shared" si="14"/>
        <v>6253</v>
      </c>
      <c r="P13" s="161">
        <f t="shared" si="15"/>
        <v>5490.76</v>
      </c>
      <c r="Q13" s="161">
        <f t="shared" si="16"/>
        <v>762.23999999999978</v>
      </c>
      <c r="R13" s="162">
        <f t="shared" si="17"/>
        <v>0.16</v>
      </c>
      <c r="S13" s="161">
        <f t="shared" si="18"/>
        <v>121.95839999999997</v>
      </c>
      <c r="T13" s="163">
        <f t="shared" si="19"/>
        <v>441</v>
      </c>
      <c r="U13" s="161">
        <f t="shared" si="20"/>
        <v>562.95839999999998</v>
      </c>
      <c r="V13" s="161">
        <f t="shared" si="21"/>
        <v>0</v>
      </c>
      <c r="W13" s="161">
        <f t="shared" si="22"/>
        <v>562.96</v>
      </c>
      <c r="X13" s="160">
        <f t="shared" si="23"/>
        <v>0</v>
      </c>
      <c r="Y13" s="160">
        <f t="shared" si="24"/>
        <v>562.96</v>
      </c>
      <c r="Z13" s="164">
        <v>0</v>
      </c>
      <c r="AA13" s="160">
        <f t="shared" si="12"/>
        <v>562.96</v>
      </c>
      <c r="AB13" s="160">
        <f>M13+X13-AA13+L13</f>
        <v>5690.04</v>
      </c>
      <c r="AC13" s="110"/>
      <c r="AI13" s="96"/>
    </row>
    <row r="14" spans="1:35" s="93" customFormat="1" ht="173.25" customHeight="1" x14ac:dyDescent="0.35">
      <c r="A14" s="109"/>
      <c r="B14" s="152" t="s">
        <v>483</v>
      </c>
      <c r="C14" s="152" t="s">
        <v>124</v>
      </c>
      <c r="D14" s="229" t="s">
        <v>481</v>
      </c>
      <c r="E14" s="292" t="s">
        <v>484</v>
      </c>
      <c r="F14" s="291" t="s">
        <v>482</v>
      </c>
      <c r="G14" s="238">
        <v>45042</v>
      </c>
      <c r="H14" s="155" t="s">
        <v>67</v>
      </c>
      <c r="I14" s="156"/>
      <c r="J14" s="157"/>
      <c r="K14" s="158">
        <v>2084.35</v>
      </c>
      <c r="L14" s="159">
        <v>0</v>
      </c>
      <c r="M14" s="158">
        <f>K14</f>
        <v>2084.35</v>
      </c>
      <c r="N14" s="161">
        <f t="shared" ref="N14" si="28">IF(K14/15&lt;=SMG,0,L14/2)</f>
        <v>0</v>
      </c>
      <c r="O14" s="161">
        <f t="shared" ref="O14" si="29">K14+N14</f>
        <v>2084.35</v>
      </c>
      <c r="P14" s="161">
        <f t="shared" ref="P14" si="30">VLOOKUP(O14,Tarifa1,1)</f>
        <v>368.11</v>
      </c>
      <c r="Q14" s="161">
        <f t="shared" ref="Q14" si="31">O14-P14</f>
        <v>1716.2399999999998</v>
      </c>
      <c r="R14" s="162">
        <f t="shared" ref="R14" si="32">VLOOKUP(O14,Tarifa1,3)</f>
        <v>6.4000000000000001E-2</v>
      </c>
      <c r="S14" s="161">
        <f t="shared" ref="S14" si="33">Q14*R14</f>
        <v>109.83935999999999</v>
      </c>
      <c r="T14" s="163">
        <f t="shared" ref="T14" si="34">VLOOKUP(O14,Tarifa1,2)</f>
        <v>7.05</v>
      </c>
      <c r="U14" s="161">
        <f t="shared" ref="U14" si="35">S14+T14</f>
        <v>116.88935999999998</v>
      </c>
      <c r="V14" s="161">
        <f t="shared" ref="V14" si="36">VLOOKUP(O14,Credito1,2)</f>
        <v>188.7</v>
      </c>
      <c r="W14" s="161">
        <f t="shared" ref="W14" si="37">ROUND(U14-V14,2)</f>
        <v>-71.81</v>
      </c>
      <c r="X14" s="160">
        <v>0</v>
      </c>
      <c r="Y14" s="160">
        <f t="shared" ref="Y14" si="38">IF(K14/15&lt;=SMG,0,IF(W14&lt;0,0,W14))</f>
        <v>0</v>
      </c>
      <c r="Z14" s="164">
        <v>0</v>
      </c>
      <c r="AA14" s="160">
        <f t="shared" si="12"/>
        <v>0</v>
      </c>
      <c r="AB14" s="160">
        <f>M14+X14-AA14+L14</f>
        <v>2084.35</v>
      </c>
      <c r="AC14" s="110"/>
      <c r="AI14" s="96"/>
    </row>
    <row r="15" spans="1:35" s="93" customFormat="1" ht="173.25" customHeight="1" x14ac:dyDescent="0.35">
      <c r="A15" s="109"/>
      <c r="B15" s="153" t="s">
        <v>224</v>
      </c>
      <c r="C15" s="153" t="s">
        <v>124</v>
      </c>
      <c r="D15" s="225" t="s">
        <v>225</v>
      </c>
      <c r="E15" s="166" t="s">
        <v>226</v>
      </c>
      <c r="F15" s="166" t="s">
        <v>362</v>
      </c>
      <c r="G15" s="232">
        <v>43877</v>
      </c>
      <c r="H15" s="155" t="s">
        <v>184</v>
      </c>
      <c r="I15" s="156">
        <v>15</v>
      </c>
      <c r="J15" s="157"/>
      <c r="K15" s="158">
        <v>6843</v>
      </c>
      <c r="L15" s="159">
        <v>0</v>
      </c>
      <c r="M15" s="160">
        <f>SUM(K15:L15)</f>
        <v>6843</v>
      </c>
      <c r="N15" s="161">
        <f t="shared" ref="N15" si="39">IF(K15/15&lt;=SMG,0,L15/2)</f>
        <v>0</v>
      </c>
      <c r="O15" s="161">
        <f t="shared" si="14"/>
        <v>6843</v>
      </c>
      <c r="P15" s="161">
        <f t="shared" si="15"/>
        <v>6382.81</v>
      </c>
      <c r="Q15" s="161">
        <f t="shared" si="16"/>
        <v>460.1899999999996</v>
      </c>
      <c r="R15" s="162">
        <f t="shared" si="17"/>
        <v>0.1792</v>
      </c>
      <c r="S15" s="161">
        <f t="shared" si="18"/>
        <v>82.46604799999993</v>
      </c>
      <c r="T15" s="163">
        <f t="shared" si="19"/>
        <v>583.65</v>
      </c>
      <c r="U15" s="161">
        <f t="shared" si="20"/>
        <v>666.11604799999986</v>
      </c>
      <c r="V15" s="161">
        <f t="shared" si="21"/>
        <v>0</v>
      </c>
      <c r="W15" s="161">
        <f t="shared" si="22"/>
        <v>666.12</v>
      </c>
      <c r="X15" s="160">
        <f t="shared" si="23"/>
        <v>0</v>
      </c>
      <c r="Y15" s="160">
        <f t="shared" si="24"/>
        <v>666.12</v>
      </c>
      <c r="Z15" s="164">
        <v>0</v>
      </c>
      <c r="AA15" s="160">
        <f t="shared" ref="AA15:AA27" si="40">SUM(Y15:Z15)</f>
        <v>666.12</v>
      </c>
      <c r="AB15" s="160">
        <f>M15+X15-AA15</f>
        <v>6176.88</v>
      </c>
      <c r="AC15" s="110"/>
      <c r="AI15" s="96"/>
    </row>
    <row r="16" spans="1:35" s="93" customFormat="1" ht="57" customHeight="1" x14ac:dyDescent="0.3">
      <c r="A16" s="185"/>
      <c r="B16" s="200"/>
      <c r="C16" s="200"/>
      <c r="D16" s="207"/>
      <c r="E16" s="208"/>
      <c r="F16" s="208"/>
      <c r="G16" s="208"/>
      <c r="H16" s="209"/>
      <c r="I16" s="210"/>
      <c r="J16" s="211"/>
      <c r="K16" s="212"/>
      <c r="L16" s="213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111"/>
      <c r="AI16" s="96"/>
    </row>
    <row r="17" spans="1:35" s="93" customFormat="1" ht="29.25" customHeight="1" x14ac:dyDescent="0.3">
      <c r="A17" s="185"/>
      <c r="B17" s="305" t="s">
        <v>78</v>
      </c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5"/>
      <c r="X17" s="305"/>
      <c r="Y17" s="305"/>
      <c r="Z17" s="305"/>
      <c r="AA17" s="305"/>
      <c r="AB17" s="305"/>
      <c r="AC17" s="305"/>
      <c r="AD17" s="305"/>
      <c r="AI17" s="96"/>
    </row>
    <row r="18" spans="1:35" s="93" customFormat="1" ht="28.5" customHeight="1" x14ac:dyDescent="0.3">
      <c r="A18" s="185"/>
      <c r="B18" s="305" t="s">
        <v>64</v>
      </c>
      <c r="C18" s="305"/>
      <c r="D18" s="305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I18" s="96"/>
    </row>
    <row r="19" spans="1:35" s="93" customFormat="1" ht="28.5" customHeight="1" x14ac:dyDescent="0.3">
      <c r="A19" s="185"/>
      <c r="B19" s="306" t="s">
        <v>477</v>
      </c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I19" s="96"/>
    </row>
    <row r="20" spans="1:35" s="93" customFormat="1" ht="20.25" customHeight="1" x14ac:dyDescent="0.3">
      <c r="A20" s="185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I20" s="96"/>
    </row>
    <row r="21" spans="1:35" s="93" customFormat="1" ht="158.25" customHeight="1" x14ac:dyDescent="0.35">
      <c r="A21" s="185"/>
      <c r="B21" s="153" t="s">
        <v>202</v>
      </c>
      <c r="C21" s="153" t="s">
        <v>124</v>
      </c>
      <c r="D21" s="225" t="s">
        <v>189</v>
      </c>
      <c r="E21" s="165" t="s">
        <v>196</v>
      </c>
      <c r="F21" s="165" t="s">
        <v>354</v>
      </c>
      <c r="G21" s="231">
        <v>43512</v>
      </c>
      <c r="H21" s="155" t="s">
        <v>184</v>
      </c>
      <c r="I21" s="156">
        <v>15</v>
      </c>
      <c r="J21" s="157"/>
      <c r="K21" s="158">
        <v>8552</v>
      </c>
      <c r="L21" s="159">
        <v>0</v>
      </c>
      <c r="M21" s="160">
        <f t="shared" ref="M21" si="41">SUM(K21:L21)</f>
        <v>8552</v>
      </c>
      <c r="N21" s="161">
        <f t="shared" ref="N21" si="42">IF(K21/15&lt;=SMG,0,L21/2)</f>
        <v>0</v>
      </c>
      <c r="O21" s="161">
        <f t="shared" ref="O21" si="43">K21+N21</f>
        <v>8552</v>
      </c>
      <c r="P21" s="161">
        <f t="shared" ref="P21:P27" si="44">VLOOKUP(O21,Tarifa1,1)</f>
        <v>7641.91</v>
      </c>
      <c r="Q21" s="161">
        <f t="shared" ref="Q21" si="45">O21-P21</f>
        <v>910.09000000000015</v>
      </c>
      <c r="R21" s="162">
        <f t="shared" ref="R21:R27" si="46">VLOOKUP(O21,Tarifa1,3)</f>
        <v>0.21360000000000001</v>
      </c>
      <c r="S21" s="161">
        <f t="shared" ref="S21" si="47">Q21*R21</f>
        <v>194.39522400000004</v>
      </c>
      <c r="T21" s="163">
        <f t="shared" ref="T21:T27" si="48">VLOOKUP(O21,Tarifa1,2)</f>
        <v>809.25</v>
      </c>
      <c r="U21" s="161">
        <f t="shared" ref="U21" si="49">S21+T21</f>
        <v>1003.6452240000001</v>
      </c>
      <c r="V21" s="161">
        <f t="shared" ref="V21:V27" si="50">VLOOKUP(O21,Credito1,2)</f>
        <v>0</v>
      </c>
      <c r="W21" s="161">
        <f t="shared" ref="W21" si="51">ROUND(U21-V21,2)</f>
        <v>1003.65</v>
      </c>
      <c r="X21" s="160">
        <f t="shared" ref="X21:X27" si="52">-IF(W21&gt;0,0,W21)</f>
        <v>0</v>
      </c>
      <c r="Y21" s="160">
        <f t="shared" ref="Y21:Y27" si="53">IF(K21/15&lt;=SMG,0,IF(W21&lt;0,0,W21))</f>
        <v>1003.65</v>
      </c>
      <c r="Z21" s="164">
        <v>0</v>
      </c>
      <c r="AA21" s="160">
        <f t="shared" ref="AA21" si="54">SUM(Y21:Z21)</f>
        <v>1003.65</v>
      </c>
      <c r="AB21" s="160">
        <f t="shared" ref="AB21" si="55">M21+X21-AA21</f>
        <v>7548.35</v>
      </c>
      <c r="AC21" s="110"/>
      <c r="AD21" s="206"/>
      <c r="AI21" s="96"/>
    </row>
    <row r="22" spans="1:35" s="93" customFormat="1" ht="158.25" customHeight="1" x14ac:dyDescent="0.35">
      <c r="A22" s="109"/>
      <c r="B22" s="153" t="s">
        <v>209</v>
      </c>
      <c r="C22" s="153" t="s">
        <v>124</v>
      </c>
      <c r="D22" s="225" t="s">
        <v>210</v>
      </c>
      <c r="E22" s="165" t="s">
        <v>211</v>
      </c>
      <c r="F22" s="165" t="s">
        <v>359</v>
      </c>
      <c r="G22" s="231">
        <v>43632</v>
      </c>
      <c r="H22" s="155" t="s">
        <v>184</v>
      </c>
      <c r="I22" s="156">
        <v>15</v>
      </c>
      <c r="J22" s="157"/>
      <c r="K22" s="158">
        <v>8552</v>
      </c>
      <c r="L22" s="159">
        <v>0</v>
      </c>
      <c r="M22" s="160">
        <f t="shared" ref="M22" si="56">SUM(K22:L22)</f>
        <v>8552</v>
      </c>
      <c r="N22" s="161">
        <f t="shared" ref="N22:N26" si="57">IF(K22/15&lt;=SMG,0,L22/2)</f>
        <v>0</v>
      </c>
      <c r="O22" s="161">
        <f t="shared" ref="O22:O27" si="58">K22+N22</f>
        <v>8552</v>
      </c>
      <c r="P22" s="161">
        <f t="shared" si="44"/>
        <v>7641.91</v>
      </c>
      <c r="Q22" s="161">
        <f t="shared" ref="Q22:Q27" si="59">O22-P22</f>
        <v>910.09000000000015</v>
      </c>
      <c r="R22" s="162">
        <f t="shared" si="46"/>
        <v>0.21360000000000001</v>
      </c>
      <c r="S22" s="161">
        <f t="shared" ref="S22:S27" si="60">Q22*R22</f>
        <v>194.39522400000004</v>
      </c>
      <c r="T22" s="163">
        <f t="shared" si="48"/>
        <v>809.25</v>
      </c>
      <c r="U22" s="161">
        <f t="shared" ref="U22:U27" si="61">S22+T22</f>
        <v>1003.6452240000001</v>
      </c>
      <c r="V22" s="161">
        <f t="shared" si="50"/>
        <v>0</v>
      </c>
      <c r="W22" s="161">
        <f t="shared" ref="W22:W27" si="62">ROUND(U22-V22,2)</f>
        <v>1003.65</v>
      </c>
      <c r="X22" s="160">
        <f t="shared" si="52"/>
        <v>0</v>
      </c>
      <c r="Y22" s="160">
        <f t="shared" si="53"/>
        <v>1003.65</v>
      </c>
      <c r="Z22" s="164">
        <v>0</v>
      </c>
      <c r="AA22" s="160">
        <f t="shared" si="40"/>
        <v>1003.65</v>
      </c>
      <c r="AB22" s="160">
        <f t="shared" ref="AB22" si="63">M22+X22-AA22</f>
        <v>7548.35</v>
      </c>
      <c r="AC22" s="110"/>
      <c r="AI22" s="96"/>
    </row>
    <row r="23" spans="1:35" s="93" customFormat="1" ht="158.25" customHeight="1" x14ac:dyDescent="0.35">
      <c r="A23" s="109"/>
      <c r="B23" s="153" t="s">
        <v>389</v>
      </c>
      <c r="C23" s="153" t="s">
        <v>124</v>
      </c>
      <c r="D23" s="225" t="s">
        <v>390</v>
      </c>
      <c r="E23" s="165" t="s">
        <v>391</v>
      </c>
      <c r="F23" s="165" t="s">
        <v>392</v>
      </c>
      <c r="G23" s="231">
        <v>44728</v>
      </c>
      <c r="H23" s="155" t="s">
        <v>184</v>
      </c>
      <c r="I23" s="156"/>
      <c r="J23" s="157"/>
      <c r="K23" s="158">
        <v>8552</v>
      </c>
      <c r="L23" s="159">
        <v>0</v>
      </c>
      <c r="M23" s="160">
        <f>SUM(K23:L23)</f>
        <v>8552</v>
      </c>
      <c r="N23" s="161">
        <f t="shared" si="57"/>
        <v>0</v>
      </c>
      <c r="O23" s="161">
        <f t="shared" si="58"/>
        <v>8552</v>
      </c>
      <c r="P23" s="161">
        <f t="shared" si="44"/>
        <v>7641.91</v>
      </c>
      <c r="Q23" s="161">
        <f t="shared" si="59"/>
        <v>910.09000000000015</v>
      </c>
      <c r="R23" s="162">
        <f t="shared" si="46"/>
        <v>0.21360000000000001</v>
      </c>
      <c r="S23" s="161">
        <f t="shared" si="60"/>
        <v>194.39522400000004</v>
      </c>
      <c r="T23" s="163">
        <f t="shared" si="48"/>
        <v>809.25</v>
      </c>
      <c r="U23" s="161">
        <f t="shared" si="61"/>
        <v>1003.6452240000001</v>
      </c>
      <c r="V23" s="161">
        <f t="shared" si="50"/>
        <v>0</v>
      </c>
      <c r="W23" s="161">
        <f t="shared" si="62"/>
        <v>1003.65</v>
      </c>
      <c r="X23" s="160">
        <f t="shared" si="52"/>
        <v>0</v>
      </c>
      <c r="Y23" s="160">
        <f t="shared" si="53"/>
        <v>1003.65</v>
      </c>
      <c r="Z23" s="164">
        <v>0</v>
      </c>
      <c r="AA23" s="160">
        <f t="shared" ref="AA23:AA24" si="64">SUM(Y23:Z23)</f>
        <v>1003.65</v>
      </c>
      <c r="AB23" s="160">
        <f>M23+X23-AA23</f>
        <v>7548.35</v>
      </c>
      <c r="AC23" s="110"/>
      <c r="AI23" s="96"/>
    </row>
    <row r="24" spans="1:35" s="93" customFormat="1" ht="158.25" customHeight="1" x14ac:dyDescent="0.35">
      <c r="A24" s="109"/>
      <c r="B24" s="153" t="s">
        <v>229</v>
      </c>
      <c r="C24" s="153" t="s">
        <v>124</v>
      </c>
      <c r="D24" s="227" t="s">
        <v>230</v>
      </c>
      <c r="E24" s="154" t="s">
        <v>231</v>
      </c>
      <c r="F24" s="154" t="s">
        <v>363</v>
      </c>
      <c r="G24" s="232">
        <v>43967</v>
      </c>
      <c r="H24" s="155" t="s">
        <v>184</v>
      </c>
      <c r="I24" s="156"/>
      <c r="J24" s="157"/>
      <c r="K24" s="158">
        <v>6843</v>
      </c>
      <c r="L24" s="159">
        <v>456.2</v>
      </c>
      <c r="M24" s="160">
        <f>SUM(K24:L24)</f>
        <v>7299.2</v>
      </c>
      <c r="N24" s="161">
        <f t="shared" si="57"/>
        <v>228.1</v>
      </c>
      <c r="O24" s="161">
        <f t="shared" si="58"/>
        <v>7071.1</v>
      </c>
      <c r="P24" s="161">
        <f t="shared" si="44"/>
        <v>6382.81</v>
      </c>
      <c r="Q24" s="161">
        <f t="shared" si="59"/>
        <v>688.29</v>
      </c>
      <c r="R24" s="162">
        <f t="shared" si="46"/>
        <v>0.1792</v>
      </c>
      <c r="S24" s="161">
        <f t="shared" si="60"/>
        <v>123.341568</v>
      </c>
      <c r="T24" s="163">
        <f t="shared" si="48"/>
        <v>583.65</v>
      </c>
      <c r="U24" s="161">
        <f t="shared" si="61"/>
        <v>706.99156799999992</v>
      </c>
      <c r="V24" s="161">
        <f t="shared" si="50"/>
        <v>0</v>
      </c>
      <c r="W24" s="161">
        <f t="shared" si="62"/>
        <v>706.99</v>
      </c>
      <c r="X24" s="160">
        <f t="shared" si="52"/>
        <v>0</v>
      </c>
      <c r="Y24" s="160">
        <f t="shared" si="53"/>
        <v>706.99</v>
      </c>
      <c r="Z24" s="164">
        <v>0</v>
      </c>
      <c r="AA24" s="160">
        <f t="shared" si="64"/>
        <v>706.99</v>
      </c>
      <c r="AB24" s="160">
        <f>M24+X24-AA24</f>
        <v>6592.21</v>
      </c>
      <c r="AC24" s="110"/>
      <c r="AI24" s="96"/>
    </row>
    <row r="25" spans="1:35" s="93" customFormat="1" ht="158.25" customHeight="1" x14ac:dyDescent="0.35">
      <c r="A25" s="109"/>
      <c r="B25" s="153" t="s">
        <v>479</v>
      </c>
      <c r="C25" s="153" t="s">
        <v>124</v>
      </c>
      <c r="D25" s="227" t="s">
        <v>476</v>
      </c>
      <c r="E25" s="154" t="s">
        <v>478</v>
      </c>
      <c r="F25" s="289" t="s">
        <v>480</v>
      </c>
      <c r="G25" s="232">
        <v>45033</v>
      </c>
      <c r="H25" s="155" t="s">
        <v>184</v>
      </c>
      <c r="I25" s="156"/>
      <c r="J25" s="157"/>
      <c r="K25" s="158">
        <v>6386.8</v>
      </c>
      <c r="L25" s="159">
        <v>456.2</v>
      </c>
      <c r="M25" s="160">
        <f>SUM(K25:L25)</f>
        <v>6843</v>
      </c>
      <c r="N25" s="161">
        <f t="shared" ref="N25" si="65">IF(K25/15&lt;=SMG,0,L25/2)</f>
        <v>228.1</v>
      </c>
      <c r="O25" s="161">
        <f t="shared" ref="O25" si="66">K25+N25</f>
        <v>6614.9000000000005</v>
      </c>
      <c r="P25" s="161">
        <f t="shared" ref="P25" si="67">VLOOKUP(O25,Tarifa1,1)</f>
        <v>6382.81</v>
      </c>
      <c r="Q25" s="161">
        <f t="shared" ref="Q25" si="68">O25-P25</f>
        <v>232.09000000000015</v>
      </c>
      <c r="R25" s="162">
        <f t="shared" ref="R25" si="69">VLOOKUP(O25,Tarifa1,3)</f>
        <v>0.1792</v>
      </c>
      <c r="S25" s="161">
        <f t="shared" ref="S25" si="70">Q25*R25</f>
        <v>41.590528000000027</v>
      </c>
      <c r="T25" s="163">
        <f t="shared" ref="T25" si="71">VLOOKUP(O25,Tarifa1,2)</f>
        <v>583.65</v>
      </c>
      <c r="U25" s="161">
        <f t="shared" ref="U25" si="72">S25+T25</f>
        <v>625.24052800000004</v>
      </c>
      <c r="V25" s="161">
        <f t="shared" ref="V25" si="73">VLOOKUP(O25,Credito1,2)</f>
        <v>0</v>
      </c>
      <c r="W25" s="161">
        <f t="shared" ref="W25" si="74">ROUND(U25-V25,2)</f>
        <v>625.24</v>
      </c>
      <c r="X25" s="160">
        <f t="shared" ref="X25" si="75">-IF(W25&gt;0,0,W25)</f>
        <v>0</v>
      </c>
      <c r="Y25" s="160">
        <f t="shared" ref="Y25" si="76">IF(K25/15&lt;=SMG,0,IF(W25&lt;0,0,W25))</f>
        <v>625.24</v>
      </c>
      <c r="Z25" s="164">
        <v>0</v>
      </c>
      <c r="AA25" s="160">
        <f t="shared" ref="AA25" si="77">SUM(Y25:Z25)</f>
        <v>625.24</v>
      </c>
      <c r="AB25" s="160">
        <f>M25+X25-AA25</f>
        <v>6217.76</v>
      </c>
      <c r="AC25" s="110"/>
      <c r="AI25" s="96"/>
    </row>
    <row r="26" spans="1:35" s="93" customFormat="1" ht="158.25" customHeight="1" x14ac:dyDescent="0.35">
      <c r="A26" s="109"/>
      <c r="B26" s="153" t="s">
        <v>397</v>
      </c>
      <c r="C26" s="153" t="s">
        <v>124</v>
      </c>
      <c r="D26" s="225" t="s">
        <v>395</v>
      </c>
      <c r="E26" s="165" t="s">
        <v>393</v>
      </c>
      <c r="F26" s="165" t="s">
        <v>394</v>
      </c>
      <c r="G26" s="232">
        <v>44728</v>
      </c>
      <c r="H26" s="155" t="s">
        <v>396</v>
      </c>
      <c r="I26" s="156"/>
      <c r="J26" s="157"/>
      <c r="K26" s="158">
        <v>6253</v>
      </c>
      <c r="L26" s="159">
        <v>1138.02</v>
      </c>
      <c r="M26" s="158">
        <f>K26</f>
        <v>6253</v>
      </c>
      <c r="N26" s="161">
        <f t="shared" si="57"/>
        <v>569.01</v>
      </c>
      <c r="O26" s="161">
        <f t="shared" si="58"/>
        <v>6822.01</v>
      </c>
      <c r="P26" s="161">
        <f t="shared" si="44"/>
        <v>6382.81</v>
      </c>
      <c r="Q26" s="161">
        <f t="shared" si="59"/>
        <v>439.19999999999982</v>
      </c>
      <c r="R26" s="162">
        <f t="shared" si="46"/>
        <v>0.1792</v>
      </c>
      <c r="S26" s="161">
        <f t="shared" si="60"/>
        <v>78.704639999999969</v>
      </c>
      <c r="T26" s="163">
        <f t="shared" si="48"/>
        <v>583.65</v>
      </c>
      <c r="U26" s="161">
        <f t="shared" si="61"/>
        <v>662.3546399999999</v>
      </c>
      <c r="V26" s="161">
        <f t="shared" si="50"/>
        <v>0</v>
      </c>
      <c r="W26" s="161">
        <f t="shared" si="62"/>
        <v>662.35</v>
      </c>
      <c r="X26" s="160">
        <f t="shared" si="52"/>
        <v>0</v>
      </c>
      <c r="Y26" s="160">
        <f t="shared" si="53"/>
        <v>662.35</v>
      </c>
      <c r="Z26" s="164">
        <v>0</v>
      </c>
      <c r="AA26" s="160">
        <f>SUM(Y26:Z26)</f>
        <v>662.35</v>
      </c>
      <c r="AB26" s="160">
        <f>M26+X26-AA26+L26</f>
        <v>6728.67</v>
      </c>
      <c r="AC26" s="110"/>
      <c r="AI26" s="96"/>
    </row>
    <row r="27" spans="1:35" s="93" customFormat="1" ht="158.25" customHeight="1" x14ac:dyDescent="0.35">
      <c r="A27" s="109"/>
      <c r="B27" s="153" t="s">
        <v>204</v>
      </c>
      <c r="C27" s="153" t="s">
        <v>124</v>
      </c>
      <c r="D27" s="225" t="s">
        <v>186</v>
      </c>
      <c r="E27" s="165" t="s">
        <v>197</v>
      </c>
      <c r="F27" s="165" t="s">
        <v>355</v>
      </c>
      <c r="G27" s="231">
        <v>43512</v>
      </c>
      <c r="H27" s="155" t="s">
        <v>387</v>
      </c>
      <c r="I27" s="156">
        <v>15</v>
      </c>
      <c r="J27" s="157">
        <f t="shared" ref="J27" si="78">K27/I27</f>
        <v>310.2</v>
      </c>
      <c r="K27" s="158">
        <v>4653</v>
      </c>
      <c r="L27" s="159">
        <v>0</v>
      </c>
      <c r="M27" s="160">
        <f t="shared" ref="M27" si="79">SUM(K27:L27)</f>
        <v>4653</v>
      </c>
      <c r="N27" s="161">
        <f t="shared" ref="N27" si="80">IF(K27/15&lt;=SMG,0,L27/2)</f>
        <v>0</v>
      </c>
      <c r="O27" s="161">
        <f t="shared" si="58"/>
        <v>4653</v>
      </c>
      <c r="P27" s="161">
        <f t="shared" si="44"/>
        <v>3124.36</v>
      </c>
      <c r="Q27" s="161">
        <f t="shared" si="59"/>
        <v>1528.6399999999999</v>
      </c>
      <c r="R27" s="162">
        <f t="shared" si="46"/>
        <v>0.10879999999999999</v>
      </c>
      <c r="S27" s="161">
        <f t="shared" si="60"/>
        <v>166.31603199999998</v>
      </c>
      <c r="T27" s="163">
        <f t="shared" si="48"/>
        <v>183.45</v>
      </c>
      <c r="U27" s="161">
        <f t="shared" si="61"/>
        <v>349.766032</v>
      </c>
      <c r="V27" s="161">
        <f t="shared" si="50"/>
        <v>0</v>
      </c>
      <c r="W27" s="161">
        <f t="shared" si="62"/>
        <v>349.77</v>
      </c>
      <c r="X27" s="160">
        <f t="shared" si="52"/>
        <v>0</v>
      </c>
      <c r="Y27" s="160">
        <f t="shared" si="53"/>
        <v>349.77</v>
      </c>
      <c r="Z27" s="164">
        <v>0</v>
      </c>
      <c r="AA27" s="160">
        <f t="shared" si="40"/>
        <v>349.77</v>
      </c>
      <c r="AB27" s="160">
        <f>M27+X27-AA27</f>
        <v>4303.2299999999996</v>
      </c>
      <c r="AC27" s="110"/>
      <c r="AI27" s="96"/>
    </row>
    <row r="28" spans="1:35" s="51" customFormat="1" ht="39" customHeight="1" thickBot="1" x14ac:dyDescent="0.35">
      <c r="A28" s="302" t="s">
        <v>44</v>
      </c>
      <c r="B28" s="303"/>
      <c r="C28" s="303"/>
      <c r="D28" s="303"/>
      <c r="E28" s="303"/>
      <c r="F28" s="303"/>
      <c r="G28" s="303"/>
      <c r="H28" s="303"/>
      <c r="I28" s="303"/>
      <c r="J28" s="304"/>
      <c r="K28" s="167">
        <f t="shared" ref="K28:AB28" si="81">SUM(K9:K27)</f>
        <v>98410.150000000009</v>
      </c>
      <c r="L28" s="167">
        <f t="shared" si="81"/>
        <v>3301.0299999999997</v>
      </c>
      <c r="M28" s="167">
        <f t="shared" si="81"/>
        <v>99322.55</v>
      </c>
      <c r="N28" s="168">
        <f t="shared" si="81"/>
        <v>1650.5149999999999</v>
      </c>
      <c r="O28" s="168">
        <f t="shared" si="81"/>
        <v>100060.66499999999</v>
      </c>
      <c r="P28" s="168">
        <f t="shared" si="81"/>
        <v>82231.19</v>
      </c>
      <c r="Q28" s="168">
        <f t="shared" si="81"/>
        <v>17829.474999999999</v>
      </c>
      <c r="R28" s="168">
        <f t="shared" si="81"/>
        <v>2.4055999999999997</v>
      </c>
      <c r="S28" s="168">
        <f t="shared" si="81"/>
        <v>3130.2150319999996</v>
      </c>
      <c r="T28" s="168">
        <f t="shared" si="81"/>
        <v>7779.4499999999989</v>
      </c>
      <c r="U28" s="168">
        <f t="shared" si="81"/>
        <v>10909.665031999999</v>
      </c>
      <c r="V28" s="168">
        <f t="shared" si="81"/>
        <v>188.7</v>
      </c>
      <c r="W28" s="168">
        <f t="shared" si="81"/>
        <v>10720.98</v>
      </c>
      <c r="X28" s="167">
        <f t="shared" si="81"/>
        <v>0</v>
      </c>
      <c r="Y28" s="167">
        <f t="shared" si="81"/>
        <v>10792.789999999999</v>
      </c>
      <c r="Z28" s="167">
        <f t="shared" si="81"/>
        <v>0</v>
      </c>
      <c r="AA28" s="167">
        <f t="shared" si="81"/>
        <v>10792.789999999999</v>
      </c>
      <c r="AB28" s="167">
        <f t="shared" si="81"/>
        <v>90918.389999999985</v>
      </c>
      <c r="AC28" s="111"/>
    </row>
    <row r="29" spans="1:35" s="51" customFormat="1" ht="39" customHeight="1" thickTop="1" x14ac:dyDescent="0.25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6"/>
      <c r="L29" s="106"/>
      <c r="M29" s="106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6"/>
      <c r="Y29" s="106"/>
      <c r="Z29" s="106"/>
      <c r="AA29" s="106"/>
      <c r="AB29" s="106"/>
    </row>
  </sheetData>
  <mergeCells count="11">
    <mergeCell ref="A28:J28"/>
    <mergeCell ref="C5:C7"/>
    <mergeCell ref="A1:AC1"/>
    <mergeCell ref="A2:AC2"/>
    <mergeCell ref="A3:AC3"/>
    <mergeCell ref="K5:M5"/>
    <mergeCell ref="P5:U5"/>
    <mergeCell ref="Y5:AA5"/>
    <mergeCell ref="B17:AD17"/>
    <mergeCell ref="B18:AD18"/>
    <mergeCell ref="B19:AD19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G27 D15:F16 G21:G25 G16 D21:E27 F21:F24 F26:F27"/>
  </dataValidations>
  <pageMargins left="0.27559055118110237" right="0.27559055118110237" top="0.74803149606299213" bottom="0.15748031496062992" header="0.31496062992125984" footer="0.31496062992125984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topLeftCell="B29" zoomScale="69" zoomScaleNormal="69" workbookViewId="0">
      <selection activeCell="B39" sqref="A39:XFD43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3.44140625" customWidth="1"/>
    <col min="5" max="5" width="24.5546875" customWidth="1"/>
    <col min="6" max="6" width="32.88671875" customWidth="1"/>
    <col min="7" max="7" width="15.44140625" customWidth="1"/>
    <col min="8" max="8" width="23.88671875" customWidth="1"/>
    <col min="9" max="9" width="7.88671875" hidden="1" customWidth="1"/>
    <col min="10" max="10" width="2.5546875" hidden="1" customWidth="1"/>
    <col min="11" max="11" width="14" customWidth="1"/>
    <col min="12" max="12" width="13.33203125" customWidth="1"/>
    <col min="13" max="13" width="13.6640625" customWidth="1"/>
    <col min="14" max="14" width="13.109375" hidden="1" customWidth="1"/>
    <col min="15" max="16" width="13" hidden="1" customWidth="1"/>
    <col min="17" max="17" width="14.5546875" hidden="1" customWidth="1"/>
    <col min="18" max="19" width="13.109375" hidden="1" customWidth="1"/>
    <col min="20" max="20" width="10.5546875" hidden="1" customWidth="1"/>
    <col min="21" max="21" width="10.44140625" hidden="1" customWidth="1"/>
    <col min="22" max="22" width="13.109375" hidden="1" customWidth="1"/>
    <col min="23" max="23" width="11.5546875" hidden="1" customWidth="1"/>
    <col min="24" max="24" width="9.6640625" customWidth="1"/>
    <col min="25" max="25" width="13.44140625" customWidth="1"/>
    <col min="26" max="26" width="13.109375" customWidth="1"/>
    <col min="27" max="27" width="13" customWidth="1"/>
    <col min="28" max="28" width="13.5546875" customWidth="1"/>
    <col min="29" max="29" width="47.33203125" customWidth="1"/>
  </cols>
  <sheetData>
    <row r="1" spans="1:29" ht="17.399999999999999" x14ac:dyDescent="0.3">
      <c r="A1" s="316" t="s">
        <v>78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</row>
    <row r="2" spans="1:29" ht="17.399999999999999" x14ac:dyDescent="0.3">
      <c r="A2" s="316" t="s">
        <v>64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</row>
    <row r="3" spans="1:29" ht="19.8" x14ac:dyDescent="0.3">
      <c r="A3" s="306" t="s">
        <v>477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</row>
    <row r="4" spans="1:29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</row>
    <row r="5" spans="1:29" s="51" customFormat="1" ht="12" x14ac:dyDescent="0.25">
      <c r="A5" s="47"/>
      <c r="B5" s="47"/>
      <c r="C5" s="47"/>
      <c r="D5" s="47"/>
      <c r="E5" s="47"/>
      <c r="F5" s="47"/>
      <c r="G5" s="47"/>
      <c r="H5" s="47"/>
      <c r="I5" s="48" t="s">
        <v>22</v>
      </c>
      <c r="J5" s="48" t="s">
        <v>5</v>
      </c>
      <c r="K5" s="329" t="s">
        <v>1</v>
      </c>
      <c r="L5" s="330"/>
      <c r="M5" s="331"/>
      <c r="N5" s="49" t="s">
        <v>25</v>
      </c>
      <c r="O5" s="50"/>
      <c r="P5" s="332" t="s">
        <v>8</v>
      </c>
      <c r="Q5" s="333"/>
      <c r="R5" s="333"/>
      <c r="S5" s="333"/>
      <c r="T5" s="333"/>
      <c r="U5" s="334"/>
      <c r="V5" s="49" t="s">
        <v>29</v>
      </c>
      <c r="W5" s="49" t="s">
        <v>9</v>
      </c>
      <c r="X5" s="48" t="s">
        <v>52</v>
      </c>
      <c r="Y5" s="335" t="s">
        <v>2</v>
      </c>
      <c r="Z5" s="336"/>
      <c r="AA5" s="337"/>
      <c r="AB5" s="48" t="s">
        <v>0</v>
      </c>
      <c r="AC5" s="47"/>
    </row>
    <row r="6" spans="1:29" s="51" customFormat="1" ht="24" x14ac:dyDescent="0.25">
      <c r="A6" s="52" t="s">
        <v>108</v>
      </c>
      <c r="B6" s="46" t="s">
        <v>101</v>
      </c>
      <c r="C6" s="46" t="s">
        <v>133</v>
      </c>
      <c r="D6" s="52" t="s">
        <v>21</v>
      </c>
      <c r="E6" s="52"/>
      <c r="F6" s="52"/>
      <c r="G6" s="52"/>
      <c r="H6" s="52"/>
      <c r="I6" s="53" t="s">
        <v>23</v>
      </c>
      <c r="J6" s="52" t="s">
        <v>24</v>
      </c>
      <c r="K6" s="48" t="s">
        <v>5</v>
      </c>
      <c r="L6" s="48" t="s">
        <v>58</v>
      </c>
      <c r="M6" s="48" t="s">
        <v>27</v>
      </c>
      <c r="N6" s="54" t="s">
        <v>26</v>
      </c>
      <c r="O6" s="50" t="s">
        <v>31</v>
      </c>
      <c r="P6" s="50" t="s">
        <v>11</v>
      </c>
      <c r="Q6" s="50" t="s">
        <v>33</v>
      </c>
      <c r="R6" s="50" t="s">
        <v>35</v>
      </c>
      <c r="S6" s="50" t="s">
        <v>36</v>
      </c>
      <c r="T6" s="85" t="s">
        <v>13</v>
      </c>
      <c r="U6" s="50" t="s">
        <v>9</v>
      </c>
      <c r="V6" s="54" t="s">
        <v>39</v>
      </c>
      <c r="W6" s="54" t="s">
        <v>40</v>
      </c>
      <c r="X6" s="52" t="s">
        <v>30</v>
      </c>
      <c r="Y6" s="48" t="s">
        <v>433</v>
      </c>
      <c r="Z6" s="48" t="s">
        <v>56</v>
      </c>
      <c r="AA6" s="48" t="s">
        <v>6</v>
      </c>
      <c r="AB6" s="52" t="s">
        <v>3</v>
      </c>
      <c r="AC6" s="52" t="s">
        <v>57</v>
      </c>
    </row>
    <row r="7" spans="1:29" s="51" customFormat="1" ht="12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 t="s">
        <v>46</v>
      </c>
      <c r="L7" s="52" t="s">
        <v>59</v>
      </c>
      <c r="M7" s="52" t="s">
        <v>28</v>
      </c>
      <c r="N7" s="54" t="s">
        <v>42</v>
      </c>
      <c r="O7" s="49" t="s">
        <v>32</v>
      </c>
      <c r="P7" s="49" t="s">
        <v>12</v>
      </c>
      <c r="Q7" s="49" t="s">
        <v>34</v>
      </c>
      <c r="R7" s="49" t="s">
        <v>34</v>
      </c>
      <c r="S7" s="49" t="s">
        <v>37</v>
      </c>
      <c r="T7" s="86" t="s">
        <v>14</v>
      </c>
      <c r="U7" s="49" t="s">
        <v>38</v>
      </c>
      <c r="V7" s="54" t="s">
        <v>18</v>
      </c>
      <c r="W7" s="55" t="s">
        <v>134</v>
      </c>
      <c r="X7" s="52" t="s">
        <v>51</v>
      </c>
      <c r="Y7" s="52"/>
      <c r="Z7" s="52"/>
      <c r="AA7" s="52" t="s">
        <v>43</v>
      </c>
      <c r="AB7" s="52" t="s">
        <v>4</v>
      </c>
      <c r="AC7" s="56"/>
    </row>
    <row r="8" spans="1:29" s="4" customFormat="1" ht="39.75" customHeight="1" x14ac:dyDescent="0.3">
      <c r="A8" s="97"/>
      <c r="B8" s="116"/>
      <c r="C8" s="116"/>
      <c r="D8" s="116" t="s">
        <v>69</v>
      </c>
      <c r="E8" s="116" t="s">
        <v>102</v>
      </c>
      <c r="F8" s="116" t="s">
        <v>326</v>
      </c>
      <c r="G8" s="135" t="s">
        <v>468</v>
      </c>
      <c r="H8" s="116" t="s">
        <v>61</v>
      </c>
      <c r="I8" s="116"/>
      <c r="J8" s="116"/>
      <c r="K8" s="117">
        <f>SUM(K9:K20)</f>
        <v>46735</v>
      </c>
      <c r="L8" s="117">
        <f>SUM(L9:L20)</f>
        <v>0</v>
      </c>
      <c r="M8" s="117">
        <f>SUM(M9:M20)</f>
        <v>46735</v>
      </c>
      <c r="N8" s="116"/>
      <c r="O8" s="116"/>
      <c r="P8" s="116"/>
      <c r="Q8" s="116"/>
      <c r="R8" s="116"/>
      <c r="S8" s="116"/>
      <c r="T8" s="118"/>
      <c r="U8" s="116"/>
      <c r="V8" s="116"/>
      <c r="W8" s="116"/>
      <c r="X8" s="117">
        <f>SUM(X9:X20)</f>
        <v>49.98</v>
      </c>
      <c r="Y8" s="117">
        <f>SUM(Y9:Y20)</f>
        <v>2660.41</v>
      </c>
      <c r="Z8" s="117">
        <f>SUM(Z9:Z20)</f>
        <v>800</v>
      </c>
      <c r="AA8" s="117">
        <f>SUM(AA9:AA20)</f>
        <v>3460.41</v>
      </c>
      <c r="AB8" s="117">
        <f>SUM(AB9:AB20)</f>
        <v>43324.569999999985</v>
      </c>
      <c r="AC8" s="98"/>
    </row>
    <row r="9" spans="1:29" s="4" customFormat="1" ht="77.25" customHeight="1" x14ac:dyDescent="0.35">
      <c r="A9" s="43"/>
      <c r="B9" s="153" t="s">
        <v>205</v>
      </c>
      <c r="C9" s="153" t="s">
        <v>124</v>
      </c>
      <c r="D9" s="227" t="s">
        <v>194</v>
      </c>
      <c r="E9" s="154" t="s">
        <v>200</v>
      </c>
      <c r="F9" s="154" t="s">
        <v>357</v>
      </c>
      <c r="G9" s="232">
        <v>43512</v>
      </c>
      <c r="H9" s="155" t="s">
        <v>193</v>
      </c>
      <c r="I9" s="156">
        <v>15</v>
      </c>
      <c r="J9" s="157">
        <f>K9/I9</f>
        <v>265.66666666666669</v>
      </c>
      <c r="K9" s="158">
        <v>3985</v>
      </c>
      <c r="L9" s="159">
        <v>0</v>
      </c>
      <c r="M9" s="160">
        <f t="shared" ref="M9" si="0">SUM(K9:L9)</f>
        <v>3985</v>
      </c>
      <c r="N9" s="161">
        <f t="shared" ref="N9:N13" si="1">IF(K9/15&lt;=SMG,0,L9/2)</f>
        <v>0</v>
      </c>
      <c r="O9" s="161">
        <f>K9+N9</f>
        <v>3985</v>
      </c>
      <c r="P9" s="161">
        <f t="shared" ref="P9:P20" si="2">VLOOKUP(O9,Tarifa1,1)</f>
        <v>3124.36</v>
      </c>
      <c r="Q9" s="161">
        <f>O9-P9</f>
        <v>860.63999999999987</v>
      </c>
      <c r="R9" s="162">
        <f t="shared" ref="R9:R20" si="3">VLOOKUP(O9,Tarifa1,3)</f>
        <v>0.10879999999999999</v>
      </c>
      <c r="S9" s="161">
        <f>Q9*R9</f>
        <v>93.637631999999982</v>
      </c>
      <c r="T9" s="163">
        <f t="shared" ref="T9:T20" si="4">VLOOKUP(O9,Tarifa1,2)</f>
        <v>183.45</v>
      </c>
      <c r="U9" s="161">
        <f>S9+T9</f>
        <v>277.08763199999999</v>
      </c>
      <c r="V9" s="161">
        <f t="shared" ref="V9:V20" si="5">VLOOKUP(O9,Credito1,2)</f>
        <v>0</v>
      </c>
      <c r="W9" s="161">
        <f>ROUND(U9-V9,2)</f>
        <v>277.08999999999997</v>
      </c>
      <c r="X9" s="160">
        <f>-IF(W9&gt;0,0,W9)</f>
        <v>0</v>
      </c>
      <c r="Y9" s="160">
        <f t="shared" ref="Y9:Y20" si="6">IF(K9/15&lt;=SMG,0,IF(W9&lt;0,0,W9))</f>
        <v>277.08999999999997</v>
      </c>
      <c r="Z9" s="164">
        <v>0</v>
      </c>
      <c r="AA9" s="160">
        <f t="shared" ref="AA9" si="7">SUM(Y9:Z9)</f>
        <v>277.08999999999997</v>
      </c>
      <c r="AB9" s="160">
        <f t="shared" ref="AB9" si="8">M9+X9-AA9</f>
        <v>3707.91</v>
      </c>
      <c r="AC9" s="89"/>
    </row>
    <row r="10" spans="1:29" s="4" customFormat="1" ht="77.25" customHeight="1" x14ac:dyDescent="0.35">
      <c r="A10" s="43"/>
      <c r="B10" s="153" t="s">
        <v>104</v>
      </c>
      <c r="C10" s="153" t="s">
        <v>124</v>
      </c>
      <c r="D10" s="227" t="s">
        <v>70</v>
      </c>
      <c r="E10" s="154" t="s">
        <v>106</v>
      </c>
      <c r="F10" s="154" t="s">
        <v>332</v>
      </c>
      <c r="G10" s="232">
        <v>39448</v>
      </c>
      <c r="H10" s="155" t="s">
        <v>71</v>
      </c>
      <c r="I10" s="156">
        <v>15</v>
      </c>
      <c r="J10" s="157">
        <f>K10/I10</f>
        <v>265.66666666666669</v>
      </c>
      <c r="K10" s="158">
        <v>3985</v>
      </c>
      <c r="L10" s="159">
        <v>0</v>
      </c>
      <c r="M10" s="160">
        <f t="shared" ref="M10" si="9">SUM(K10:L10)</f>
        <v>3985</v>
      </c>
      <c r="N10" s="161">
        <f t="shared" si="1"/>
        <v>0</v>
      </c>
      <c r="O10" s="161">
        <f t="shared" ref="O10:O20" si="10">K10+N10</f>
        <v>3985</v>
      </c>
      <c r="P10" s="161">
        <f t="shared" si="2"/>
        <v>3124.36</v>
      </c>
      <c r="Q10" s="161">
        <f t="shared" ref="Q10:Q20" si="11">O10-P10</f>
        <v>860.63999999999987</v>
      </c>
      <c r="R10" s="162">
        <f t="shared" si="3"/>
        <v>0.10879999999999999</v>
      </c>
      <c r="S10" s="161">
        <f t="shared" ref="S10:S20" si="12">Q10*R10</f>
        <v>93.637631999999982</v>
      </c>
      <c r="T10" s="163">
        <f t="shared" si="4"/>
        <v>183.45</v>
      </c>
      <c r="U10" s="161">
        <f t="shared" ref="U10:U20" si="13">S10+T10</f>
        <v>277.08763199999999</v>
      </c>
      <c r="V10" s="161">
        <f t="shared" si="5"/>
        <v>0</v>
      </c>
      <c r="W10" s="161">
        <f t="shared" ref="W10:W20" si="14">ROUND(U10-V10,2)</f>
        <v>277.08999999999997</v>
      </c>
      <c r="X10" s="160">
        <f t="shared" ref="X10:X20" si="15">-IF(W10&gt;0,0,W10)</f>
        <v>0</v>
      </c>
      <c r="Y10" s="160">
        <f t="shared" si="6"/>
        <v>277.08999999999997</v>
      </c>
      <c r="Z10" s="164">
        <v>0</v>
      </c>
      <c r="AA10" s="160">
        <f t="shared" ref="AA10:AA11" si="16">SUM(Y10:Z10)</f>
        <v>277.08999999999997</v>
      </c>
      <c r="AB10" s="160">
        <f t="shared" ref="AB10:AB11" si="17">M10+X10-AA10</f>
        <v>3707.91</v>
      </c>
      <c r="AC10" s="89"/>
    </row>
    <row r="11" spans="1:29" s="4" customFormat="1" ht="77.25" customHeight="1" x14ac:dyDescent="0.35">
      <c r="A11" s="43"/>
      <c r="B11" s="153" t="s">
        <v>400</v>
      </c>
      <c r="C11" s="153" t="s">
        <v>124</v>
      </c>
      <c r="D11" s="227" t="s">
        <v>406</v>
      </c>
      <c r="E11" s="110" t="s">
        <v>408</v>
      </c>
      <c r="F11" s="110" t="s">
        <v>409</v>
      </c>
      <c r="G11" s="238">
        <v>44743</v>
      </c>
      <c r="H11" s="155" t="s">
        <v>193</v>
      </c>
      <c r="I11" s="156">
        <v>15</v>
      </c>
      <c r="J11" s="157"/>
      <c r="K11" s="158">
        <v>3985</v>
      </c>
      <c r="L11" s="159">
        <v>0</v>
      </c>
      <c r="M11" s="160">
        <f t="shared" ref="M11" si="18">SUM(K11:L11)</f>
        <v>3985</v>
      </c>
      <c r="N11" s="161">
        <f t="shared" si="1"/>
        <v>0</v>
      </c>
      <c r="O11" s="161">
        <f t="shared" si="10"/>
        <v>3985</v>
      </c>
      <c r="P11" s="161">
        <f t="shared" si="2"/>
        <v>3124.36</v>
      </c>
      <c r="Q11" s="161">
        <f t="shared" si="11"/>
        <v>860.63999999999987</v>
      </c>
      <c r="R11" s="162">
        <f t="shared" si="3"/>
        <v>0.10879999999999999</v>
      </c>
      <c r="S11" s="161">
        <f t="shared" si="12"/>
        <v>93.637631999999982</v>
      </c>
      <c r="T11" s="163">
        <f t="shared" si="4"/>
        <v>183.45</v>
      </c>
      <c r="U11" s="161">
        <f t="shared" si="13"/>
        <v>277.08763199999999</v>
      </c>
      <c r="V11" s="161">
        <f t="shared" si="5"/>
        <v>0</v>
      </c>
      <c r="W11" s="161">
        <f t="shared" si="14"/>
        <v>277.08999999999997</v>
      </c>
      <c r="X11" s="160">
        <f t="shared" si="15"/>
        <v>0</v>
      </c>
      <c r="Y11" s="160">
        <f t="shared" si="6"/>
        <v>277.08999999999997</v>
      </c>
      <c r="Z11" s="164">
        <v>0</v>
      </c>
      <c r="AA11" s="160">
        <f t="shared" si="16"/>
        <v>277.08999999999997</v>
      </c>
      <c r="AB11" s="160">
        <f t="shared" si="17"/>
        <v>3707.91</v>
      </c>
      <c r="AC11" s="89"/>
    </row>
    <row r="12" spans="1:29" s="4" customFormat="1" ht="77.25" customHeight="1" x14ac:dyDescent="0.35">
      <c r="A12" s="43"/>
      <c r="B12" s="153" t="s">
        <v>141</v>
      </c>
      <c r="C12" s="153" t="s">
        <v>124</v>
      </c>
      <c r="D12" s="229" t="s">
        <v>140</v>
      </c>
      <c r="E12" s="170" t="s">
        <v>142</v>
      </c>
      <c r="F12" s="170" t="s">
        <v>338</v>
      </c>
      <c r="G12" s="236">
        <v>42948</v>
      </c>
      <c r="H12" s="155" t="s">
        <v>103</v>
      </c>
      <c r="I12" s="156">
        <v>15</v>
      </c>
      <c r="J12" s="157">
        <f>K12/I12</f>
        <v>297.8</v>
      </c>
      <c r="K12" s="158">
        <v>4467</v>
      </c>
      <c r="L12" s="159">
        <v>0</v>
      </c>
      <c r="M12" s="160">
        <f>SUM(K12:L12)</f>
        <v>4467</v>
      </c>
      <c r="N12" s="161">
        <f t="shared" si="1"/>
        <v>0</v>
      </c>
      <c r="O12" s="161">
        <f t="shared" si="10"/>
        <v>4467</v>
      </c>
      <c r="P12" s="161">
        <f t="shared" si="2"/>
        <v>3124.36</v>
      </c>
      <c r="Q12" s="161">
        <f t="shared" si="11"/>
        <v>1342.6399999999999</v>
      </c>
      <c r="R12" s="162">
        <f t="shared" si="3"/>
        <v>0.10879999999999999</v>
      </c>
      <c r="S12" s="161">
        <f t="shared" si="12"/>
        <v>146.07923199999999</v>
      </c>
      <c r="T12" s="163">
        <f t="shared" si="4"/>
        <v>183.45</v>
      </c>
      <c r="U12" s="161">
        <f t="shared" si="13"/>
        <v>329.52923199999998</v>
      </c>
      <c r="V12" s="161">
        <f t="shared" si="5"/>
        <v>0</v>
      </c>
      <c r="W12" s="161">
        <f t="shared" si="14"/>
        <v>329.53</v>
      </c>
      <c r="X12" s="160">
        <f t="shared" si="15"/>
        <v>0</v>
      </c>
      <c r="Y12" s="160">
        <f t="shared" si="6"/>
        <v>329.53</v>
      </c>
      <c r="Z12" s="164">
        <v>0</v>
      </c>
      <c r="AA12" s="160">
        <f>SUM(Y12:Z12)</f>
        <v>329.53</v>
      </c>
      <c r="AB12" s="160">
        <f>M12+X12-AA12</f>
        <v>4137.47</v>
      </c>
      <c r="AC12" s="89"/>
    </row>
    <row r="13" spans="1:29" s="4" customFormat="1" ht="77.25" customHeight="1" x14ac:dyDescent="0.35">
      <c r="A13" s="43"/>
      <c r="B13" s="153" t="s">
        <v>218</v>
      </c>
      <c r="C13" s="153" t="s">
        <v>124</v>
      </c>
      <c r="D13" s="229" t="s">
        <v>219</v>
      </c>
      <c r="E13" s="170" t="s">
        <v>220</v>
      </c>
      <c r="F13" s="170" t="s">
        <v>361</v>
      </c>
      <c r="G13" s="236">
        <v>43709</v>
      </c>
      <c r="H13" s="155" t="s">
        <v>308</v>
      </c>
      <c r="I13" s="156">
        <v>15</v>
      </c>
      <c r="J13" s="157"/>
      <c r="K13" s="158">
        <v>3403</v>
      </c>
      <c r="L13" s="159">
        <v>0</v>
      </c>
      <c r="M13" s="160">
        <f t="shared" ref="M13" si="19">SUM(K13:L13)</f>
        <v>3403</v>
      </c>
      <c r="N13" s="161">
        <f t="shared" si="1"/>
        <v>0</v>
      </c>
      <c r="O13" s="161">
        <f t="shared" si="10"/>
        <v>3403</v>
      </c>
      <c r="P13" s="161">
        <f t="shared" si="2"/>
        <v>3124.36</v>
      </c>
      <c r="Q13" s="161">
        <f t="shared" si="11"/>
        <v>278.63999999999987</v>
      </c>
      <c r="R13" s="162">
        <f t="shared" si="3"/>
        <v>0.10879999999999999</v>
      </c>
      <c r="S13" s="161">
        <f t="shared" si="12"/>
        <v>30.316031999999986</v>
      </c>
      <c r="T13" s="163">
        <f t="shared" si="4"/>
        <v>183.45</v>
      </c>
      <c r="U13" s="161">
        <f t="shared" si="13"/>
        <v>213.76603199999997</v>
      </c>
      <c r="V13" s="161">
        <f t="shared" si="5"/>
        <v>125.1</v>
      </c>
      <c r="W13" s="161">
        <f t="shared" si="14"/>
        <v>88.67</v>
      </c>
      <c r="X13" s="160">
        <f t="shared" si="15"/>
        <v>0</v>
      </c>
      <c r="Y13" s="160">
        <f t="shared" si="6"/>
        <v>88.67</v>
      </c>
      <c r="Z13" s="164">
        <v>0</v>
      </c>
      <c r="AA13" s="160">
        <f t="shared" ref="AA13:AA16" si="20">SUM(Y13:Z13)</f>
        <v>88.67</v>
      </c>
      <c r="AB13" s="160">
        <f t="shared" ref="AB13" si="21">M13+X13-AA13</f>
        <v>3314.33</v>
      </c>
      <c r="AC13" s="89"/>
    </row>
    <row r="14" spans="1:29" s="4" customFormat="1" ht="77.25" customHeight="1" x14ac:dyDescent="0.35">
      <c r="A14" s="43"/>
      <c r="B14" s="153" t="s">
        <v>309</v>
      </c>
      <c r="C14" s="153" t="s">
        <v>124</v>
      </c>
      <c r="D14" s="229" t="s">
        <v>311</v>
      </c>
      <c r="E14" s="170" t="s">
        <v>404</v>
      </c>
      <c r="F14" s="170" t="s">
        <v>382</v>
      </c>
      <c r="G14" s="236">
        <v>44470</v>
      </c>
      <c r="H14" s="155" t="s">
        <v>310</v>
      </c>
      <c r="I14" s="156">
        <v>15</v>
      </c>
      <c r="J14" s="157"/>
      <c r="K14" s="158">
        <v>2373</v>
      </c>
      <c r="L14" s="159">
        <v>0</v>
      </c>
      <c r="M14" s="160">
        <f>SUM(K14:L14)</f>
        <v>2373</v>
      </c>
      <c r="N14" s="161">
        <f>IF(K14/15&lt;=SMG,0,L14/2)</f>
        <v>0</v>
      </c>
      <c r="O14" s="161">
        <f t="shared" si="10"/>
        <v>2373</v>
      </c>
      <c r="P14" s="161">
        <f t="shared" si="2"/>
        <v>368.11</v>
      </c>
      <c r="Q14" s="161">
        <f t="shared" si="11"/>
        <v>2004.8899999999999</v>
      </c>
      <c r="R14" s="162">
        <f t="shared" si="3"/>
        <v>6.4000000000000001E-2</v>
      </c>
      <c r="S14" s="161">
        <f t="shared" si="12"/>
        <v>128.31296</v>
      </c>
      <c r="T14" s="163">
        <f t="shared" si="4"/>
        <v>7.05</v>
      </c>
      <c r="U14" s="161">
        <f t="shared" si="13"/>
        <v>135.36296000000002</v>
      </c>
      <c r="V14" s="161">
        <f t="shared" si="5"/>
        <v>160.35</v>
      </c>
      <c r="W14" s="161">
        <f t="shared" si="14"/>
        <v>-24.99</v>
      </c>
      <c r="X14" s="160">
        <f t="shared" si="15"/>
        <v>24.99</v>
      </c>
      <c r="Y14" s="160">
        <f t="shared" si="6"/>
        <v>0</v>
      </c>
      <c r="Z14" s="222">
        <v>0</v>
      </c>
      <c r="AA14" s="160">
        <f t="shared" si="20"/>
        <v>0</v>
      </c>
      <c r="AB14" s="160">
        <f>M14+X14-AA14</f>
        <v>2397.9899999999998</v>
      </c>
      <c r="AC14" s="89"/>
    </row>
    <row r="15" spans="1:29" s="4" customFormat="1" ht="77.25" customHeight="1" x14ac:dyDescent="0.35">
      <c r="A15" s="43"/>
      <c r="B15" s="153" t="s">
        <v>442</v>
      </c>
      <c r="C15" s="153" t="s">
        <v>124</v>
      </c>
      <c r="D15" s="229" t="s">
        <v>443</v>
      </c>
      <c r="E15" s="170" t="s">
        <v>444</v>
      </c>
      <c r="F15" s="170" t="s">
        <v>445</v>
      </c>
      <c r="G15" s="236">
        <v>44973</v>
      </c>
      <c r="H15" s="155" t="s">
        <v>446</v>
      </c>
      <c r="I15" s="156"/>
      <c r="J15" s="157"/>
      <c r="K15" s="158">
        <v>2373</v>
      </c>
      <c r="L15" s="159">
        <v>0</v>
      </c>
      <c r="M15" s="160">
        <f>SUM(K15:L15)</f>
        <v>2373</v>
      </c>
      <c r="N15" s="161">
        <f>IF(K15/15&lt;=SMG,0,L15/2)</f>
        <v>0</v>
      </c>
      <c r="O15" s="161">
        <f t="shared" ref="O15" si="22">K15+N15</f>
        <v>2373</v>
      </c>
      <c r="P15" s="161">
        <f t="shared" ref="P15" si="23">VLOOKUP(O15,Tarifa1,1)</f>
        <v>368.11</v>
      </c>
      <c r="Q15" s="161">
        <f t="shared" ref="Q15" si="24">O15-P15</f>
        <v>2004.8899999999999</v>
      </c>
      <c r="R15" s="162">
        <f t="shared" ref="R15" si="25">VLOOKUP(O15,Tarifa1,3)</f>
        <v>6.4000000000000001E-2</v>
      </c>
      <c r="S15" s="161">
        <f t="shared" ref="S15" si="26">Q15*R15</f>
        <v>128.31296</v>
      </c>
      <c r="T15" s="163">
        <f t="shared" ref="T15" si="27">VLOOKUP(O15,Tarifa1,2)</f>
        <v>7.05</v>
      </c>
      <c r="U15" s="161">
        <f t="shared" ref="U15" si="28">S15+T15</f>
        <v>135.36296000000002</v>
      </c>
      <c r="V15" s="161">
        <f t="shared" ref="V15" si="29">VLOOKUP(O15,Credito1,2)</f>
        <v>160.35</v>
      </c>
      <c r="W15" s="161">
        <f t="shared" ref="W15" si="30">ROUND(U15-V15,2)</f>
        <v>-24.99</v>
      </c>
      <c r="X15" s="160">
        <f t="shared" ref="X15" si="31">-IF(W15&gt;0,0,W15)</f>
        <v>24.99</v>
      </c>
      <c r="Y15" s="160">
        <f t="shared" ref="Y15" si="32">IF(K15/15&lt;=SMG,0,IF(W15&lt;0,0,W15))</f>
        <v>0</v>
      </c>
      <c r="Z15" s="222">
        <v>0</v>
      </c>
      <c r="AA15" s="160">
        <f t="shared" ref="AA15" si="33">SUM(Y15:Z15)</f>
        <v>0</v>
      </c>
      <c r="AB15" s="160">
        <f>M15+X15-AA15</f>
        <v>2397.9899999999998</v>
      </c>
      <c r="AC15" s="89"/>
    </row>
    <row r="16" spans="1:29" s="4" customFormat="1" ht="77.25" customHeight="1" x14ac:dyDescent="0.35">
      <c r="A16" s="43"/>
      <c r="B16" s="152" t="s">
        <v>261</v>
      </c>
      <c r="C16" s="153" t="s">
        <v>124</v>
      </c>
      <c r="D16" s="227" t="s">
        <v>292</v>
      </c>
      <c r="E16" s="154" t="s">
        <v>293</v>
      </c>
      <c r="F16" s="154" t="s">
        <v>369</v>
      </c>
      <c r="G16" s="232">
        <v>44470</v>
      </c>
      <c r="H16" s="154" t="s">
        <v>72</v>
      </c>
      <c r="I16" s="156">
        <v>15</v>
      </c>
      <c r="J16" s="157">
        <f>K16/I16</f>
        <v>497.6</v>
      </c>
      <c r="K16" s="158">
        <v>7464</v>
      </c>
      <c r="L16" s="159">
        <v>0</v>
      </c>
      <c r="M16" s="160">
        <f t="shared" ref="M16" si="34">SUM(K16:L16)</f>
        <v>7464</v>
      </c>
      <c r="N16" s="161">
        <f t="shared" ref="N16" si="35">IF(K16/15&lt;=SMG,0,L16/2)</f>
        <v>0</v>
      </c>
      <c r="O16" s="161">
        <f t="shared" si="10"/>
        <v>7464</v>
      </c>
      <c r="P16" s="161">
        <f t="shared" si="2"/>
        <v>6382.81</v>
      </c>
      <c r="Q16" s="161">
        <f t="shared" si="11"/>
        <v>1081.1899999999996</v>
      </c>
      <c r="R16" s="162">
        <f t="shared" si="3"/>
        <v>0.1792</v>
      </c>
      <c r="S16" s="161">
        <f t="shared" si="12"/>
        <v>193.74924799999994</v>
      </c>
      <c r="T16" s="163">
        <f t="shared" si="4"/>
        <v>583.65</v>
      </c>
      <c r="U16" s="161">
        <f t="shared" si="13"/>
        <v>777.39924799999994</v>
      </c>
      <c r="V16" s="161">
        <f t="shared" si="5"/>
        <v>0</v>
      </c>
      <c r="W16" s="161">
        <f t="shared" si="14"/>
        <v>777.4</v>
      </c>
      <c r="X16" s="160">
        <f t="shared" si="15"/>
        <v>0</v>
      </c>
      <c r="Y16" s="160">
        <f t="shared" si="6"/>
        <v>777.4</v>
      </c>
      <c r="Z16" s="164">
        <v>0</v>
      </c>
      <c r="AA16" s="160">
        <f t="shared" si="20"/>
        <v>777.4</v>
      </c>
      <c r="AB16" s="160">
        <f t="shared" ref="AB16" si="36">M16+X16-AA16</f>
        <v>6686.6</v>
      </c>
      <c r="AC16" s="89"/>
    </row>
    <row r="17" spans="1:35" s="4" customFormat="1" ht="77.25" customHeight="1" x14ac:dyDescent="0.35">
      <c r="A17" s="43"/>
      <c r="B17" s="152" t="s">
        <v>262</v>
      </c>
      <c r="C17" s="153" t="s">
        <v>124</v>
      </c>
      <c r="D17" s="227" t="s">
        <v>290</v>
      </c>
      <c r="E17" s="154" t="s">
        <v>291</v>
      </c>
      <c r="F17" s="154" t="s">
        <v>370</v>
      </c>
      <c r="G17" s="232">
        <v>44473</v>
      </c>
      <c r="H17" s="155" t="s">
        <v>192</v>
      </c>
      <c r="I17" s="156">
        <v>15</v>
      </c>
      <c r="J17" s="157"/>
      <c r="K17" s="158">
        <v>4241</v>
      </c>
      <c r="L17" s="159">
        <v>0</v>
      </c>
      <c r="M17" s="160">
        <f>SUM(K17:L17)</f>
        <v>4241</v>
      </c>
      <c r="N17" s="161">
        <f>IF(K17/15&lt;=SMG,0,L17/2)</f>
        <v>0</v>
      </c>
      <c r="O17" s="161">
        <f t="shared" si="10"/>
        <v>4241</v>
      </c>
      <c r="P17" s="161">
        <f t="shared" si="2"/>
        <v>3124.36</v>
      </c>
      <c r="Q17" s="161">
        <f t="shared" si="11"/>
        <v>1116.6399999999999</v>
      </c>
      <c r="R17" s="162">
        <f t="shared" si="3"/>
        <v>0.10879999999999999</v>
      </c>
      <c r="S17" s="161">
        <f t="shared" si="12"/>
        <v>121.49043199999998</v>
      </c>
      <c r="T17" s="163">
        <f t="shared" si="4"/>
        <v>183.45</v>
      </c>
      <c r="U17" s="161">
        <f t="shared" si="13"/>
        <v>304.94043199999999</v>
      </c>
      <c r="V17" s="161">
        <f t="shared" si="5"/>
        <v>0</v>
      </c>
      <c r="W17" s="161">
        <f t="shared" si="14"/>
        <v>304.94</v>
      </c>
      <c r="X17" s="160">
        <f t="shared" si="15"/>
        <v>0</v>
      </c>
      <c r="Y17" s="160">
        <f t="shared" si="6"/>
        <v>304.94</v>
      </c>
      <c r="Z17" s="164">
        <v>800</v>
      </c>
      <c r="AA17" s="160">
        <f>SUM(Y17:Z17)</f>
        <v>1104.94</v>
      </c>
      <c r="AB17" s="160">
        <f>M17+X17-AA17</f>
        <v>3136.06</v>
      </c>
      <c r="AC17" s="89"/>
    </row>
    <row r="18" spans="1:35" s="4" customFormat="1" ht="77.25" customHeight="1" x14ac:dyDescent="0.35">
      <c r="A18" s="112"/>
      <c r="B18" s="152" t="s">
        <v>227</v>
      </c>
      <c r="C18" s="153" t="s">
        <v>124</v>
      </c>
      <c r="D18" s="227" t="s">
        <v>81</v>
      </c>
      <c r="E18" s="154" t="s">
        <v>113</v>
      </c>
      <c r="F18" s="154" t="s">
        <v>330</v>
      </c>
      <c r="G18" s="232">
        <v>41410</v>
      </c>
      <c r="H18" s="155" t="s">
        <v>212</v>
      </c>
      <c r="I18" s="156">
        <v>15</v>
      </c>
      <c r="J18" s="157">
        <f>K18/I18</f>
        <v>214.73333333333332</v>
      </c>
      <c r="K18" s="158">
        <v>3221</v>
      </c>
      <c r="L18" s="159">
        <v>0</v>
      </c>
      <c r="M18" s="160">
        <f>SUM(K18:L18)</f>
        <v>3221</v>
      </c>
      <c r="N18" s="161">
        <f>IF(K18/15&lt;=SMG,0,L18/2)</f>
        <v>0</v>
      </c>
      <c r="O18" s="161">
        <f t="shared" si="10"/>
        <v>3221</v>
      </c>
      <c r="P18" s="161">
        <f t="shared" si="2"/>
        <v>3124.36</v>
      </c>
      <c r="Q18" s="161">
        <f t="shared" si="11"/>
        <v>96.639999999999873</v>
      </c>
      <c r="R18" s="162">
        <f t="shared" si="3"/>
        <v>0.10879999999999999</v>
      </c>
      <c r="S18" s="161">
        <f t="shared" si="12"/>
        <v>10.514431999999985</v>
      </c>
      <c r="T18" s="163">
        <f t="shared" si="4"/>
        <v>183.45</v>
      </c>
      <c r="U18" s="161">
        <f t="shared" si="13"/>
        <v>193.96443199999999</v>
      </c>
      <c r="V18" s="161">
        <f t="shared" si="5"/>
        <v>125.1</v>
      </c>
      <c r="W18" s="161">
        <f t="shared" si="14"/>
        <v>68.86</v>
      </c>
      <c r="X18" s="160">
        <f t="shared" si="15"/>
        <v>0</v>
      </c>
      <c r="Y18" s="160">
        <f t="shared" si="6"/>
        <v>68.86</v>
      </c>
      <c r="Z18" s="164">
        <v>0</v>
      </c>
      <c r="AA18" s="160">
        <f>SUM(Y18:Z18)</f>
        <v>68.86</v>
      </c>
      <c r="AB18" s="160">
        <f>M18+X18-AA18</f>
        <v>3152.14</v>
      </c>
      <c r="AC18" s="89"/>
      <c r="AD18" s="87"/>
    </row>
    <row r="19" spans="1:35" s="4" customFormat="1" ht="77.25" customHeight="1" x14ac:dyDescent="0.35">
      <c r="A19" s="112"/>
      <c r="B19" s="152" t="s">
        <v>263</v>
      </c>
      <c r="C19" s="153" t="s">
        <v>124</v>
      </c>
      <c r="D19" s="227" t="s">
        <v>282</v>
      </c>
      <c r="E19" s="154" t="s">
        <v>283</v>
      </c>
      <c r="F19" s="154" t="s">
        <v>371</v>
      </c>
      <c r="G19" s="232">
        <v>44470</v>
      </c>
      <c r="H19" s="155" t="s">
        <v>155</v>
      </c>
      <c r="I19" s="156">
        <v>15</v>
      </c>
      <c r="J19" s="157"/>
      <c r="K19" s="158">
        <v>3619</v>
      </c>
      <c r="L19" s="159">
        <v>0</v>
      </c>
      <c r="M19" s="160">
        <f t="shared" ref="M19" si="37">SUM(K19:L19)</f>
        <v>3619</v>
      </c>
      <c r="N19" s="161">
        <f t="shared" ref="N19" si="38">IF(K19/15&lt;=SMG,0,L19/2)</f>
        <v>0</v>
      </c>
      <c r="O19" s="161">
        <f t="shared" si="10"/>
        <v>3619</v>
      </c>
      <c r="P19" s="161">
        <f t="shared" si="2"/>
        <v>3124.36</v>
      </c>
      <c r="Q19" s="161">
        <f t="shared" si="11"/>
        <v>494.63999999999987</v>
      </c>
      <c r="R19" s="162">
        <f t="shared" si="3"/>
        <v>0.10879999999999999</v>
      </c>
      <c r="S19" s="161">
        <f t="shared" si="12"/>
        <v>53.816831999999984</v>
      </c>
      <c r="T19" s="163">
        <f t="shared" si="4"/>
        <v>183.45</v>
      </c>
      <c r="U19" s="161">
        <f t="shared" si="13"/>
        <v>237.26683199999997</v>
      </c>
      <c r="V19" s="161">
        <f t="shared" si="5"/>
        <v>107.4</v>
      </c>
      <c r="W19" s="161">
        <f t="shared" si="14"/>
        <v>129.87</v>
      </c>
      <c r="X19" s="160">
        <f t="shared" si="15"/>
        <v>0</v>
      </c>
      <c r="Y19" s="160">
        <f t="shared" si="6"/>
        <v>129.87</v>
      </c>
      <c r="Z19" s="164">
        <v>0</v>
      </c>
      <c r="AA19" s="160">
        <f t="shared" ref="AA19" si="39">SUM(Y19:Z19)</f>
        <v>129.87</v>
      </c>
      <c r="AB19" s="160">
        <f t="shared" ref="AB19" si="40">M19+X19-AA19</f>
        <v>3489.13</v>
      </c>
      <c r="AC19" s="89"/>
      <c r="AD19" s="87"/>
    </row>
    <row r="20" spans="1:35" s="4" customFormat="1" ht="77.25" customHeight="1" x14ac:dyDescent="0.35">
      <c r="A20" s="112"/>
      <c r="B20" s="152" t="s">
        <v>313</v>
      </c>
      <c r="C20" s="153" t="s">
        <v>124</v>
      </c>
      <c r="D20" s="227" t="s">
        <v>286</v>
      </c>
      <c r="E20" s="154" t="s">
        <v>287</v>
      </c>
      <c r="F20" s="154" t="s">
        <v>337</v>
      </c>
      <c r="G20" s="232">
        <v>44473</v>
      </c>
      <c r="H20" s="155" t="s">
        <v>155</v>
      </c>
      <c r="I20" s="156">
        <v>15</v>
      </c>
      <c r="J20" s="157"/>
      <c r="K20" s="158">
        <v>3619</v>
      </c>
      <c r="L20" s="159">
        <v>0</v>
      </c>
      <c r="M20" s="160">
        <f>SUM(K20:L20)</f>
        <v>3619</v>
      </c>
      <c r="N20" s="161">
        <f>IF(K20/15&lt;=SMG,0,L20/2)</f>
        <v>0</v>
      </c>
      <c r="O20" s="161">
        <f t="shared" si="10"/>
        <v>3619</v>
      </c>
      <c r="P20" s="161">
        <f t="shared" si="2"/>
        <v>3124.36</v>
      </c>
      <c r="Q20" s="161">
        <f t="shared" si="11"/>
        <v>494.63999999999987</v>
      </c>
      <c r="R20" s="162">
        <f t="shared" si="3"/>
        <v>0.10879999999999999</v>
      </c>
      <c r="S20" s="161">
        <f t="shared" si="12"/>
        <v>53.816831999999984</v>
      </c>
      <c r="T20" s="163">
        <f t="shared" si="4"/>
        <v>183.45</v>
      </c>
      <c r="U20" s="161">
        <f t="shared" si="13"/>
        <v>237.26683199999997</v>
      </c>
      <c r="V20" s="161">
        <f t="shared" si="5"/>
        <v>107.4</v>
      </c>
      <c r="W20" s="161">
        <f t="shared" si="14"/>
        <v>129.87</v>
      </c>
      <c r="X20" s="160">
        <f t="shared" si="15"/>
        <v>0</v>
      </c>
      <c r="Y20" s="160">
        <f t="shared" si="6"/>
        <v>129.87</v>
      </c>
      <c r="Z20" s="164">
        <v>0</v>
      </c>
      <c r="AA20" s="160">
        <f>SUM(Y20:Z20)</f>
        <v>129.87</v>
      </c>
      <c r="AB20" s="160">
        <f>M20+X20-AA20</f>
        <v>3489.13</v>
      </c>
      <c r="AC20" s="89"/>
      <c r="AD20" s="87"/>
    </row>
    <row r="21" spans="1:35" s="4" customFormat="1" ht="75" customHeight="1" x14ac:dyDescent="0.3">
      <c r="A21" s="112"/>
      <c r="B21" s="136"/>
      <c r="C21" s="112"/>
      <c r="D21" s="148"/>
      <c r="E21" s="148"/>
      <c r="F21" s="148"/>
      <c r="G21" s="148"/>
      <c r="H21" s="148"/>
      <c r="I21" s="137"/>
      <c r="J21" s="138"/>
      <c r="K21" s="139"/>
      <c r="L21" s="140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D21" s="87"/>
    </row>
    <row r="22" spans="1:35" s="4" customFormat="1" ht="24" customHeight="1" x14ac:dyDescent="0.3">
      <c r="A22" s="112"/>
      <c r="B22" s="316" t="s">
        <v>78</v>
      </c>
      <c r="C22" s="316"/>
      <c r="D22" s="316"/>
      <c r="E22" s="316"/>
      <c r="F22" s="316"/>
      <c r="G22" s="316"/>
      <c r="H22" s="316"/>
      <c r="I22" s="316"/>
      <c r="J22" s="316"/>
      <c r="K22" s="316"/>
      <c r="L22" s="316"/>
      <c r="M22" s="316"/>
      <c r="N22" s="316"/>
      <c r="O22" s="316"/>
      <c r="P22" s="316"/>
      <c r="Q22" s="316"/>
      <c r="R22" s="316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</row>
    <row r="23" spans="1:35" s="4" customFormat="1" ht="24" customHeight="1" x14ac:dyDescent="0.3">
      <c r="A23" s="112"/>
      <c r="B23" s="316" t="s">
        <v>64</v>
      </c>
      <c r="C23" s="316"/>
      <c r="D23" s="316"/>
      <c r="E23" s="316"/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</row>
    <row r="24" spans="1:35" s="4" customFormat="1" ht="25.5" customHeight="1" x14ac:dyDescent="0.3">
      <c r="A24" s="112"/>
      <c r="B24" s="306" t="s">
        <v>477</v>
      </c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</row>
    <row r="25" spans="1:35" s="4" customFormat="1" ht="24" customHeight="1" x14ac:dyDescent="0.3">
      <c r="A25" s="112"/>
      <c r="B25" s="136"/>
      <c r="C25" s="112"/>
      <c r="D25" s="148"/>
      <c r="E25" s="148"/>
      <c r="F25" s="148"/>
      <c r="G25" s="148"/>
      <c r="H25" s="148"/>
      <c r="I25" s="137"/>
      <c r="J25" s="138"/>
      <c r="K25" s="139"/>
      <c r="L25" s="140"/>
      <c r="M25" s="141"/>
      <c r="N25" s="142"/>
      <c r="O25" s="142"/>
      <c r="P25" s="142"/>
      <c r="Q25" s="142"/>
      <c r="R25" s="143"/>
      <c r="S25" s="142"/>
      <c r="T25" s="144"/>
      <c r="U25" s="142"/>
      <c r="V25" s="145"/>
      <c r="W25" s="142"/>
      <c r="X25" s="141"/>
      <c r="Y25" s="141"/>
      <c r="Z25" s="146"/>
      <c r="AA25" s="141"/>
      <c r="AB25" s="141"/>
      <c r="AD25" s="87"/>
    </row>
    <row r="26" spans="1:35" s="4" customFormat="1" ht="21.75" customHeight="1" x14ac:dyDescent="0.3">
      <c r="A26" s="112"/>
      <c r="B26" s="136"/>
      <c r="C26" s="112"/>
      <c r="D26" s="148"/>
      <c r="E26" s="148"/>
      <c r="F26" s="148"/>
      <c r="G26" s="148"/>
      <c r="H26" s="148"/>
      <c r="I26" s="137"/>
      <c r="J26" s="138"/>
      <c r="K26" s="139"/>
      <c r="L26" s="140"/>
      <c r="M26" s="141"/>
      <c r="N26" s="142"/>
      <c r="O26" s="142"/>
      <c r="P26" s="142"/>
      <c r="Q26" s="142"/>
      <c r="R26" s="143"/>
      <c r="S26" s="142"/>
      <c r="T26" s="144"/>
      <c r="U26" s="142"/>
      <c r="V26" s="145"/>
      <c r="W26" s="142"/>
      <c r="X26" s="141"/>
      <c r="Y26" s="141"/>
      <c r="Z26" s="146"/>
      <c r="AA26" s="141"/>
      <c r="AB26" s="141"/>
      <c r="AD26" s="87"/>
    </row>
    <row r="27" spans="1:35" s="4" customFormat="1" ht="57.75" customHeight="1" x14ac:dyDescent="0.3">
      <c r="A27" s="108"/>
      <c r="B27" s="115" t="s">
        <v>101</v>
      </c>
      <c r="C27" s="115" t="s">
        <v>133</v>
      </c>
      <c r="D27" s="116" t="s">
        <v>132</v>
      </c>
      <c r="E27" s="116" t="s">
        <v>102</v>
      </c>
      <c r="F27" s="116" t="s">
        <v>326</v>
      </c>
      <c r="G27" s="135" t="s">
        <v>468</v>
      </c>
      <c r="H27" s="116" t="s">
        <v>61</v>
      </c>
      <c r="I27" s="116"/>
      <c r="J27" s="116"/>
      <c r="K27" s="117">
        <f>SUM(K28:K29)</f>
        <v>10933.51</v>
      </c>
      <c r="L27" s="117">
        <f>SUM(L28:L29)</f>
        <v>0</v>
      </c>
      <c r="M27" s="117">
        <f>SUM(M28:M29)</f>
        <v>10933.51</v>
      </c>
      <c r="N27" s="116"/>
      <c r="O27" s="116"/>
      <c r="P27" s="116"/>
      <c r="Q27" s="116"/>
      <c r="R27" s="116"/>
      <c r="S27" s="116"/>
      <c r="T27" s="118"/>
      <c r="U27" s="116"/>
      <c r="V27" s="116"/>
      <c r="W27" s="116"/>
      <c r="X27" s="117">
        <f>SUM(X28:X29)</f>
        <v>0</v>
      </c>
      <c r="Y27" s="117">
        <f>SUM(Y28:Y29)</f>
        <v>892.14</v>
      </c>
      <c r="Z27" s="117">
        <f>SUM(Z28:Z29)</f>
        <v>0</v>
      </c>
      <c r="AA27" s="117">
        <f>SUM(AA28:AA29)</f>
        <v>892.14</v>
      </c>
      <c r="AB27" s="117">
        <f>SUM(AB28:AB29)</f>
        <v>10041.370000000001</v>
      </c>
      <c r="AC27" s="98"/>
    </row>
    <row r="28" spans="1:35" s="4" customFormat="1" ht="99.75" customHeight="1" x14ac:dyDescent="0.35">
      <c r="A28" s="109" t="s">
        <v>84</v>
      </c>
      <c r="B28" s="152" t="s">
        <v>178</v>
      </c>
      <c r="C28" s="153" t="s">
        <v>124</v>
      </c>
      <c r="D28" s="227" t="s">
        <v>157</v>
      </c>
      <c r="E28" s="154" t="s">
        <v>170</v>
      </c>
      <c r="F28" s="154" t="s">
        <v>345</v>
      </c>
      <c r="G28" s="232">
        <v>43374</v>
      </c>
      <c r="H28" s="155" t="s">
        <v>156</v>
      </c>
      <c r="I28" s="156">
        <v>15</v>
      </c>
      <c r="J28" s="157">
        <f>K28/I28</f>
        <v>342.73333333333335</v>
      </c>
      <c r="K28" s="158">
        <v>5141</v>
      </c>
      <c r="L28" s="159">
        <v>0</v>
      </c>
      <c r="M28" s="160">
        <f>SUM(K28:L28)</f>
        <v>5141</v>
      </c>
      <c r="N28" s="161">
        <f>IF(K28/15&lt;=SMG,0,L28/2)</f>
        <v>0</v>
      </c>
      <c r="O28" s="161">
        <f t="shared" ref="O28:O29" si="41">K28+N28</f>
        <v>5141</v>
      </c>
      <c r="P28" s="161">
        <f>VLOOKUP(O28,Tarifa1,1)</f>
        <v>3124.36</v>
      </c>
      <c r="Q28" s="161">
        <f t="shared" ref="Q28:Q29" si="42">O28-P28</f>
        <v>2016.6399999999999</v>
      </c>
      <c r="R28" s="162">
        <f>VLOOKUP(O28,Tarifa1,3)</f>
        <v>0.10879999999999999</v>
      </c>
      <c r="S28" s="161">
        <f t="shared" ref="S28:S29" si="43">Q28*R28</f>
        <v>219.41043199999999</v>
      </c>
      <c r="T28" s="163">
        <f>VLOOKUP(O28,Tarifa1,2)</f>
        <v>183.45</v>
      </c>
      <c r="U28" s="161">
        <f t="shared" ref="U28:U29" si="44">S28+T28</f>
        <v>402.86043199999995</v>
      </c>
      <c r="V28" s="161">
        <f>VLOOKUP(O28,Credito1,2)</f>
        <v>0</v>
      </c>
      <c r="W28" s="161">
        <f t="shared" ref="W28:W29" si="45">ROUND(U28-V28,2)</f>
        <v>402.86</v>
      </c>
      <c r="X28" s="160">
        <f t="shared" ref="X28:X29" si="46">-IF(W28&gt;0,0,W28)</f>
        <v>0</v>
      </c>
      <c r="Y28" s="160">
        <f>IF(K28/15&lt;=SMG,0,IF(W28&lt;0,0,W28))</f>
        <v>402.86</v>
      </c>
      <c r="Z28" s="164">
        <v>0</v>
      </c>
      <c r="AA28" s="160">
        <f>SUM(Y28:Z28)</f>
        <v>402.86</v>
      </c>
      <c r="AB28" s="160">
        <f>M28+X28-AA28</f>
        <v>4738.1400000000003</v>
      </c>
      <c r="AC28" s="89"/>
      <c r="AI28" s="94"/>
    </row>
    <row r="29" spans="1:35" s="4" customFormat="1" ht="99.75" customHeight="1" x14ac:dyDescent="0.35">
      <c r="A29" s="109"/>
      <c r="B29" s="152" t="s">
        <v>206</v>
      </c>
      <c r="C29" s="153" t="s">
        <v>124</v>
      </c>
      <c r="D29" s="227" t="s">
        <v>190</v>
      </c>
      <c r="E29" s="154" t="s">
        <v>198</v>
      </c>
      <c r="F29" s="154" t="s">
        <v>358</v>
      </c>
      <c r="G29" s="232">
        <v>43512</v>
      </c>
      <c r="H29" s="155" t="s">
        <v>191</v>
      </c>
      <c r="I29" s="156">
        <v>15</v>
      </c>
      <c r="J29" s="157"/>
      <c r="K29" s="158">
        <v>5792.51</v>
      </c>
      <c r="L29" s="159">
        <v>0</v>
      </c>
      <c r="M29" s="158">
        <f>K29</f>
        <v>5792.51</v>
      </c>
      <c r="N29" s="161">
        <f t="shared" ref="N29" si="47">IF(K29/15&lt;=SMG,0,L29/2)</f>
        <v>0</v>
      </c>
      <c r="O29" s="161">
        <f t="shared" si="41"/>
        <v>5792.51</v>
      </c>
      <c r="P29" s="161">
        <f t="shared" ref="P29" si="48">VLOOKUP(O29,Tarifa1,1)</f>
        <v>5490.76</v>
      </c>
      <c r="Q29" s="161">
        <f t="shared" si="42"/>
        <v>301.75</v>
      </c>
      <c r="R29" s="162">
        <f t="shared" ref="R29" si="49">VLOOKUP(O29,Tarifa1,3)</f>
        <v>0.16</v>
      </c>
      <c r="S29" s="161">
        <f t="shared" si="43"/>
        <v>48.28</v>
      </c>
      <c r="T29" s="163">
        <f t="shared" ref="T29" si="50">VLOOKUP(O29,Tarifa1,2)</f>
        <v>441</v>
      </c>
      <c r="U29" s="161">
        <f t="shared" si="44"/>
        <v>489.28</v>
      </c>
      <c r="V29" s="161">
        <f t="shared" ref="V29" si="51">VLOOKUP(O29,Credito1,2)</f>
        <v>0</v>
      </c>
      <c r="W29" s="161">
        <f t="shared" si="45"/>
        <v>489.28</v>
      </c>
      <c r="X29" s="160">
        <f t="shared" si="46"/>
        <v>0</v>
      </c>
      <c r="Y29" s="160">
        <f t="shared" ref="Y29" si="52">IF(K29/15&lt;=SMG,0,IF(W29&lt;0,0,W29))</f>
        <v>489.28</v>
      </c>
      <c r="Z29" s="164">
        <v>0</v>
      </c>
      <c r="AA29" s="160">
        <f>SUM(Y29:Z29)</f>
        <v>489.28</v>
      </c>
      <c r="AB29" s="160">
        <f>M29+X29-AA29+L29</f>
        <v>5303.2300000000005</v>
      </c>
      <c r="AC29" s="89"/>
      <c r="AI29" s="94"/>
    </row>
    <row r="30" spans="1:35" s="4" customFormat="1" ht="27.75" customHeight="1" x14ac:dyDescent="0.3">
      <c r="A30" s="180"/>
      <c r="B30" s="180"/>
      <c r="C30" s="180"/>
      <c r="D30" s="180"/>
      <c r="E30" s="180"/>
      <c r="F30" s="180"/>
      <c r="G30" s="180"/>
      <c r="H30" s="180"/>
      <c r="I30" s="180"/>
      <c r="J30" s="180"/>
      <c r="K30" s="186"/>
      <c r="L30" s="186"/>
      <c r="M30" s="186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</row>
    <row r="31" spans="1:35" s="4" customFormat="1" ht="75" customHeight="1" thickBot="1" x14ac:dyDescent="0.35">
      <c r="A31" s="302" t="s">
        <v>44</v>
      </c>
      <c r="B31" s="303"/>
      <c r="C31" s="303"/>
      <c r="D31" s="303"/>
      <c r="E31" s="303"/>
      <c r="F31" s="303"/>
      <c r="G31" s="303"/>
      <c r="H31" s="303"/>
      <c r="I31" s="303"/>
      <c r="J31" s="304"/>
      <c r="K31" s="167">
        <f>K8+K27</f>
        <v>57668.51</v>
      </c>
      <c r="L31" s="167">
        <f>L8+L27</f>
        <v>0</v>
      </c>
      <c r="M31" s="167">
        <f>M8+M27</f>
        <v>57668.51</v>
      </c>
      <c r="N31" s="168">
        <f t="shared" ref="N31:W31" si="53">SUM(N9:N30)</f>
        <v>0</v>
      </c>
      <c r="O31" s="168">
        <f t="shared" si="53"/>
        <v>57668.51</v>
      </c>
      <c r="P31" s="168">
        <f t="shared" si="53"/>
        <v>43853.390000000007</v>
      </c>
      <c r="Q31" s="168">
        <f t="shared" si="53"/>
        <v>13815.119999999995</v>
      </c>
      <c r="R31" s="168">
        <f t="shared" si="53"/>
        <v>1.5551999999999999</v>
      </c>
      <c r="S31" s="168">
        <f t="shared" si="53"/>
        <v>1415.0122879999997</v>
      </c>
      <c r="T31" s="168">
        <f t="shared" si="53"/>
        <v>2873.2499999999995</v>
      </c>
      <c r="U31" s="168">
        <f t="shared" si="53"/>
        <v>4288.2622879999999</v>
      </c>
      <c r="V31" s="168">
        <f t="shared" si="53"/>
        <v>785.69999999999993</v>
      </c>
      <c r="W31" s="168">
        <f t="shared" si="53"/>
        <v>3502.5699999999997</v>
      </c>
      <c r="X31" s="167">
        <f>X8+X27</f>
        <v>49.98</v>
      </c>
      <c r="Y31" s="167">
        <f>Y8+Y27</f>
        <v>3552.5499999999997</v>
      </c>
      <c r="Z31" s="167">
        <f>Z8+Z27</f>
        <v>800</v>
      </c>
      <c r="AA31" s="167">
        <f>AA8+AA27</f>
        <v>4352.55</v>
      </c>
      <c r="AB31" s="167">
        <f>AB8+AB27</f>
        <v>53365.939999999988</v>
      </c>
    </row>
    <row r="32" spans="1:35" s="4" customFormat="1" ht="18" customHeight="1" thickTop="1" x14ac:dyDescent="0.3">
      <c r="A32" s="149"/>
      <c r="B32" s="149"/>
      <c r="C32" s="149"/>
      <c r="D32" s="149"/>
      <c r="E32" s="149"/>
      <c r="F32" s="149"/>
      <c r="G32" s="149"/>
      <c r="H32" s="149"/>
      <c r="I32" s="149"/>
      <c r="J32" s="149"/>
      <c r="K32" s="150"/>
      <c r="L32" s="150"/>
      <c r="M32" s="150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0"/>
      <c r="Y32" s="150"/>
      <c r="Z32" s="150"/>
      <c r="AA32" s="150"/>
      <c r="AB32" s="150"/>
    </row>
    <row r="33" spans="1:28" s="4" customFormat="1" ht="18" customHeight="1" x14ac:dyDescent="0.3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50"/>
      <c r="L33" s="150"/>
      <c r="M33" s="150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0"/>
      <c r="Y33" s="150"/>
      <c r="Z33" s="150"/>
      <c r="AA33" s="150"/>
      <c r="AB33" s="150"/>
    </row>
    <row r="34" spans="1:28" s="4" customFormat="1" ht="18" customHeight="1" x14ac:dyDescent="0.3">
      <c r="A34" s="149"/>
      <c r="B34" s="149"/>
      <c r="C34" s="149"/>
      <c r="D34" s="149"/>
      <c r="E34" s="149"/>
      <c r="F34" s="149"/>
      <c r="G34" s="149"/>
      <c r="H34" s="149"/>
      <c r="I34" s="149"/>
      <c r="J34" s="149"/>
      <c r="K34" s="150"/>
      <c r="L34" s="150"/>
      <c r="M34" s="150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0"/>
      <c r="Y34" s="150"/>
      <c r="Z34" s="150"/>
      <c r="AA34" s="150"/>
      <c r="AB34" s="150"/>
    </row>
    <row r="35" spans="1:28" s="4" customFormat="1" ht="18" customHeight="1" x14ac:dyDescent="0.3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50"/>
      <c r="L35" s="150"/>
      <c r="M35" s="150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0"/>
      <c r="Y35" s="150"/>
      <c r="Z35" s="150"/>
      <c r="AA35" s="150"/>
      <c r="AB35" s="150"/>
    </row>
    <row r="36" spans="1:28" s="4" customFormat="1" ht="18" customHeight="1" x14ac:dyDescent="0.3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50"/>
      <c r="L36" s="150"/>
      <c r="M36" s="150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0"/>
      <c r="Y36" s="150"/>
      <c r="Z36" s="150"/>
      <c r="AA36" s="150"/>
      <c r="AB36" s="150"/>
    </row>
    <row r="37" spans="1:28" s="4" customFormat="1" x14ac:dyDescent="0.25"/>
    <row r="38" spans="1:28" s="4" customFormat="1" x14ac:dyDescent="0.25"/>
    <row r="39" spans="1:28" s="4" customFormat="1" x14ac:dyDescent="0.25"/>
  </sheetData>
  <mergeCells count="10">
    <mergeCell ref="A31:J31"/>
    <mergeCell ref="A1:AC1"/>
    <mergeCell ref="A2:AC2"/>
    <mergeCell ref="A3:AC3"/>
    <mergeCell ref="K5:M5"/>
    <mergeCell ref="P5:U5"/>
    <mergeCell ref="Y5:AA5"/>
    <mergeCell ref="B22:AD22"/>
    <mergeCell ref="B23:AD23"/>
    <mergeCell ref="B24:AD24"/>
  </mergeCells>
  <pageMargins left="0.27559055118110237" right="0.19685039370078741" top="0.74803149606299213" bottom="0.74803149606299213" header="0.31496062992125984" footer="0.31496062992125984"/>
  <pageSetup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topLeftCell="B36" zoomScale="55" zoomScaleNormal="55" workbookViewId="0">
      <selection activeCell="B47" sqref="A47:XFD53"/>
    </sheetView>
  </sheetViews>
  <sheetFormatPr baseColWidth="10" defaultColWidth="11.44140625" defaultRowHeight="13.2" x14ac:dyDescent="0.25"/>
  <cols>
    <col min="1" max="1" width="5.5546875" hidden="1" customWidth="1"/>
    <col min="2" max="2" width="16" customWidth="1"/>
    <col min="3" max="3" width="11.88671875" customWidth="1"/>
    <col min="4" max="4" width="29.33203125" customWidth="1"/>
    <col min="5" max="5" width="24.88671875" customWidth="1"/>
    <col min="6" max="6" width="32.33203125" customWidth="1"/>
    <col min="7" max="7" width="17.44140625" customWidth="1"/>
    <col min="8" max="8" width="21.88671875" customWidth="1"/>
    <col min="9" max="9" width="7.44140625" hidden="1" customWidth="1"/>
    <col min="10" max="10" width="10" hidden="1" customWidth="1"/>
    <col min="11" max="11" width="18.6640625" customWidth="1"/>
    <col min="12" max="12" width="14" customWidth="1"/>
    <col min="13" max="13" width="17.33203125" customWidth="1"/>
    <col min="14" max="14" width="13.109375" hidden="1" customWidth="1"/>
    <col min="15" max="15" width="14.6640625" hidden="1" customWidth="1"/>
    <col min="16" max="16" width="15.5546875" hidden="1" customWidth="1"/>
    <col min="17" max="17" width="14.5546875" hidden="1" customWidth="1"/>
    <col min="18" max="19" width="13.109375" hidden="1" customWidth="1"/>
    <col min="20" max="20" width="10.5546875" hidden="1" customWidth="1"/>
    <col min="21" max="21" width="10.44140625" hidden="1" customWidth="1"/>
    <col min="22" max="22" width="13.109375" hidden="1" customWidth="1"/>
    <col min="23" max="23" width="11.5546875" hidden="1" customWidth="1"/>
    <col min="24" max="24" width="12.5546875" customWidth="1"/>
    <col min="25" max="25" width="16.6640625" customWidth="1"/>
    <col min="26" max="26" width="16.88671875" customWidth="1"/>
    <col min="27" max="27" width="16.109375" customWidth="1"/>
    <col min="28" max="28" width="17.44140625" customWidth="1"/>
    <col min="29" max="29" width="65.33203125" customWidth="1"/>
    <col min="30" max="30" width="1.33203125" customWidth="1"/>
  </cols>
  <sheetData>
    <row r="1" spans="1:35" ht="19.8" x14ac:dyDescent="0.3">
      <c r="A1" s="305" t="s">
        <v>78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</row>
    <row r="2" spans="1:35" ht="19.8" x14ac:dyDescent="0.3">
      <c r="A2" s="305" t="s">
        <v>64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</row>
    <row r="3" spans="1:35" ht="19.8" x14ac:dyDescent="0.3">
      <c r="A3" s="306" t="s">
        <v>477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</row>
    <row r="4" spans="1:35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</row>
    <row r="5" spans="1:35" s="51" customFormat="1" ht="21" customHeight="1" x14ac:dyDescent="0.3">
      <c r="A5" s="47"/>
      <c r="B5" s="47"/>
      <c r="C5" s="339" t="s">
        <v>133</v>
      </c>
      <c r="D5" s="47"/>
      <c r="E5" s="47"/>
      <c r="F5" s="47"/>
      <c r="G5" s="47"/>
      <c r="H5" s="47"/>
      <c r="I5" s="48" t="s">
        <v>22</v>
      </c>
      <c r="J5" s="48" t="s">
        <v>5</v>
      </c>
      <c r="K5" s="307" t="s">
        <v>1</v>
      </c>
      <c r="L5" s="308"/>
      <c r="M5" s="309"/>
      <c r="N5" s="121" t="s">
        <v>25</v>
      </c>
      <c r="O5" s="122"/>
      <c r="P5" s="310" t="s">
        <v>8</v>
      </c>
      <c r="Q5" s="311"/>
      <c r="R5" s="311"/>
      <c r="S5" s="311"/>
      <c r="T5" s="311"/>
      <c r="U5" s="312"/>
      <c r="V5" s="121" t="s">
        <v>29</v>
      </c>
      <c r="W5" s="121" t="s">
        <v>9</v>
      </c>
      <c r="X5" s="120" t="s">
        <v>52</v>
      </c>
      <c r="Y5" s="313" t="s">
        <v>2</v>
      </c>
      <c r="Z5" s="314"/>
      <c r="AA5" s="315"/>
      <c r="AB5" s="120" t="s">
        <v>0</v>
      </c>
      <c r="AC5" s="47"/>
    </row>
    <row r="6" spans="1:35" s="51" customFormat="1" ht="31.2" x14ac:dyDescent="0.3">
      <c r="A6" s="52" t="s">
        <v>20</v>
      </c>
      <c r="B6" s="123" t="s">
        <v>101</v>
      </c>
      <c r="C6" s="340"/>
      <c r="D6" s="124" t="s">
        <v>21</v>
      </c>
      <c r="E6" s="52"/>
      <c r="F6" s="52"/>
      <c r="G6" s="52"/>
      <c r="H6" s="52"/>
      <c r="I6" s="53" t="s">
        <v>23</v>
      </c>
      <c r="J6" s="52" t="s">
        <v>24</v>
      </c>
      <c r="K6" s="120" t="s">
        <v>5</v>
      </c>
      <c r="L6" s="120" t="s">
        <v>58</v>
      </c>
      <c r="M6" s="120" t="s">
        <v>27</v>
      </c>
      <c r="N6" s="125" t="s">
        <v>26</v>
      </c>
      <c r="O6" s="122" t="s">
        <v>31</v>
      </c>
      <c r="P6" s="122" t="s">
        <v>11</v>
      </c>
      <c r="Q6" s="122" t="s">
        <v>33</v>
      </c>
      <c r="R6" s="122" t="s">
        <v>35</v>
      </c>
      <c r="S6" s="122" t="s">
        <v>36</v>
      </c>
      <c r="T6" s="118" t="s">
        <v>13</v>
      </c>
      <c r="U6" s="122" t="s">
        <v>9</v>
      </c>
      <c r="V6" s="125" t="s">
        <v>39</v>
      </c>
      <c r="W6" s="125" t="s">
        <v>40</v>
      </c>
      <c r="X6" s="124" t="s">
        <v>30</v>
      </c>
      <c r="Y6" s="120" t="s">
        <v>433</v>
      </c>
      <c r="Z6" s="120" t="s">
        <v>56</v>
      </c>
      <c r="AA6" s="120" t="s">
        <v>6</v>
      </c>
      <c r="AB6" s="124" t="s">
        <v>3</v>
      </c>
      <c r="AC6" s="124" t="s">
        <v>57</v>
      </c>
    </row>
    <row r="7" spans="1:35" s="51" customFormat="1" ht="15.6" x14ac:dyDescent="0.3">
      <c r="A7" s="52"/>
      <c r="B7" s="52"/>
      <c r="C7" s="341"/>
      <c r="D7" s="52"/>
      <c r="E7" s="52"/>
      <c r="F7" s="52"/>
      <c r="G7" s="52"/>
      <c r="H7" s="52"/>
      <c r="I7" s="52"/>
      <c r="J7" s="52"/>
      <c r="K7" s="124" t="s">
        <v>46</v>
      </c>
      <c r="L7" s="124" t="s">
        <v>59</v>
      </c>
      <c r="M7" s="124" t="s">
        <v>28</v>
      </c>
      <c r="N7" s="125" t="s">
        <v>42</v>
      </c>
      <c r="O7" s="121" t="s">
        <v>32</v>
      </c>
      <c r="P7" s="121" t="s">
        <v>12</v>
      </c>
      <c r="Q7" s="121" t="s">
        <v>34</v>
      </c>
      <c r="R7" s="121" t="s">
        <v>34</v>
      </c>
      <c r="S7" s="121" t="s">
        <v>37</v>
      </c>
      <c r="T7" s="267" t="s">
        <v>14</v>
      </c>
      <c r="U7" s="121" t="s">
        <v>38</v>
      </c>
      <c r="V7" s="125" t="s">
        <v>18</v>
      </c>
      <c r="W7" s="129" t="s">
        <v>255</v>
      </c>
      <c r="X7" s="124" t="s">
        <v>51</v>
      </c>
      <c r="Y7" s="124"/>
      <c r="Z7" s="124"/>
      <c r="AA7" s="124" t="s">
        <v>43</v>
      </c>
      <c r="AB7" s="124" t="s">
        <v>4</v>
      </c>
      <c r="AC7" s="56"/>
    </row>
    <row r="8" spans="1:35" s="51" customFormat="1" ht="84.9" customHeight="1" x14ac:dyDescent="0.3">
      <c r="A8" s="37"/>
      <c r="B8" s="204" t="s">
        <v>101</v>
      </c>
      <c r="C8" s="204" t="s">
        <v>133</v>
      </c>
      <c r="D8" s="204" t="s">
        <v>160</v>
      </c>
      <c r="E8" s="259" t="s">
        <v>102</v>
      </c>
      <c r="F8" s="259" t="s">
        <v>326</v>
      </c>
      <c r="G8" s="204" t="s">
        <v>468</v>
      </c>
      <c r="H8" s="259" t="s">
        <v>61</v>
      </c>
      <c r="I8" s="259"/>
      <c r="J8" s="259"/>
      <c r="K8" s="260">
        <f>SUM(K9:K9)</f>
        <v>7013</v>
      </c>
      <c r="L8" s="260">
        <f>SUM(L9:L9)</f>
        <v>0</v>
      </c>
      <c r="M8" s="260">
        <f>SUM(M9:M9)</f>
        <v>7013</v>
      </c>
      <c r="N8" s="259"/>
      <c r="O8" s="259"/>
      <c r="P8" s="259"/>
      <c r="Q8" s="259"/>
      <c r="R8" s="259"/>
      <c r="S8" s="259"/>
      <c r="T8" s="262"/>
      <c r="U8" s="259"/>
      <c r="V8" s="259"/>
      <c r="W8" s="259"/>
      <c r="X8" s="260">
        <f>SUM(X9:X9)</f>
        <v>0</v>
      </c>
      <c r="Y8" s="260">
        <f>SUM(Y9:Y9)</f>
        <v>696.58</v>
      </c>
      <c r="Z8" s="260">
        <f>SUM(Z9:Z9)</f>
        <v>0</v>
      </c>
      <c r="AA8" s="260">
        <f>SUM(AA9:AA9)</f>
        <v>696.58</v>
      </c>
      <c r="AB8" s="260">
        <f>SUM(AB9:AB9)</f>
        <v>6316.42</v>
      </c>
      <c r="AC8" s="99"/>
    </row>
    <row r="9" spans="1:35" s="51" customFormat="1" ht="131.25" customHeight="1" x14ac:dyDescent="0.35">
      <c r="A9" s="37"/>
      <c r="B9" s="187">
        <v>275</v>
      </c>
      <c r="C9" s="188" t="s">
        <v>124</v>
      </c>
      <c r="D9" s="276" t="s">
        <v>306</v>
      </c>
      <c r="E9" s="189" t="s">
        <v>307</v>
      </c>
      <c r="F9" s="189" t="s">
        <v>372</v>
      </c>
      <c r="G9" s="237">
        <v>44476</v>
      </c>
      <c r="H9" s="190" t="s">
        <v>258</v>
      </c>
      <c r="I9" s="174">
        <v>15</v>
      </c>
      <c r="J9" s="174"/>
      <c r="K9" s="158">
        <v>7013</v>
      </c>
      <c r="L9" s="159">
        <v>0</v>
      </c>
      <c r="M9" s="160">
        <f>SUM(K9:L9)</f>
        <v>7013</v>
      </c>
      <c r="N9" s="161">
        <f>IF(K9/15&lt;=SMG,0,L9/2)</f>
        <v>0</v>
      </c>
      <c r="O9" s="161">
        <f>K9+N9</f>
        <v>7013</v>
      </c>
      <c r="P9" s="161">
        <f>VLOOKUP(O9,Tarifa1,1)</f>
        <v>6382.81</v>
      </c>
      <c r="Q9" s="161">
        <f>O9-P9</f>
        <v>630.1899999999996</v>
      </c>
      <c r="R9" s="162">
        <f>VLOOKUP(O9,Tarifa1,3)</f>
        <v>0.1792</v>
      </c>
      <c r="S9" s="161">
        <f>Q9*R9</f>
        <v>112.93004799999993</v>
      </c>
      <c r="T9" s="163">
        <f>VLOOKUP(O9,Tarifa1,2)</f>
        <v>583.65</v>
      </c>
      <c r="U9" s="161">
        <f>S9+T9</f>
        <v>696.58004799999992</v>
      </c>
      <c r="V9" s="161">
        <f>VLOOKUP(O9,Credito1,2)</f>
        <v>0</v>
      </c>
      <c r="W9" s="161">
        <f>ROUND(U9-V9,2)</f>
        <v>696.58</v>
      </c>
      <c r="X9" s="160">
        <f>-IF(W9&gt;0,0,W9)</f>
        <v>0</v>
      </c>
      <c r="Y9" s="160">
        <f>IF(K9/15&lt;=SMG,0,IF(W9&lt;0,0,W9))</f>
        <v>696.58</v>
      </c>
      <c r="Z9" s="164">
        <v>0</v>
      </c>
      <c r="AA9" s="160">
        <f>SUM(Y9:Z9)</f>
        <v>696.58</v>
      </c>
      <c r="AB9" s="160">
        <f>M9+X9-AA9</f>
        <v>6316.42</v>
      </c>
      <c r="AC9" s="147"/>
    </row>
    <row r="10" spans="1:35" s="51" customFormat="1" ht="131.25" customHeight="1" x14ac:dyDescent="0.3">
      <c r="A10" s="37"/>
      <c r="B10" s="152" t="s">
        <v>176</v>
      </c>
      <c r="C10" s="153" t="s">
        <v>124</v>
      </c>
      <c r="D10" s="277" t="s">
        <v>153</v>
      </c>
      <c r="E10" s="166" t="s">
        <v>168</v>
      </c>
      <c r="F10" s="205" t="s">
        <v>342</v>
      </c>
      <c r="G10" s="232">
        <v>43374</v>
      </c>
      <c r="H10" s="155" t="s">
        <v>401</v>
      </c>
      <c r="I10" s="156">
        <v>15</v>
      </c>
      <c r="J10" s="157">
        <v>341.11</v>
      </c>
      <c r="K10" s="158">
        <v>4814</v>
      </c>
      <c r="L10" s="159">
        <v>0</v>
      </c>
      <c r="M10" s="160">
        <f>SUM(K10:L10)</f>
        <v>4814</v>
      </c>
      <c r="N10" s="161">
        <f>IF(K10/15&lt;=SMG,0,L10/2)</f>
        <v>0</v>
      </c>
      <c r="O10" s="161">
        <f>K10+N10</f>
        <v>4814</v>
      </c>
      <c r="P10" s="161">
        <f>VLOOKUP(O10,Tarifa1,1)</f>
        <v>3124.36</v>
      </c>
      <c r="Q10" s="161">
        <f>O10-P10</f>
        <v>1689.6399999999999</v>
      </c>
      <c r="R10" s="162">
        <f>VLOOKUP(O10,Tarifa1,3)</f>
        <v>0.10879999999999999</v>
      </c>
      <c r="S10" s="161">
        <f>Q10*R10</f>
        <v>183.83283199999997</v>
      </c>
      <c r="T10" s="163">
        <f>VLOOKUP(O10,Tarifa1,2)</f>
        <v>183.45</v>
      </c>
      <c r="U10" s="161">
        <f>S10+T10</f>
        <v>367.28283199999998</v>
      </c>
      <c r="V10" s="161">
        <f>VLOOKUP(O10,Credito1,2)</f>
        <v>0</v>
      </c>
      <c r="W10" s="161">
        <f>ROUND(U10-V10,2)</f>
        <v>367.28</v>
      </c>
      <c r="X10" s="160">
        <f>-IF(W10&gt;0,0,W10)</f>
        <v>0</v>
      </c>
      <c r="Y10" s="160">
        <f>IF(K10/15&lt;=SMG,0,IF(W10&lt;0,0,W10))</f>
        <v>367.28</v>
      </c>
      <c r="Z10" s="164">
        <v>0</v>
      </c>
      <c r="AA10" s="160">
        <f>SUM(Y10:Z10)</f>
        <v>367.28</v>
      </c>
      <c r="AB10" s="160">
        <f>M10+X10-AA10</f>
        <v>4446.72</v>
      </c>
      <c r="AC10" s="147"/>
    </row>
    <row r="11" spans="1:35" s="51" customFormat="1" ht="84.9" customHeight="1" x14ac:dyDescent="0.3">
      <c r="A11" s="45"/>
      <c r="B11" s="204" t="s">
        <v>101</v>
      </c>
      <c r="C11" s="204" t="s">
        <v>133</v>
      </c>
      <c r="D11" s="259" t="s">
        <v>136</v>
      </c>
      <c r="E11" s="259" t="s">
        <v>102</v>
      </c>
      <c r="F11" s="259" t="s">
        <v>326</v>
      </c>
      <c r="G11" s="204" t="s">
        <v>468</v>
      </c>
      <c r="H11" s="259" t="s">
        <v>61</v>
      </c>
      <c r="I11" s="259"/>
      <c r="J11" s="259"/>
      <c r="K11" s="260">
        <f>SUM(K12:K13)</f>
        <v>10858</v>
      </c>
      <c r="L11" s="260">
        <f>SUM(L12:L13)</f>
        <v>0</v>
      </c>
      <c r="M11" s="260">
        <f>SUM(M12:M13)</f>
        <v>10858</v>
      </c>
      <c r="N11" s="259"/>
      <c r="O11" s="259"/>
      <c r="P11" s="259"/>
      <c r="Q11" s="259"/>
      <c r="R11" s="259"/>
      <c r="S11" s="259"/>
      <c r="T11" s="262"/>
      <c r="U11" s="259"/>
      <c r="V11" s="259"/>
      <c r="W11" s="259"/>
      <c r="X11" s="260">
        <f>SUM(X12:X13)</f>
        <v>0</v>
      </c>
      <c r="Y11" s="260">
        <f>SUM(Y12:Y13)</f>
        <v>948.57999999999993</v>
      </c>
      <c r="Z11" s="260">
        <f>SUM(Z12:Z13)</f>
        <v>0</v>
      </c>
      <c r="AA11" s="260">
        <f>SUM(AA12:AA13)</f>
        <v>948.57999999999993</v>
      </c>
      <c r="AB11" s="260">
        <f>SUM(AB12:AB13)</f>
        <v>9909.42</v>
      </c>
      <c r="AC11" s="99"/>
      <c r="AI11" s="59"/>
    </row>
    <row r="12" spans="1:35" s="51" customFormat="1" ht="130.5" customHeight="1" x14ac:dyDescent="0.3">
      <c r="A12" s="45" t="s">
        <v>87</v>
      </c>
      <c r="B12" s="153" t="s">
        <v>122</v>
      </c>
      <c r="C12" s="153" t="s">
        <v>124</v>
      </c>
      <c r="D12" s="277" t="s">
        <v>93</v>
      </c>
      <c r="E12" s="166" t="s">
        <v>123</v>
      </c>
      <c r="F12" s="166" t="s">
        <v>336</v>
      </c>
      <c r="G12" s="235">
        <v>42278</v>
      </c>
      <c r="H12" s="155" t="s">
        <v>94</v>
      </c>
      <c r="I12" s="156">
        <v>15</v>
      </c>
      <c r="J12" s="157">
        <f t="shared" ref="J12:J34" si="0">K12/I12</f>
        <v>458.2</v>
      </c>
      <c r="K12" s="158">
        <v>6873</v>
      </c>
      <c r="L12" s="159">
        <v>0</v>
      </c>
      <c r="M12" s="160">
        <f>SUM(K12:L12)</f>
        <v>6873</v>
      </c>
      <c r="N12" s="161">
        <f>IF(K12/15&lt;=SMG,0,L12/2)</f>
        <v>0</v>
      </c>
      <c r="O12" s="161">
        <f>K12+N12</f>
        <v>6873</v>
      </c>
      <c r="P12" s="161">
        <f>VLOOKUP(O12,Tarifa1,1)</f>
        <v>6382.81</v>
      </c>
      <c r="Q12" s="161">
        <f>O12-P12</f>
        <v>490.1899999999996</v>
      </c>
      <c r="R12" s="162">
        <f>VLOOKUP(O12,Tarifa1,3)</f>
        <v>0.1792</v>
      </c>
      <c r="S12" s="161">
        <f>Q12*R12</f>
        <v>87.842047999999934</v>
      </c>
      <c r="T12" s="163">
        <f>VLOOKUP(O12,Tarifa1,2)</f>
        <v>583.65</v>
      </c>
      <c r="U12" s="161">
        <f>S12+T12</f>
        <v>671.49204799999995</v>
      </c>
      <c r="V12" s="161">
        <f>VLOOKUP(O12,Credito1,2)</f>
        <v>0</v>
      </c>
      <c r="W12" s="161">
        <f>ROUND(U12-V12,2)</f>
        <v>671.49</v>
      </c>
      <c r="X12" s="160">
        <f>-IF(W12&gt;0,0,W12)</f>
        <v>0</v>
      </c>
      <c r="Y12" s="160">
        <f>IF(K12/15&lt;=SMG,0,IF(W12&lt;0,0,W12))</f>
        <v>671.49</v>
      </c>
      <c r="Z12" s="164">
        <v>0</v>
      </c>
      <c r="AA12" s="160">
        <f>SUM(Y12:Z12)</f>
        <v>671.49</v>
      </c>
      <c r="AB12" s="160">
        <f>M12+X12-AA12</f>
        <v>6201.51</v>
      </c>
      <c r="AC12" s="92"/>
      <c r="AI12" s="64"/>
    </row>
    <row r="13" spans="1:35" s="51" customFormat="1" ht="130.5" customHeight="1" x14ac:dyDescent="0.3">
      <c r="A13" s="45"/>
      <c r="B13" s="152" t="s">
        <v>207</v>
      </c>
      <c r="C13" s="153" t="s">
        <v>124</v>
      </c>
      <c r="D13" s="277" t="s">
        <v>187</v>
      </c>
      <c r="E13" s="166" t="s">
        <v>199</v>
      </c>
      <c r="F13" s="166" t="s">
        <v>423</v>
      </c>
      <c r="G13" s="235">
        <v>43512</v>
      </c>
      <c r="H13" s="155" t="s">
        <v>188</v>
      </c>
      <c r="I13" s="156">
        <v>15</v>
      </c>
      <c r="J13" s="157"/>
      <c r="K13" s="158">
        <v>3985</v>
      </c>
      <c r="L13" s="159">
        <v>0</v>
      </c>
      <c r="M13" s="160">
        <f>SUM(K13:L13)</f>
        <v>3985</v>
      </c>
      <c r="N13" s="161">
        <f>IF(K13/15&lt;=SMG,0,L13/2)</f>
        <v>0</v>
      </c>
      <c r="O13" s="161">
        <f>K13+N13</f>
        <v>3985</v>
      </c>
      <c r="P13" s="161">
        <f>VLOOKUP(O13,Tarifa1,1)</f>
        <v>3124.36</v>
      </c>
      <c r="Q13" s="161">
        <f>O13-P13</f>
        <v>860.63999999999987</v>
      </c>
      <c r="R13" s="162">
        <f>VLOOKUP(O13,Tarifa1,3)</f>
        <v>0.10879999999999999</v>
      </c>
      <c r="S13" s="161">
        <f>Q13*R13</f>
        <v>93.637631999999982</v>
      </c>
      <c r="T13" s="163">
        <f>VLOOKUP(O13,Tarifa1,2)</f>
        <v>183.45</v>
      </c>
      <c r="U13" s="161">
        <f>S13+T13</f>
        <v>277.08763199999999</v>
      </c>
      <c r="V13" s="161">
        <f>VLOOKUP(O13,Credito1,2)</f>
        <v>0</v>
      </c>
      <c r="W13" s="161">
        <f>ROUND(U13-V13,2)</f>
        <v>277.08999999999997</v>
      </c>
      <c r="X13" s="160">
        <f>-IF(W13&gt;0,0,W13)</f>
        <v>0</v>
      </c>
      <c r="Y13" s="160">
        <f>IF(K13/15&lt;=SMG,0,IF(W13&lt;0,0,W13))</f>
        <v>277.08999999999997</v>
      </c>
      <c r="Z13" s="164">
        <v>0</v>
      </c>
      <c r="AA13" s="160">
        <f>SUM(Y13:Z13)</f>
        <v>277.08999999999997</v>
      </c>
      <c r="AB13" s="160">
        <f>M13+X13-AA13</f>
        <v>3707.91</v>
      </c>
      <c r="AC13" s="110"/>
      <c r="AI13" s="64"/>
    </row>
    <row r="14" spans="1:35" s="51" customFormat="1" ht="51.75" customHeight="1" x14ac:dyDescent="0.3">
      <c r="A14" s="45"/>
      <c r="B14" s="204" t="s">
        <v>101</v>
      </c>
      <c r="C14" s="204" t="s">
        <v>133</v>
      </c>
      <c r="D14" s="259" t="s">
        <v>137</v>
      </c>
      <c r="E14" s="259" t="s">
        <v>102</v>
      </c>
      <c r="F14" s="259" t="s">
        <v>326</v>
      </c>
      <c r="G14" s="204" t="s">
        <v>468</v>
      </c>
      <c r="H14" s="259" t="s">
        <v>61</v>
      </c>
      <c r="I14" s="259"/>
      <c r="J14" s="259"/>
      <c r="K14" s="260">
        <f>SUM(K15:K17)</f>
        <v>16828</v>
      </c>
      <c r="L14" s="260">
        <f>SUM(L15:L17)</f>
        <v>0</v>
      </c>
      <c r="M14" s="260">
        <f>SUM(M15:M17)</f>
        <v>16828</v>
      </c>
      <c r="N14" s="259"/>
      <c r="O14" s="259"/>
      <c r="P14" s="259"/>
      <c r="Q14" s="259"/>
      <c r="R14" s="259"/>
      <c r="S14" s="259"/>
      <c r="T14" s="262"/>
      <c r="U14" s="259"/>
      <c r="V14" s="259"/>
      <c r="W14" s="259"/>
      <c r="X14" s="260">
        <f>SUM(X15:X17)</f>
        <v>0</v>
      </c>
      <c r="Y14" s="260">
        <f>SUM(Y15:Y17)</f>
        <v>1483.24</v>
      </c>
      <c r="Z14" s="260">
        <f>SUM(Z15:Z17)</f>
        <v>2500</v>
      </c>
      <c r="AA14" s="260">
        <f>SUM(AA15:AA17)</f>
        <v>3983.24</v>
      </c>
      <c r="AB14" s="260">
        <f>SUM(AB15:AB17)</f>
        <v>12844.76</v>
      </c>
      <c r="AC14" s="99"/>
      <c r="AI14" s="64"/>
    </row>
    <row r="15" spans="1:35" s="51" customFormat="1" ht="130.5" customHeight="1" x14ac:dyDescent="0.35">
      <c r="A15" s="45" t="s">
        <v>88</v>
      </c>
      <c r="B15" s="191">
        <v>185</v>
      </c>
      <c r="C15" s="153" t="s">
        <v>124</v>
      </c>
      <c r="D15" s="278" t="s">
        <v>165</v>
      </c>
      <c r="E15" s="192" t="s">
        <v>175</v>
      </c>
      <c r="F15" s="192" t="s">
        <v>351</v>
      </c>
      <c r="G15" s="234">
        <v>43374</v>
      </c>
      <c r="H15" s="155" t="s">
        <v>95</v>
      </c>
      <c r="I15" s="156">
        <v>15</v>
      </c>
      <c r="J15" s="157">
        <f t="shared" si="0"/>
        <v>497.6</v>
      </c>
      <c r="K15" s="158">
        <v>7464</v>
      </c>
      <c r="L15" s="159">
        <v>0</v>
      </c>
      <c r="M15" s="160">
        <f t="shared" ref="M15" si="1">SUM(K15:L15)</f>
        <v>7464</v>
      </c>
      <c r="N15" s="161">
        <f>IF(K15/15&lt;=SMG,0,L15/2)</f>
        <v>0</v>
      </c>
      <c r="O15" s="161">
        <f>K15+N15</f>
        <v>7464</v>
      </c>
      <c r="P15" s="161">
        <f>VLOOKUP(O15,Tarifa1,1)</f>
        <v>6382.81</v>
      </c>
      <c r="Q15" s="161">
        <f>O15-P15</f>
        <v>1081.1899999999996</v>
      </c>
      <c r="R15" s="162">
        <f>VLOOKUP(O15,Tarifa1,3)</f>
        <v>0.1792</v>
      </c>
      <c r="S15" s="161">
        <f>Q15*R15</f>
        <v>193.74924799999994</v>
      </c>
      <c r="T15" s="163">
        <f>VLOOKUP(O15,Tarifa1,2)</f>
        <v>583.65</v>
      </c>
      <c r="U15" s="161">
        <f>S15+T15</f>
        <v>777.39924799999994</v>
      </c>
      <c r="V15" s="161">
        <f>VLOOKUP(O15,Credito1,2)</f>
        <v>0</v>
      </c>
      <c r="W15" s="161">
        <f>ROUND(U15-V15,2)</f>
        <v>777.4</v>
      </c>
      <c r="X15" s="160">
        <f>-IF(W15&gt;0,0,W15)</f>
        <v>0</v>
      </c>
      <c r="Y15" s="160">
        <f>IF(K15/15&lt;=SMG,0,IF(W15&lt;0,0,W15))</f>
        <v>777.4</v>
      </c>
      <c r="Z15" s="164">
        <v>1000</v>
      </c>
      <c r="AA15" s="160">
        <f t="shared" ref="AA15" si="2">SUM(Y15:Z15)</f>
        <v>1777.4</v>
      </c>
      <c r="AB15" s="160">
        <f t="shared" ref="AB15" si="3">M15+X15-AA15</f>
        <v>5686.6</v>
      </c>
      <c r="AC15" s="92"/>
      <c r="AI15" s="64"/>
    </row>
    <row r="16" spans="1:35" s="51" customFormat="1" ht="130.5" customHeight="1" x14ac:dyDescent="0.35">
      <c r="A16" s="45"/>
      <c r="B16" s="152" t="s">
        <v>441</v>
      </c>
      <c r="C16" s="153" t="s">
        <v>124</v>
      </c>
      <c r="D16" s="229" t="s">
        <v>438</v>
      </c>
      <c r="E16" s="170" t="s">
        <v>439</v>
      </c>
      <c r="F16" s="170" t="s">
        <v>440</v>
      </c>
      <c r="G16" s="236">
        <v>44958</v>
      </c>
      <c r="H16" s="155" t="s">
        <v>158</v>
      </c>
      <c r="I16" s="156">
        <v>15</v>
      </c>
      <c r="J16" s="157">
        <f>K16/I16</f>
        <v>358.6</v>
      </c>
      <c r="K16" s="158">
        <v>5379</v>
      </c>
      <c r="L16" s="159">
        <v>0</v>
      </c>
      <c r="M16" s="160">
        <f>SUM(K16:L16)</f>
        <v>5379</v>
      </c>
      <c r="N16" s="161">
        <f>IF(K16/15&lt;=SMG,0,L16/2)</f>
        <v>0</v>
      </c>
      <c r="O16" s="161">
        <f t="shared" ref="O16:O17" si="4">K16+N16</f>
        <v>5379</v>
      </c>
      <c r="P16" s="161">
        <f>VLOOKUP(O16,Tarifa1,1)</f>
        <v>3124.36</v>
      </c>
      <c r="Q16" s="161">
        <f t="shared" ref="Q16:Q17" si="5">O16-P16</f>
        <v>2254.64</v>
      </c>
      <c r="R16" s="162">
        <f>VLOOKUP(O16,Tarifa1,3)</f>
        <v>0.10879999999999999</v>
      </c>
      <c r="S16" s="161">
        <f t="shared" ref="S16:S17" si="6">Q16*R16</f>
        <v>245.30483199999998</v>
      </c>
      <c r="T16" s="163">
        <f>VLOOKUP(O16,Tarifa1,2)</f>
        <v>183.45</v>
      </c>
      <c r="U16" s="161">
        <f t="shared" ref="U16:U17" si="7">S16+T16</f>
        <v>428.75483199999996</v>
      </c>
      <c r="V16" s="161">
        <f>VLOOKUP(O16,Credito1,2)</f>
        <v>0</v>
      </c>
      <c r="W16" s="161">
        <f t="shared" ref="W16:W17" si="8">ROUND(U16-V16,2)</f>
        <v>428.75</v>
      </c>
      <c r="X16" s="160">
        <f t="shared" ref="X16:X17" si="9">-IF(W16&gt;0,0,W16)</f>
        <v>0</v>
      </c>
      <c r="Y16" s="160">
        <f>IF(K16/15&lt;=SMG,0,IF(W16&lt;0,0,W16))</f>
        <v>428.75</v>
      </c>
      <c r="Z16" s="164">
        <v>0</v>
      </c>
      <c r="AA16" s="160">
        <f>SUM(Y16:Z16)</f>
        <v>428.75</v>
      </c>
      <c r="AB16" s="160">
        <f>M16+X16-AA16</f>
        <v>4950.25</v>
      </c>
      <c r="AC16" s="92"/>
      <c r="AI16" s="64"/>
    </row>
    <row r="17" spans="1:35" s="51" customFormat="1" ht="130.5" customHeight="1" x14ac:dyDescent="0.35">
      <c r="A17" s="45"/>
      <c r="B17" s="152" t="s">
        <v>217</v>
      </c>
      <c r="C17" s="153" t="s">
        <v>124</v>
      </c>
      <c r="D17" s="279" t="s">
        <v>213</v>
      </c>
      <c r="E17" s="170" t="s">
        <v>215</v>
      </c>
      <c r="F17" s="170" t="s">
        <v>360</v>
      </c>
      <c r="G17" s="236">
        <v>43617</v>
      </c>
      <c r="H17" s="155" t="s">
        <v>214</v>
      </c>
      <c r="I17" s="156">
        <v>15</v>
      </c>
      <c r="J17" s="157"/>
      <c r="K17" s="158">
        <v>3985</v>
      </c>
      <c r="L17" s="159">
        <v>0</v>
      </c>
      <c r="M17" s="160">
        <f>SUM(K17:L17)</f>
        <v>3985</v>
      </c>
      <c r="N17" s="161">
        <f>IF(K17/15&lt;=SMG,0,L17/2)</f>
        <v>0</v>
      </c>
      <c r="O17" s="161">
        <f t="shared" si="4"/>
        <v>3985</v>
      </c>
      <c r="P17" s="161">
        <f>VLOOKUP(O17,Tarifa1,1)</f>
        <v>3124.36</v>
      </c>
      <c r="Q17" s="161">
        <f t="shared" si="5"/>
        <v>860.63999999999987</v>
      </c>
      <c r="R17" s="162">
        <f>VLOOKUP(O17,Tarifa1,3)</f>
        <v>0.10879999999999999</v>
      </c>
      <c r="S17" s="161">
        <f t="shared" si="6"/>
        <v>93.637631999999982</v>
      </c>
      <c r="T17" s="163">
        <f>VLOOKUP(O17,Tarifa1,2)</f>
        <v>183.45</v>
      </c>
      <c r="U17" s="161">
        <f t="shared" si="7"/>
        <v>277.08763199999999</v>
      </c>
      <c r="V17" s="161">
        <f>VLOOKUP(O17,Credito1,2)</f>
        <v>0</v>
      </c>
      <c r="W17" s="161">
        <f t="shared" si="8"/>
        <v>277.08999999999997</v>
      </c>
      <c r="X17" s="160">
        <f t="shared" si="9"/>
        <v>0</v>
      </c>
      <c r="Y17" s="160">
        <f>IF(K17/15&lt;=SMG,0,IF(W17&lt;0,0,W17))</f>
        <v>277.08999999999997</v>
      </c>
      <c r="Z17" s="164">
        <v>1500</v>
      </c>
      <c r="AA17" s="160">
        <f>SUM(Y17:Z17)</f>
        <v>1777.09</v>
      </c>
      <c r="AB17" s="160">
        <f>M17+X17-AA17</f>
        <v>2207.91</v>
      </c>
      <c r="AC17" s="92"/>
      <c r="AI17" s="64"/>
    </row>
    <row r="18" spans="1:35" s="51" customFormat="1" ht="24" customHeight="1" x14ac:dyDescent="0.3">
      <c r="A18" s="45"/>
      <c r="B18" s="217"/>
      <c r="C18" s="200"/>
      <c r="D18" s="218"/>
      <c r="E18" s="218"/>
      <c r="F18" s="218"/>
      <c r="G18" s="218"/>
      <c r="H18" s="209"/>
      <c r="I18" s="210"/>
      <c r="J18" s="211"/>
      <c r="K18" s="212"/>
      <c r="L18" s="213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5"/>
      <c r="AA18" s="214"/>
      <c r="AB18" s="214"/>
      <c r="AC18" s="93"/>
      <c r="AI18" s="64"/>
    </row>
    <row r="19" spans="1:35" s="51" customFormat="1" ht="24" customHeight="1" x14ac:dyDescent="0.3">
      <c r="A19" s="45"/>
      <c r="B19" s="217"/>
      <c r="C19" s="200"/>
      <c r="D19" s="218"/>
      <c r="E19" s="218"/>
      <c r="F19" s="218"/>
      <c r="G19" s="218"/>
      <c r="H19" s="209"/>
      <c r="I19" s="210"/>
      <c r="J19" s="211"/>
      <c r="K19" s="212"/>
      <c r="L19" s="213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5"/>
      <c r="AA19" s="214"/>
      <c r="AB19" s="214"/>
      <c r="AC19" s="93"/>
      <c r="AI19" s="64"/>
    </row>
    <row r="20" spans="1:35" s="51" customFormat="1" ht="24" customHeight="1" x14ac:dyDescent="0.3">
      <c r="A20" s="45"/>
      <c r="B20" s="217"/>
      <c r="C20" s="200"/>
      <c r="D20" s="218"/>
      <c r="E20" s="218"/>
      <c r="F20" s="218"/>
      <c r="G20" s="218"/>
      <c r="H20" s="209"/>
      <c r="I20" s="210"/>
      <c r="J20" s="211"/>
      <c r="K20" s="212"/>
      <c r="L20" s="213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5"/>
      <c r="AA20" s="214"/>
      <c r="AB20" s="214"/>
      <c r="AC20" s="93"/>
      <c r="AI20" s="64"/>
    </row>
    <row r="21" spans="1:35" s="51" customFormat="1" ht="24" customHeight="1" x14ac:dyDescent="0.3">
      <c r="A21" s="45"/>
      <c r="B21" s="217"/>
      <c r="C21" s="200"/>
      <c r="D21" s="218"/>
      <c r="E21" s="218"/>
      <c r="F21" s="218"/>
      <c r="G21" s="218"/>
      <c r="H21" s="209"/>
      <c r="I21" s="210"/>
      <c r="J21" s="211"/>
      <c r="K21" s="212"/>
      <c r="L21" s="213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5"/>
      <c r="AA21" s="214"/>
      <c r="AB21" s="214"/>
      <c r="AC21" s="93"/>
      <c r="AI21" s="64"/>
    </row>
    <row r="22" spans="1:35" s="51" customFormat="1" ht="24" customHeight="1" x14ac:dyDescent="0.3">
      <c r="A22" s="45"/>
      <c r="B22" s="217"/>
      <c r="C22" s="200"/>
      <c r="D22" s="218"/>
      <c r="E22" s="218"/>
      <c r="F22" s="218"/>
      <c r="G22" s="218"/>
      <c r="H22" s="209"/>
      <c r="I22" s="210"/>
      <c r="J22" s="211"/>
      <c r="K22" s="212"/>
      <c r="L22" s="213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5"/>
      <c r="AA22" s="214"/>
      <c r="AB22" s="214"/>
      <c r="AC22" s="93"/>
      <c r="AI22" s="64"/>
    </row>
    <row r="23" spans="1:35" s="51" customFormat="1" ht="24" customHeight="1" x14ac:dyDescent="0.3">
      <c r="A23" s="45"/>
      <c r="B23" s="217"/>
      <c r="C23" s="200"/>
      <c r="D23" s="218"/>
      <c r="E23" s="218"/>
      <c r="F23" s="218"/>
      <c r="G23" s="218"/>
      <c r="H23" s="209"/>
      <c r="I23" s="210"/>
      <c r="J23" s="211"/>
      <c r="K23" s="212"/>
      <c r="L23" s="213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5"/>
      <c r="AA23" s="214"/>
      <c r="AB23" s="214"/>
      <c r="AC23" s="93"/>
      <c r="AI23" s="64"/>
    </row>
    <row r="24" spans="1:35" s="51" customFormat="1" ht="24" customHeight="1" x14ac:dyDescent="0.3">
      <c r="A24" s="45"/>
      <c r="B24" s="217"/>
      <c r="C24" s="200"/>
      <c r="D24" s="218"/>
      <c r="E24" s="218"/>
      <c r="F24" s="218"/>
      <c r="G24" s="218"/>
      <c r="H24" s="209"/>
      <c r="I24" s="210"/>
      <c r="J24" s="211"/>
      <c r="K24" s="212"/>
      <c r="L24" s="213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5"/>
      <c r="AA24" s="214"/>
      <c r="AB24" s="214"/>
      <c r="AC24" s="93"/>
      <c r="AI24" s="64"/>
    </row>
    <row r="25" spans="1:35" s="51" customFormat="1" ht="24" customHeight="1" x14ac:dyDescent="0.3">
      <c r="A25" s="45"/>
      <c r="B25" s="217"/>
      <c r="C25" s="200"/>
      <c r="D25" s="218"/>
      <c r="E25" s="218"/>
      <c r="F25" s="218"/>
      <c r="G25" s="218"/>
      <c r="H25" s="209"/>
      <c r="I25" s="210"/>
      <c r="J25" s="211"/>
      <c r="K25" s="212"/>
      <c r="L25" s="213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5"/>
      <c r="AA25" s="214"/>
      <c r="AB25" s="214"/>
      <c r="AC25" s="93"/>
      <c r="AI25" s="64"/>
    </row>
    <row r="26" spans="1:35" s="51" customFormat="1" ht="26.25" customHeight="1" x14ac:dyDescent="0.3">
      <c r="A26" s="45"/>
      <c r="B26" s="316" t="s">
        <v>78</v>
      </c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I26" s="64"/>
    </row>
    <row r="27" spans="1:35" s="51" customFormat="1" ht="21.75" customHeight="1" x14ac:dyDescent="0.3">
      <c r="A27" s="45"/>
      <c r="B27" s="316" t="s">
        <v>64</v>
      </c>
      <c r="C27" s="316"/>
      <c r="D27" s="316"/>
      <c r="E27" s="316"/>
      <c r="F27" s="316"/>
      <c r="G27" s="316"/>
      <c r="H27" s="316"/>
      <c r="I27" s="316"/>
      <c r="J27" s="316"/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I27" s="64"/>
    </row>
    <row r="28" spans="1:35" s="51" customFormat="1" ht="25.5" customHeight="1" x14ac:dyDescent="0.3">
      <c r="A28" s="45"/>
      <c r="B28" s="306" t="s">
        <v>477</v>
      </c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I28" s="64"/>
    </row>
    <row r="29" spans="1:35" s="51" customFormat="1" ht="25.5" customHeight="1" x14ac:dyDescent="0.3">
      <c r="A29" s="21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I29" s="64"/>
    </row>
    <row r="30" spans="1:35" s="51" customFormat="1" ht="25.5" customHeight="1" x14ac:dyDescent="0.3">
      <c r="A30" s="216"/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I30" s="64"/>
    </row>
    <row r="31" spans="1:35" s="51" customFormat="1" ht="72.75" customHeight="1" x14ac:dyDescent="0.3">
      <c r="A31" s="216"/>
      <c r="B31" s="204" t="s">
        <v>101</v>
      </c>
      <c r="C31" s="204" t="s">
        <v>133</v>
      </c>
      <c r="D31" s="259" t="s">
        <v>422</v>
      </c>
      <c r="E31" s="259" t="s">
        <v>102</v>
      </c>
      <c r="F31" s="259" t="s">
        <v>326</v>
      </c>
      <c r="G31" s="204" t="s">
        <v>468</v>
      </c>
      <c r="H31" s="259" t="s">
        <v>61</v>
      </c>
      <c r="I31" s="259"/>
      <c r="J31" s="259"/>
      <c r="K31" s="260">
        <f>SUM(K32:K33)</f>
        <v>12448</v>
      </c>
      <c r="L31" s="260">
        <f>SUM(L32:L33)</f>
        <v>0</v>
      </c>
      <c r="M31" s="260">
        <f>SUM(M32:M33)</f>
        <v>12448</v>
      </c>
      <c r="N31" s="259"/>
      <c r="O31" s="259"/>
      <c r="P31" s="259"/>
      <c r="Q31" s="259"/>
      <c r="R31" s="259"/>
      <c r="S31" s="259"/>
      <c r="T31" s="262"/>
      <c r="U31" s="259"/>
      <c r="V31" s="259"/>
      <c r="W31" s="259"/>
      <c r="X31" s="260">
        <f>SUM(X32:X33)</f>
        <v>0</v>
      </c>
      <c r="Y31" s="260">
        <f>SUM(Y32:Y33)</f>
        <v>1131.43</v>
      </c>
      <c r="Z31" s="260">
        <f>SUM(Z32:Z33)</f>
        <v>0</v>
      </c>
      <c r="AA31" s="260">
        <f>SUM(AA32:AA33)</f>
        <v>1131.43</v>
      </c>
      <c r="AB31" s="260">
        <f>SUM(AB32:AB33)</f>
        <v>11316.57</v>
      </c>
      <c r="AC31" s="99"/>
      <c r="AD31" s="206"/>
      <c r="AI31" s="64"/>
    </row>
    <row r="32" spans="1:35" s="51" customFormat="1" ht="130.5" customHeight="1" x14ac:dyDescent="0.35">
      <c r="A32" s="216"/>
      <c r="B32" s="152" t="s">
        <v>417</v>
      </c>
      <c r="C32" s="153" t="s">
        <v>124</v>
      </c>
      <c r="D32" s="229" t="s">
        <v>418</v>
      </c>
      <c r="E32" s="170" t="s">
        <v>419</v>
      </c>
      <c r="F32" s="170" t="s">
        <v>420</v>
      </c>
      <c r="G32" s="236">
        <v>44805</v>
      </c>
      <c r="H32" s="155" t="s">
        <v>421</v>
      </c>
      <c r="I32" s="156"/>
      <c r="J32" s="157"/>
      <c r="K32" s="158">
        <v>7013</v>
      </c>
      <c r="L32" s="159">
        <v>0</v>
      </c>
      <c r="M32" s="160">
        <f>SUM(K32:L32)</f>
        <v>7013</v>
      </c>
      <c r="N32" s="161">
        <f>IF(K32/15&lt;=SMG,0,L32/2)</f>
        <v>0</v>
      </c>
      <c r="O32" s="161">
        <f t="shared" ref="O32" si="10">K32+N32</f>
        <v>7013</v>
      </c>
      <c r="P32" s="161">
        <f>VLOOKUP(O32,Tarifa1,1)</f>
        <v>6382.81</v>
      </c>
      <c r="Q32" s="161">
        <f t="shared" ref="Q32" si="11">O32-P32</f>
        <v>630.1899999999996</v>
      </c>
      <c r="R32" s="162">
        <f>VLOOKUP(O32,Tarifa1,3)</f>
        <v>0.1792</v>
      </c>
      <c r="S32" s="161">
        <f t="shared" ref="S32" si="12">Q32*R32</f>
        <v>112.93004799999993</v>
      </c>
      <c r="T32" s="163">
        <f>VLOOKUP(O32,Tarifa1,2)</f>
        <v>583.65</v>
      </c>
      <c r="U32" s="161">
        <f t="shared" ref="U32" si="13">S32+T32</f>
        <v>696.58004799999992</v>
      </c>
      <c r="V32" s="161">
        <f>VLOOKUP(O32,Credito1,2)</f>
        <v>0</v>
      </c>
      <c r="W32" s="161">
        <f t="shared" ref="W32" si="14">ROUND(U32-V32,2)</f>
        <v>696.58</v>
      </c>
      <c r="X32" s="160">
        <f t="shared" ref="X32" si="15">-IF(W32&gt;0,0,W32)</f>
        <v>0</v>
      </c>
      <c r="Y32" s="160">
        <f>IF(K32/15&lt;=SMG,0,IF(W32&lt;0,0,W32))</f>
        <v>696.58</v>
      </c>
      <c r="Z32" s="164">
        <v>0</v>
      </c>
      <c r="AA32" s="160">
        <f>SUM(Y32:Z32)</f>
        <v>696.58</v>
      </c>
      <c r="AB32" s="160">
        <f>M32+X32-AA32</f>
        <v>6316.42</v>
      </c>
      <c r="AC32" s="92"/>
      <c r="AD32" s="206"/>
      <c r="AI32" s="64"/>
    </row>
    <row r="33" spans="1:35" s="111" customFormat="1" ht="84.9" customHeight="1" x14ac:dyDescent="0.3">
      <c r="A33" s="153"/>
      <c r="B33" s="204" t="s">
        <v>101</v>
      </c>
      <c r="C33" s="204" t="s">
        <v>133</v>
      </c>
      <c r="D33" s="204" t="s">
        <v>138</v>
      </c>
      <c r="E33" s="259" t="s">
        <v>102</v>
      </c>
      <c r="F33" s="259" t="s">
        <v>326</v>
      </c>
      <c r="G33" s="204" t="s">
        <v>468</v>
      </c>
      <c r="H33" s="259" t="s">
        <v>61</v>
      </c>
      <c r="I33" s="259"/>
      <c r="J33" s="259"/>
      <c r="K33" s="260">
        <f>SUM(K34)</f>
        <v>5435</v>
      </c>
      <c r="L33" s="260">
        <f>SUM(L34)</f>
        <v>0</v>
      </c>
      <c r="M33" s="260">
        <f>SUM(M34)</f>
        <v>5435</v>
      </c>
      <c r="N33" s="259"/>
      <c r="O33" s="259"/>
      <c r="P33" s="259"/>
      <c r="Q33" s="259"/>
      <c r="R33" s="259"/>
      <c r="S33" s="259"/>
      <c r="T33" s="262"/>
      <c r="U33" s="259"/>
      <c r="V33" s="259"/>
      <c r="W33" s="259"/>
      <c r="X33" s="260">
        <f>SUM(X34)</f>
        <v>0</v>
      </c>
      <c r="Y33" s="260">
        <f>SUM(Y34)</f>
        <v>434.85</v>
      </c>
      <c r="Z33" s="260">
        <f>SUM(Z34)</f>
        <v>0</v>
      </c>
      <c r="AA33" s="260">
        <f>SUM(AA34)</f>
        <v>434.85</v>
      </c>
      <c r="AB33" s="260">
        <f>SUM(AB34)</f>
        <v>5000.1499999999996</v>
      </c>
      <c r="AC33" s="263"/>
      <c r="AI33" s="264"/>
    </row>
    <row r="34" spans="1:35" s="111" customFormat="1" ht="131.25" customHeight="1" x14ac:dyDescent="0.35">
      <c r="A34" s="153" t="s">
        <v>89</v>
      </c>
      <c r="B34" s="152" t="s">
        <v>180</v>
      </c>
      <c r="C34" s="153" t="s">
        <v>124</v>
      </c>
      <c r="D34" s="227" t="s">
        <v>254</v>
      </c>
      <c r="E34" s="154" t="s">
        <v>172</v>
      </c>
      <c r="F34" s="154" t="s">
        <v>348</v>
      </c>
      <c r="G34" s="232">
        <v>43374</v>
      </c>
      <c r="H34" s="155" t="s">
        <v>100</v>
      </c>
      <c r="I34" s="156">
        <v>15</v>
      </c>
      <c r="J34" s="157">
        <f t="shared" si="0"/>
        <v>362.33333333333331</v>
      </c>
      <c r="K34" s="158">
        <v>5435</v>
      </c>
      <c r="L34" s="159">
        <v>0</v>
      </c>
      <c r="M34" s="160">
        <f>SUM(K34:L34)</f>
        <v>5435</v>
      </c>
      <c r="N34" s="161">
        <f>IF(K34/15&lt;=SMG,0,L34/2)</f>
        <v>0</v>
      </c>
      <c r="O34" s="161">
        <f t="shared" ref="O34" si="16">K34+N34</f>
        <v>5435</v>
      </c>
      <c r="P34" s="161">
        <f>VLOOKUP(O34,Tarifa1,1)</f>
        <v>3124.36</v>
      </c>
      <c r="Q34" s="161">
        <f t="shared" ref="Q34" si="17">O34-P34</f>
        <v>2310.64</v>
      </c>
      <c r="R34" s="162">
        <f>VLOOKUP(O34,Tarifa1,3)</f>
        <v>0.10879999999999999</v>
      </c>
      <c r="S34" s="161">
        <f t="shared" ref="S34" si="18">Q34*R34</f>
        <v>251.39763199999996</v>
      </c>
      <c r="T34" s="163">
        <f>VLOOKUP(O34,Tarifa1,2)</f>
        <v>183.45</v>
      </c>
      <c r="U34" s="161">
        <f t="shared" ref="U34" si="19">S34+T34</f>
        <v>434.84763199999998</v>
      </c>
      <c r="V34" s="161">
        <f>VLOOKUP(O34,Credito1,2)</f>
        <v>0</v>
      </c>
      <c r="W34" s="161">
        <f t="shared" ref="W34" si="20">ROUND(U34-V34,2)</f>
        <v>434.85</v>
      </c>
      <c r="X34" s="160">
        <f>-IF(W34&gt;0,0,W34)</f>
        <v>0</v>
      </c>
      <c r="Y34" s="160">
        <f>IF(K34/15&lt;=SMG,0,IF(W34&lt;0,0,W34))</f>
        <v>434.85</v>
      </c>
      <c r="Z34" s="164">
        <v>0</v>
      </c>
      <c r="AA34" s="160">
        <f>SUM(Y34:Z34)</f>
        <v>434.85</v>
      </c>
      <c r="AB34" s="160">
        <f>M34+X34-AA34</f>
        <v>5000.1499999999996</v>
      </c>
      <c r="AC34" s="110"/>
      <c r="AI34" s="264"/>
    </row>
    <row r="35" spans="1:35" s="111" customFormat="1" ht="84.9" customHeight="1" x14ac:dyDescent="0.3">
      <c r="A35" s="153"/>
      <c r="B35" s="204" t="s">
        <v>101</v>
      </c>
      <c r="C35" s="204" t="s">
        <v>133</v>
      </c>
      <c r="D35" s="204" t="s">
        <v>403</v>
      </c>
      <c r="E35" s="259" t="s">
        <v>102</v>
      </c>
      <c r="F35" s="259" t="s">
        <v>326</v>
      </c>
      <c r="G35" s="204" t="s">
        <v>468</v>
      </c>
      <c r="H35" s="259" t="s">
        <v>61</v>
      </c>
      <c r="I35" s="259"/>
      <c r="J35" s="259"/>
      <c r="K35" s="260">
        <f>SUM(K36)</f>
        <v>5043</v>
      </c>
      <c r="L35" s="260">
        <f>SUM(L36)</f>
        <v>0</v>
      </c>
      <c r="M35" s="260">
        <f>SUM(M36)</f>
        <v>5043</v>
      </c>
      <c r="N35" s="259"/>
      <c r="O35" s="259"/>
      <c r="P35" s="259"/>
      <c r="Q35" s="259"/>
      <c r="R35" s="259"/>
      <c r="S35" s="259"/>
      <c r="T35" s="262"/>
      <c r="U35" s="259"/>
      <c r="V35" s="259"/>
      <c r="W35" s="259"/>
      <c r="X35" s="260">
        <f>SUM(X36)</f>
        <v>0</v>
      </c>
      <c r="Y35" s="260">
        <f>SUM(Y36)</f>
        <v>392.2</v>
      </c>
      <c r="Z35" s="260">
        <f>SUM(Z36)</f>
        <v>0</v>
      </c>
      <c r="AA35" s="260">
        <f>SUM(AA36)</f>
        <v>392.2</v>
      </c>
      <c r="AB35" s="260">
        <f>SUM(AB36)</f>
        <v>4650.8</v>
      </c>
      <c r="AC35" s="263"/>
      <c r="AI35" s="264"/>
    </row>
    <row r="36" spans="1:35" s="111" customFormat="1" ht="130.5" customHeight="1" x14ac:dyDescent="0.35">
      <c r="A36" s="153"/>
      <c r="B36" s="153" t="s">
        <v>111</v>
      </c>
      <c r="C36" s="153" t="s">
        <v>124</v>
      </c>
      <c r="D36" s="227" t="s">
        <v>98</v>
      </c>
      <c r="E36" s="154" t="s">
        <v>112</v>
      </c>
      <c r="F36" s="205" t="s">
        <v>328</v>
      </c>
      <c r="G36" s="232">
        <v>40102</v>
      </c>
      <c r="H36" s="155" t="s">
        <v>410</v>
      </c>
      <c r="I36" s="156">
        <v>15</v>
      </c>
      <c r="J36" s="157">
        <v>305.35000000000002</v>
      </c>
      <c r="K36" s="158">
        <v>5043</v>
      </c>
      <c r="L36" s="159">
        <v>0</v>
      </c>
      <c r="M36" s="160">
        <f>SUM(K36:L36)</f>
        <v>5043</v>
      </c>
      <c r="N36" s="161">
        <f>IF(K36/15&lt;=SMG,0,L36/2)</f>
        <v>0</v>
      </c>
      <c r="O36" s="161">
        <f t="shared" ref="O36" si="21">K36+N36</f>
        <v>5043</v>
      </c>
      <c r="P36" s="161">
        <f>VLOOKUP(O36,Tarifa1,1)</f>
        <v>3124.36</v>
      </c>
      <c r="Q36" s="161">
        <f t="shared" ref="Q36" si="22">O36-P36</f>
        <v>1918.6399999999999</v>
      </c>
      <c r="R36" s="162">
        <f>VLOOKUP(O36,Tarifa1,3)</f>
        <v>0.10879999999999999</v>
      </c>
      <c r="S36" s="161">
        <f t="shared" ref="S36" si="23">Q36*R36</f>
        <v>208.74803199999997</v>
      </c>
      <c r="T36" s="163">
        <f>VLOOKUP(O36,Tarifa1,2)</f>
        <v>183.45</v>
      </c>
      <c r="U36" s="161">
        <f t="shared" ref="U36" si="24">S36+T36</f>
        <v>392.19803199999996</v>
      </c>
      <c r="V36" s="161">
        <f>VLOOKUP(O36,Credito1,2)</f>
        <v>0</v>
      </c>
      <c r="W36" s="161">
        <f t="shared" ref="W36" si="25">ROUND(U36-V36,2)</f>
        <v>392.2</v>
      </c>
      <c r="X36" s="160">
        <f t="shared" ref="X36" si="26">-IF(W36&gt;0,0,W36)</f>
        <v>0</v>
      </c>
      <c r="Y36" s="160">
        <f>IF(K36/15&lt;=SMG,0,IF(W36&lt;0,0,W36))</f>
        <v>392.2</v>
      </c>
      <c r="Z36" s="164">
        <v>0</v>
      </c>
      <c r="AA36" s="160">
        <f>SUM(Y36:Z36)</f>
        <v>392.2</v>
      </c>
      <c r="AB36" s="160">
        <f>M36+X36-AA36</f>
        <v>4650.8</v>
      </c>
      <c r="AC36" s="110"/>
      <c r="AI36" s="264"/>
    </row>
    <row r="37" spans="1:35" s="111" customFormat="1" ht="84.9" customHeight="1" x14ac:dyDescent="0.3">
      <c r="A37" s="239"/>
      <c r="B37" s="204" t="s">
        <v>101</v>
      </c>
      <c r="C37" s="204" t="s">
        <v>133</v>
      </c>
      <c r="D37" s="259" t="s">
        <v>159</v>
      </c>
      <c r="E37" s="259" t="s">
        <v>102</v>
      </c>
      <c r="F37" s="259" t="s">
        <v>326</v>
      </c>
      <c r="G37" s="204" t="s">
        <v>468</v>
      </c>
      <c r="H37" s="259" t="s">
        <v>61</v>
      </c>
      <c r="I37" s="259"/>
      <c r="J37" s="259"/>
      <c r="K37" s="260">
        <f>SUM(K38)</f>
        <v>7013</v>
      </c>
      <c r="L37" s="260">
        <f>SUM(L38)</f>
        <v>0</v>
      </c>
      <c r="M37" s="260">
        <f>SUM(M38)</f>
        <v>7013</v>
      </c>
      <c r="N37" s="259"/>
      <c r="O37" s="259"/>
      <c r="P37" s="259"/>
      <c r="Q37" s="259"/>
      <c r="R37" s="259"/>
      <c r="S37" s="259"/>
      <c r="T37" s="262"/>
      <c r="U37" s="259"/>
      <c r="V37" s="259"/>
      <c r="W37" s="259"/>
      <c r="X37" s="260">
        <f>SUM(X38)</f>
        <v>0</v>
      </c>
      <c r="Y37" s="260">
        <f>SUM(Y38)</f>
        <v>696.58</v>
      </c>
      <c r="Z37" s="260">
        <f>SUM(Z38)</f>
        <v>0</v>
      </c>
      <c r="AA37" s="260">
        <f>SUM(AA38)</f>
        <v>696.58</v>
      </c>
      <c r="AB37" s="260">
        <f>SUM(AB38)</f>
        <v>6316.42</v>
      </c>
      <c r="AC37" s="263"/>
    </row>
    <row r="38" spans="1:35" s="111" customFormat="1" ht="130.5" customHeight="1" x14ac:dyDescent="0.35">
      <c r="A38" s="239"/>
      <c r="B38" s="152" t="s">
        <v>179</v>
      </c>
      <c r="C38" s="153" t="s">
        <v>124</v>
      </c>
      <c r="D38" s="227" t="s">
        <v>162</v>
      </c>
      <c r="E38" s="170" t="s">
        <v>171</v>
      </c>
      <c r="F38" s="170" t="s">
        <v>347</v>
      </c>
      <c r="G38" s="236">
        <v>43101</v>
      </c>
      <c r="H38" s="155" t="s">
        <v>163</v>
      </c>
      <c r="I38" s="156">
        <v>15</v>
      </c>
      <c r="J38" s="157">
        <f>K38/I38</f>
        <v>467.53333333333336</v>
      </c>
      <c r="K38" s="158">
        <v>7013</v>
      </c>
      <c r="L38" s="159">
        <v>0</v>
      </c>
      <c r="M38" s="160">
        <f>SUM(K38:L38)</f>
        <v>7013</v>
      </c>
      <c r="N38" s="161">
        <f>IF(K38/15&lt;=SMG,0,L38/2)</f>
        <v>0</v>
      </c>
      <c r="O38" s="161">
        <f t="shared" ref="O38" si="27">K38+N38</f>
        <v>7013</v>
      </c>
      <c r="P38" s="161">
        <f>VLOOKUP(O38,Tarifa1,1)</f>
        <v>6382.81</v>
      </c>
      <c r="Q38" s="161">
        <f t="shared" ref="Q38" si="28">O38-P38</f>
        <v>630.1899999999996</v>
      </c>
      <c r="R38" s="162">
        <f>VLOOKUP(O38,Tarifa1,3)</f>
        <v>0.1792</v>
      </c>
      <c r="S38" s="161">
        <f t="shared" ref="S38" si="29">Q38*R38</f>
        <v>112.93004799999993</v>
      </c>
      <c r="T38" s="163">
        <f>VLOOKUP(O38,Tarifa1,2)</f>
        <v>583.65</v>
      </c>
      <c r="U38" s="161">
        <f t="shared" ref="U38" si="30">S38+T38</f>
        <v>696.58004799999992</v>
      </c>
      <c r="V38" s="161">
        <f>VLOOKUP(O38,Credito1,2)</f>
        <v>0</v>
      </c>
      <c r="W38" s="161">
        <f t="shared" ref="W38" si="31">ROUND(U38-V38,2)</f>
        <v>696.58</v>
      </c>
      <c r="X38" s="160">
        <f t="shared" ref="X38" si="32">-IF(W38&gt;0,0,W38)</f>
        <v>0</v>
      </c>
      <c r="Y38" s="160">
        <f>IF(K38/15&lt;=SMG,0,IF(W38&lt;0,0,W38))</f>
        <v>696.58</v>
      </c>
      <c r="Z38" s="164">
        <v>0</v>
      </c>
      <c r="AA38" s="160">
        <f>SUM(Y38:Z38)</f>
        <v>696.58</v>
      </c>
      <c r="AB38" s="160">
        <f>M38+X38-AA38</f>
        <v>6316.42</v>
      </c>
      <c r="AC38" s="110"/>
    </row>
    <row r="39" spans="1:35" s="111" customFormat="1" ht="17.399999999999999" x14ac:dyDescent="0.3">
      <c r="A39" s="239"/>
      <c r="B39" s="239"/>
      <c r="C39" s="239"/>
      <c r="D39" s="239"/>
      <c r="E39" s="239"/>
      <c r="F39" s="239"/>
      <c r="G39" s="239"/>
      <c r="H39" s="239"/>
      <c r="I39" s="239"/>
      <c r="J39" s="239"/>
      <c r="K39" s="265"/>
      <c r="L39" s="265"/>
      <c r="M39" s="265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110"/>
    </row>
    <row r="40" spans="1:35" s="111" customFormat="1" ht="39" customHeight="1" x14ac:dyDescent="0.3">
      <c r="A40" s="338" t="s">
        <v>44</v>
      </c>
      <c r="B40" s="338"/>
      <c r="C40" s="338"/>
      <c r="D40" s="338"/>
      <c r="E40" s="338"/>
      <c r="F40" s="338"/>
      <c r="G40" s="338"/>
      <c r="H40" s="338"/>
      <c r="I40" s="338"/>
      <c r="J40" s="338"/>
      <c r="K40" s="193">
        <f>SUM(K8+K11+K14+K31+K33+K35+K37)</f>
        <v>64638</v>
      </c>
      <c r="L40" s="193">
        <f>SUM(L8+L11+L14+L31+L33+L35+L37)</f>
        <v>0</v>
      </c>
      <c r="M40" s="193">
        <f>SUM(M8+M11+M14+M31+M33+M35+M37)</f>
        <v>64638</v>
      </c>
      <c r="N40" s="194">
        <f t="shared" ref="N40:W40" si="33">SUM(N11:N39)</f>
        <v>0</v>
      </c>
      <c r="O40" s="194">
        <f t="shared" si="33"/>
        <v>52190</v>
      </c>
      <c r="P40" s="194">
        <f t="shared" si="33"/>
        <v>41153.040000000001</v>
      </c>
      <c r="Q40" s="194">
        <f t="shared" si="33"/>
        <v>11036.96</v>
      </c>
      <c r="R40" s="194">
        <f t="shared" si="33"/>
        <v>1.2607999999999999</v>
      </c>
      <c r="S40" s="194">
        <f t="shared" si="33"/>
        <v>1400.1771519999995</v>
      </c>
      <c r="T40" s="194">
        <f t="shared" si="33"/>
        <v>3251.85</v>
      </c>
      <c r="U40" s="194">
        <f t="shared" si="33"/>
        <v>4652.0271519999997</v>
      </c>
      <c r="V40" s="194">
        <f t="shared" si="33"/>
        <v>0</v>
      </c>
      <c r="W40" s="194">
        <f t="shared" si="33"/>
        <v>4652.03</v>
      </c>
      <c r="X40" s="193">
        <f>SUM(X8+X11+X14+X31+X33+X35+X37)</f>
        <v>0</v>
      </c>
      <c r="Y40" s="193">
        <f>SUM(Y8+Y11+Y14+Y31+Y33+Y35+Y37)</f>
        <v>5783.46</v>
      </c>
      <c r="Z40" s="193">
        <f>SUM(Z8+Z11+Z14+Z31+Z33+Z35+Z37)</f>
        <v>2500</v>
      </c>
      <c r="AA40" s="193">
        <f>SUM(AA8+AA11+AA14+AA31+AA33+AA35+AA37)</f>
        <v>8283.4600000000009</v>
      </c>
      <c r="AB40" s="193">
        <f>SUM(AB8+AB11+AB14+AB31+AB33+AB35+AB37)</f>
        <v>56354.54</v>
      </c>
      <c r="AC40" s="110"/>
    </row>
    <row r="41" spans="1:35" s="51" customFormat="1" ht="11.4" x14ac:dyDescent="0.2"/>
    <row r="42" spans="1:35" s="51" customFormat="1" ht="11.4" x14ac:dyDescent="0.2"/>
    <row r="43" spans="1:35" s="51" customFormat="1" ht="11.4" x14ac:dyDescent="0.2"/>
    <row r="44" spans="1:35" s="51" customFormat="1" ht="11.4" x14ac:dyDescent="0.2"/>
    <row r="45" spans="1:35" s="51" customFormat="1" ht="11.4" x14ac:dyDescent="0.2"/>
    <row r="46" spans="1:35" s="51" customFormat="1" ht="11.4" x14ac:dyDescent="0.2"/>
    <row r="47" spans="1:35" s="51" customFormat="1" ht="11.4" x14ac:dyDescent="0.2"/>
  </sheetData>
  <mergeCells count="11">
    <mergeCell ref="A40:J40"/>
    <mergeCell ref="A1:AC1"/>
    <mergeCell ref="A2:AC2"/>
    <mergeCell ref="A3:AC3"/>
    <mergeCell ref="K5:M5"/>
    <mergeCell ref="P5:U5"/>
    <mergeCell ref="Y5:AA5"/>
    <mergeCell ref="C5:C7"/>
    <mergeCell ref="B26:AD26"/>
    <mergeCell ref="B27:AD27"/>
    <mergeCell ref="B28:AD28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D12:G13 D10:E10"/>
  </dataValidations>
  <pageMargins left="0.27559055118110237" right="0.19685039370078741" top="0.6692913385826772" bottom="0.15748031496062992" header="0.31496062992125984" footer="0.31496062992125984"/>
  <pageSetup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opLeftCell="B11" zoomScale="77" zoomScaleNormal="77" workbookViewId="0">
      <selection activeCell="B18" sqref="A18:XFD25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0.33203125" customWidth="1"/>
    <col min="5" max="5" width="23" customWidth="1"/>
    <col min="6" max="6" width="31.33203125" customWidth="1"/>
    <col min="7" max="7" width="22.6640625" customWidth="1"/>
    <col min="8" max="8" width="23.44140625" customWidth="1"/>
    <col min="9" max="9" width="6.5546875" hidden="1" customWidth="1"/>
    <col min="10" max="10" width="10" hidden="1" customWidth="1"/>
    <col min="11" max="11" width="15.109375" customWidth="1"/>
    <col min="12" max="12" width="10.88671875" customWidth="1"/>
    <col min="13" max="13" width="13.88671875" customWidth="1"/>
    <col min="14" max="14" width="13.109375" hidden="1" customWidth="1"/>
    <col min="15" max="15" width="15.109375" hidden="1" customWidth="1"/>
    <col min="16" max="16" width="15.6640625" hidden="1" customWidth="1"/>
    <col min="17" max="17" width="12.33203125" hidden="1" customWidth="1"/>
    <col min="18" max="19" width="13.109375" hidden="1" customWidth="1"/>
    <col min="20" max="20" width="12.88671875" hidden="1" customWidth="1"/>
    <col min="21" max="21" width="12.109375" hidden="1" customWidth="1"/>
    <col min="22" max="22" width="13.109375" hidden="1" customWidth="1"/>
    <col min="23" max="23" width="13.44140625" hidden="1" customWidth="1"/>
    <col min="24" max="24" width="9.6640625" customWidth="1"/>
    <col min="25" max="25" width="13.88671875" customWidth="1"/>
    <col min="26" max="26" width="12.88671875" customWidth="1"/>
    <col min="27" max="27" width="14.33203125" customWidth="1"/>
    <col min="28" max="28" width="14.5546875" customWidth="1"/>
    <col min="29" max="29" width="64.109375" customWidth="1"/>
  </cols>
  <sheetData>
    <row r="1" spans="1:29" ht="17.399999999999999" x14ac:dyDescent="0.3">
      <c r="A1" s="316" t="s">
        <v>78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</row>
    <row r="2" spans="1:29" ht="17.399999999999999" x14ac:dyDescent="0.3">
      <c r="A2" s="316" t="s">
        <v>64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</row>
    <row r="3" spans="1:29" ht="19.8" x14ac:dyDescent="0.3">
      <c r="A3" s="306" t="s">
        <v>477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</row>
    <row r="4" spans="1:29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</row>
    <row r="5" spans="1:29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x14ac:dyDescent="0.25">
      <c r="A6" s="22"/>
      <c r="B6" s="22"/>
      <c r="C6" s="22"/>
      <c r="D6" s="22"/>
      <c r="E6" s="22"/>
      <c r="F6" s="22"/>
      <c r="G6" s="22"/>
      <c r="H6" s="22"/>
      <c r="I6" s="23" t="s">
        <v>22</v>
      </c>
      <c r="J6" s="23" t="s">
        <v>5</v>
      </c>
      <c r="K6" s="317" t="s">
        <v>1</v>
      </c>
      <c r="L6" s="318"/>
      <c r="M6" s="319"/>
      <c r="N6" s="24" t="s">
        <v>25</v>
      </c>
      <c r="O6" s="25"/>
      <c r="P6" s="320" t="s">
        <v>8</v>
      </c>
      <c r="Q6" s="321"/>
      <c r="R6" s="321"/>
      <c r="S6" s="321"/>
      <c r="T6" s="321"/>
      <c r="U6" s="322"/>
      <c r="V6" s="24" t="s">
        <v>29</v>
      </c>
      <c r="W6" s="24" t="s">
        <v>9</v>
      </c>
      <c r="X6" s="23" t="s">
        <v>52</v>
      </c>
      <c r="Y6" s="323" t="s">
        <v>2</v>
      </c>
      <c r="Z6" s="324"/>
      <c r="AA6" s="325"/>
      <c r="AB6" s="23" t="s">
        <v>0</v>
      </c>
      <c r="AC6" s="34"/>
    </row>
    <row r="7" spans="1:29" ht="21" x14ac:dyDescent="0.25">
      <c r="A7" s="26" t="s">
        <v>20</v>
      </c>
      <c r="B7" s="44" t="s">
        <v>101</v>
      </c>
      <c r="C7" s="44" t="s">
        <v>125</v>
      </c>
      <c r="D7" s="26" t="s">
        <v>21</v>
      </c>
      <c r="E7" s="26"/>
      <c r="F7" s="26"/>
      <c r="G7" s="26"/>
      <c r="H7" s="26"/>
      <c r="I7" s="27" t="s">
        <v>23</v>
      </c>
      <c r="J7" s="26" t="s">
        <v>24</v>
      </c>
      <c r="K7" s="23" t="s">
        <v>5</v>
      </c>
      <c r="L7" s="23" t="s">
        <v>58</v>
      </c>
      <c r="M7" s="23" t="s">
        <v>27</v>
      </c>
      <c r="N7" s="28" t="s">
        <v>26</v>
      </c>
      <c r="O7" s="25" t="s">
        <v>31</v>
      </c>
      <c r="P7" s="25" t="s">
        <v>11</v>
      </c>
      <c r="Q7" s="25" t="s">
        <v>33</v>
      </c>
      <c r="R7" s="25" t="s">
        <v>35</v>
      </c>
      <c r="S7" s="25" t="s">
        <v>36</v>
      </c>
      <c r="T7" s="25" t="s">
        <v>13</v>
      </c>
      <c r="U7" s="25" t="s">
        <v>9</v>
      </c>
      <c r="V7" s="28" t="s">
        <v>39</v>
      </c>
      <c r="W7" s="28" t="s">
        <v>40</v>
      </c>
      <c r="X7" s="26" t="s">
        <v>30</v>
      </c>
      <c r="Y7" s="23" t="s">
        <v>433</v>
      </c>
      <c r="Z7" s="23" t="s">
        <v>56</v>
      </c>
      <c r="AA7" s="23" t="s">
        <v>6</v>
      </c>
      <c r="AB7" s="26" t="s">
        <v>3</v>
      </c>
      <c r="AC7" s="36" t="s">
        <v>57</v>
      </c>
    </row>
    <row r="8" spans="1:29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 t="s">
        <v>46</v>
      </c>
      <c r="L8" s="29" t="s">
        <v>59</v>
      </c>
      <c r="M8" s="29" t="s">
        <v>28</v>
      </c>
      <c r="N8" s="30" t="s">
        <v>42</v>
      </c>
      <c r="O8" s="24" t="s">
        <v>32</v>
      </c>
      <c r="P8" s="24" t="s">
        <v>12</v>
      </c>
      <c r="Q8" s="24" t="s">
        <v>34</v>
      </c>
      <c r="R8" s="24" t="s">
        <v>34</v>
      </c>
      <c r="S8" s="24" t="s">
        <v>37</v>
      </c>
      <c r="T8" s="24" t="s">
        <v>14</v>
      </c>
      <c r="U8" s="24" t="s">
        <v>38</v>
      </c>
      <c r="V8" s="28" t="s">
        <v>18</v>
      </c>
      <c r="W8" s="31" t="s">
        <v>41</v>
      </c>
      <c r="X8" s="29" t="s">
        <v>51</v>
      </c>
      <c r="Y8" s="29"/>
      <c r="Z8" s="29"/>
      <c r="AA8" s="29" t="s">
        <v>43</v>
      </c>
      <c r="AB8" s="29" t="s">
        <v>4</v>
      </c>
      <c r="AC8" s="35"/>
    </row>
    <row r="9" spans="1:29" s="4" customFormat="1" ht="54.75" customHeight="1" x14ac:dyDescent="0.3">
      <c r="A9" s="132"/>
      <c r="B9" s="132"/>
      <c r="C9" s="132"/>
      <c r="D9" s="131" t="s">
        <v>121</v>
      </c>
      <c r="E9" s="132" t="s">
        <v>102</v>
      </c>
      <c r="F9" s="132" t="s">
        <v>326</v>
      </c>
      <c r="G9" s="132" t="s">
        <v>468</v>
      </c>
      <c r="H9" s="132" t="s">
        <v>61</v>
      </c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3"/>
      <c r="X9" s="132"/>
      <c r="Y9" s="132"/>
      <c r="Z9" s="132"/>
      <c r="AA9" s="132"/>
      <c r="AB9" s="132"/>
      <c r="AC9" s="101"/>
    </row>
    <row r="10" spans="1:29" s="4" customFormat="1" ht="131.25" customHeight="1" x14ac:dyDescent="0.35">
      <c r="A10" s="109" t="s">
        <v>83</v>
      </c>
      <c r="B10" s="153" t="s">
        <v>116</v>
      </c>
      <c r="C10" s="153" t="s">
        <v>124</v>
      </c>
      <c r="D10" s="227" t="s">
        <v>99</v>
      </c>
      <c r="E10" s="154" t="s">
        <v>117</v>
      </c>
      <c r="F10" s="154" t="s">
        <v>334</v>
      </c>
      <c r="G10" s="230">
        <v>42278</v>
      </c>
      <c r="H10" s="155" t="s">
        <v>256</v>
      </c>
      <c r="I10" s="156">
        <v>15</v>
      </c>
      <c r="J10" s="157">
        <f>K10/I10</f>
        <v>1110.0666666666666</v>
      </c>
      <c r="K10" s="158">
        <v>16651</v>
      </c>
      <c r="L10" s="159">
        <v>0</v>
      </c>
      <c r="M10" s="160">
        <f>SUM(K10:L10)</f>
        <v>16651</v>
      </c>
      <c r="N10" s="161">
        <f>IF(K10/15&lt;=SMG,0,L10/2)</f>
        <v>0</v>
      </c>
      <c r="O10" s="161">
        <f>K10+N10</f>
        <v>16651</v>
      </c>
      <c r="P10" s="161">
        <f>VLOOKUP(O10,Tarifa1,1)</f>
        <v>15412.81</v>
      </c>
      <c r="Q10" s="161">
        <f>O10-P10</f>
        <v>1238.1900000000005</v>
      </c>
      <c r="R10" s="162">
        <f>VLOOKUP(O10,Tarifa1,3)</f>
        <v>0.23519999999999999</v>
      </c>
      <c r="S10" s="161">
        <f>Q10*R10</f>
        <v>291.22228800000011</v>
      </c>
      <c r="T10" s="163">
        <f>VLOOKUP(O10,Tarifa1,2)</f>
        <v>2469.15</v>
      </c>
      <c r="U10" s="161">
        <f>S10+T10</f>
        <v>2760.372288</v>
      </c>
      <c r="V10" s="161">
        <f>VLOOKUP(O10,Credito1,2)</f>
        <v>0</v>
      </c>
      <c r="W10" s="161">
        <f>ROUND(U10-V10,2)</f>
        <v>2760.37</v>
      </c>
      <c r="X10" s="160">
        <f>-IF(W10&gt;0,0,W10)</f>
        <v>0</v>
      </c>
      <c r="Y10" s="160">
        <f>IF(K10/15&lt;=SMG,0,IF(W10&lt;0,0,W10))</f>
        <v>2760.37</v>
      </c>
      <c r="Z10" s="164">
        <v>0</v>
      </c>
      <c r="AA10" s="160">
        <f>SUM(Y10:Z10)</f>
        <v>2760.37</v>
      </c>
      <c r="AB10" s="160">
        <f>M10+X10-AA10</f>
        <v>13890.630000000001</v>
      </c>
      <c r="AC10" s="89"/>
    </row>
    <row r="11" spans="1:29" s="4" customFormat="1" ht="131.25" customHeight="1" x14ac:dyDescent="0.35">
      <c r="A11" s="109" t="s">
        <v>85</v>
      </c>
      <c r="B11" s="153" t="s">
        <v>105</v>
      </c>
      <c r="C11" s="153" t="s">
        <v>124</v>
      </c>
      <c r="D11" s="227" t="s">
        <v>73</v>
      </c>
      <c r="E11" s="154" t="s">
        <v>118</v>
      </c>
      <c r="F11" s="154" t="s">
        <v>327</v>
      </c>
      <c r="G11" s="230">
        <v>39462</v>
      </c>
      <c r="H11" s="155" t="s">
        <v>257</v>
      </c>
      <c r="I11" s="156">
        <v>15</v>
      </c>
      <c r="J11" s="157">
        <f>K11/I11</f>
        <v>704.86666666666667</v>
      </c>
      <c r="K11" s="158">
        <v>10573</v>
      </c>
      <c r="L11" s="159">
        <v>0</v>
      </c>
      <c r="M11" s="160">
        <f>K11</f>
        <v>10573</v>
      </c>
      <c r="N11" s="161">
        <f>IF(K11/15&lt;=SMG,0,L11/2)</f>
        <v>0</v>
      </c>
      <c r="O11" s="161">
        <f t="shared" ref="O11:O12" si="0">K11+N11</f>
        <v>10573</v>
      </c>
      <c r="P11" s="161">
        <f>VLOOKUP(O11,Tarifa1,1)</f>
        <v>7641.91</v>
      </c>
      <c r="Q11" s="161">
        <f t="shared" ref="Q11:Q12" si="1">O11-P11</f>
        <v>2931.09</v>
      </c>
      <c r="R11" s="162">
        <f>VLOOKUP(O11,Tarifa1,3)</f>
        <v>0.21360000000000001</v>
      </c>
      <c r="S11" s="161">
        <f t="shared" ref="S11:S12" si="2">Q11*R11</f>
        <v>626.08082400000012</v>
      </c>
      <c r="T11" s="163">
        <f>VLOOKUP(O11,Tarifa1,2)</f>
        <v>809.25</v>
      </c>
      <c r="U11" s="161">
        <f t="shared" ref="U11:U12" si="3">S11+T11</f>
        <v>1435.3308240000001</v>
      </c>
      <c r="V11" s="161">
        <f>VLOOKUP(O11,Credito1,2)</f>
        <v>0</v>
      </c>
      <c r="W11" s="161">
        <f t="shared" ref="W11:W12" si="4">ROUND(U11-V11,2)</f>
        <v>1435.33</v>
      </c>
      <c r="X11" s="160">
        <f t="shared" ref="X11:X12" si="5">-IF(W11&gt;0,0,W11)</f>
        <v>0</v>
      </c>
      <c r="Y11" s="160">
        <f>IF(K11/15&lt;=SMG,0,IF(W11&lt;0,0,W11))</f>
        <v>1435.33</v>
      </c>
      <c r="Z11" s="164">
        <v>0</v>
      </c>
      <c r="AA11" s="160">
        <f>SUM(Y11:Z11)</f>
        <v>1435.33</v>
      </c>
      <c r="AB11" s="160">
        <f>M11+X11-AA11</f>
        <v>9137.67</v>
      </c>
      <c r="AC11" s="89"/>
    </row>
    <row r="12" spans="1:29" s="4" customFormat="1" ht="131.25" customHeight="1" x14ac:dyDescent="0.35">
      <c r="A12" s="109" t="s">
        <v>86</v>
      </c>
      <c r="B12" s="153" t="s">
        <v>119</v>
      </c>
      <c r="C12" s="153" t="s">
        <v>124</v>
      </c>
      <c r="D12" s="227" t="s">
        <v>96</v>
      </c>
      <c r="E12" s="154" t="s">
        <v>120</v>
      </c>
      <c r="F12" s="154" t="s">
        <v>335</v>
      </c>
      <c r="G12" s="230">
        <v>42278</v>
      </c>
      <c r="H12" s="155" t="s">
        <v>257</v>
      </c>
      <c r="I12" s="156">
        <v>15</v>
      </c>
      <c r="J12" s="157">
        <f>K12/I12</f>
        <v>418.33333333333331</v>
      </c>
      <c r="K12" s="158">
        <v>6275</v>
      </c>
      <c r="L12" s="159">
        <v>0</v>
      </c>
      <c r="M12" s="160">
        <f>SUM(K12:L12)</f>
        <v>6275</v>
      </c>
      <c r="N12" s="161">
        <f>IF(K12/15&lt;=SMG,0,L12/2)</f>
        <v>0</v>
      </c>
      <c r="O12" s="161">
        <f t="shared" si="0"/>
        <v>6275</v>
      </c>
      <c r="P12" s="161">
        <f>VLOOKUP(O12,Tarifa1,1)</f>
        <v>5490.76</v>
      </c>
      <c r="Q12" s="161">
        <f t="shared" si="1"/>
        <v>784.23999999999978</v>
      </c>
      <c r="R12" s="162">
        <f>VLOOKUP(O12,Tarifa1,3)</f>
        <v>0.16</v>
      </c>
      <c r="S12" s="161">
        <f t="shared" si="2"/>
        <v>125.47839999999997</v>
      </c>
      <c r="T12" s="163">
        <f>VLOOKUP(O12,Tarifa1,2)</f>
        <v>441</v>
      </c>
      <c r="U12" s="161">
        <f t="shared" si="3"/>
        <v>566.47839999999997</v>
      </c>
      <c r="V12" s="161">
        <f>VLOOKUP(O12,Credito1,2)</f>
        <v>0</v>
      </c>
      <c r="W12" s="161">
        <f t="shared" si="4"/>
        <v>566.48</v>
      </c>
      <c r="X12" s="160">
        <f t="shared" si="5"/>
        <v>0</v>
      </c>
      <c r="Y12" s="160">
        <f>IF(K12/15&lt;=SMG,0,IF(W12&lt;0,0,W12))</f>
        <v>566.48</v>
      </c>
      <c r="Z12" s="164">
        <v>0</v>
      </c>
      <c r="AA12" s="160">
        <f>SUM(Y12:Z12)</f>
        <v>566.48</v>
      </c>
      <c r="AB12" s="160">
        <f>M12+X12-AA12</f>
        <v>5708.52</v>
      </c>
      <c r="AC12" s="89"/>
    </row>
    <row r="13" spans="1:29" s="4" customFormat="1" ht="36" customHeight="1" x14ac:dyDescent="0.3">
      <c r="A13" s="180"/>
      <c r="B13" s="180"/>
      <c r="C13" s="180"/>
      <c r="D13" s="180"/>
      <c r="E13" s="180"/>
      <c r="F13" s="180"/>
      <c r="G13" s="180"/>
      <c r="H13" s="180"/>
      <c r="I13" s="180"/>
      <c r="J13" s="180"/>
      <c r="K13" s="186"/>
      <c r="L13" s="186"/>
      <c r="M13" s="186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</row>
    <row r="14" spans="1:29" s="4" customFormat="1" ht="60" customHeight="1" thickBot="1" x14ac:dyDescent="0.35">
      <c r="A14" s="302" t="s">
        <v>44</v>
      </c>
      <c r="B14" s="303"/>
      <c r="C14" s="303"/>
      <c r="D14" s="303"/>
      <c r="E14" s="303"/>
      <c r="F14" s="303"/>
      <c r="G14" s="303"/>
      <c r="H14" s="303"/>
      <c r="I14" s="303"/>
      <c r="J14" s="304"/>
      <c r="K14" s="167">
        <f>SUM(K10:K13)</f>
        <v>33499</v>
      </c>
      <c r="L14" s="167">
        <f>SUM(L10:L13)</f>
        <v>0</v>
      </c>
      <c r="M14" s="167">
        <f>SUM(M10:M13)</f>
        <v>33499</v>
      </c>
      <c r="N14" s="168">
        <f t="shared" ref="N14:W14" si="6">SUM(N10:N13)</f>
        <v>0</v>
      </c>
      <c r="O14" s="168">
        <f t="shared" si="6"/>
        <v>33499</v>
      </c>
      <c r="P14" s="168">
        <f t="shared" si="6"/>
        <v>28545.480000000003</v>
      </c>
      <c r="Q14" s="168">
        <f t="shared" si="6"/>
        <v>4953.5200000000004</v>
      </c>
      <c r="R14" s="168">
        <f t="shared" si="6"/>
        <v>0.60880000000000001</v>
      </c>
      <c r="S14" s="168">
        <f t="shared" si="6"/>
        <v>1042.7815120000002</v>
      </c>
      <c r="T14" s="168">
        <f t="shared" si="6"/>
        <v>3719.4</v>
      </c>
      <c r="U14" s="168">
        <f t="shared" si="6"/>
        <v>4762.1815120000001</v>
      </c>
      <c r="V14" s="168">
        <f t="shared" si="6"/>
        <v>0</v>
      </c>
      <c r="W14" s="168">
        <f t="shared" si="6"/>
        <v>4762.18</v>
      </c>
      <c r="X14" s="167">
        <f>SUM(X10:X13)</f>
        <v>0</v>
      </c>
      <c r="Y14" s="167">
        <f>SUM(Y10:Y13)</f>
        <v>4762.18</v>
      </c>
      <c r="Z14" s="167">
        <f>SUM(Z10:Z13)</f>
        <v>0</v>
      </c>
      <c r="AA14" s="167">
        <f>SUM(AA10:AA13)</f>
        <v>4762.18</v>
      </c>
      <c r="AB14" s="167">
        <f>SUM(AB10:AB12)</f>
        <v>28736.820000000003</v>
      </c>
    </row>
    <row r="15" spans="1:29" ht="35.1" customHeight="1" thickTop="1" x14ac:dyDescent="0.25"/>
    <row r="16" spans="1:29" ht="35.1" customHeight="1" x14ac:dyDescent="0.25"/>
  </sheetData>
  <mergeCells count="7">
    <mergeCell ref="A14:J14"/>
    <mergeCell ref="A1:AC1"/>
    <mergeCell ref="A3:AC3"/>
    <mergeCell ref="K6:M6"/>
    <mergeCell ref="P6:U6"/>
    <mergeCell ref="Y6:AA6"/>
    <mergeCell ref="A2:AC2"/>
  </mergeCell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opLeftCell="B17" zoomScale="87" zoomScaleNormal="87" workbookViewId="0">
      <selection activeCell="B28" sqref="A28:XFD34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3.6640625" customWidth="1"/>
    <col min="6" max="6" width="35" customWidth="1"/>
    <col min="7" max="7" width="24.44140625" customWidth="1"/>
    <col min="8" max="8" width="20.6640625" customWidth="1"/>
    <col min="9" max="9" width="6.5546875" hidden="1" customWidth="1"/>
    <col min="10" max="10" width="8.5546875" hidden="1" customWidth="1"/>
    <col min="11" max="11" width="14.44140625" customWidth="1"/>
    <col min="12" max="12" width="14.33203125" customWidth="1"/>
    <col min="13" max="13" width="13.109375" hidden="1" customWidth="1"/>
    <col min="14" max="16" width="12.88671875" hidden="1" customWidth="1"/>
    <col min="17" max="18" width="13.109375" hidden="1" customWidth="1"/>
    <col min="19" max="19" width="10.5546875" hidden="1" customWidth="1"/>
    <col min="20" max="20" width="13" hidden="1" customWidth="1"/>
    <col min="21" max="21" width="13.109375" hidden="1" customWidth="1"/>
    <col min="22" max="22" width="13.88671875" hidden="1" customWidth="1"/>
    <col min="23" max="23" width="9.6640625" customWidth="1"/>
    <col min="24" max="25" width="14.6640625" customWidth="1"/>
    <col min="26" max="26" width="14.5546875" customWidth="1"/>
    <col min="27" max="27" width="15.44140625" customWidth="1"/>
    <col min="28" max="28" width="71.109375" customWidth="1"/>
    <col min="29" max="29" width="0.88671875" customWidth="1"/>
  </cols>
  <sheetData>
    <row r="1" spans="1:29" ht="17.399999999999999" x14ac:dyDescent="0.3">
      <c r="A1" s="316" t="s">
        <v>78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</row>
    <row r="2" spans="1:29" ht="17.399999999999999" x14ac:dyDescent="0.3">
      <c r="A2" s="316" t="s">
        <v>64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</row>
    <row r="3" spans="1:29" ht="19.8" x14ac:dyDescent="0.3">
      <c r="A3" s="306" t="s">
        <v>475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</row>
    <row r="4" spans="1:29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9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9" x14ac:dyDescent="0.25">
      <c r="A6" s="22"/>
      <c r="B6" s="22"/>
      <c r="C6" s="22"/>
      <c r="D6" s="22"/>
      <c r="E6" s="22"/>
      <c r="F6" s="22"/>
      <c r="G6" s="22"/>
      <c r="H6" s="22"/>
      <c r="I6" s="23" t="s">
        <v>22</v>
      </c>
      <c r="J6" s="23" t="s">
        <v>5</v>
      </c>
      <c r="K6" s="317" t="s">
        <v>1</v>
      </c>
      <c r="L6" s="319"/>
      <c r="M6" s="24" t="s">
        <v>25</v>
      </c>
      <c r="N6" s="25"/>
      <c r="O6" s="320" t="s">
        <v>8</v>
      </c>
      <c r="P6" s="321"/>
      <c r="Q6" s="321"/>
      <c r="R6" s="321"/>
      <c r="S6" s="321"/>
      <c r="T6" s="322"/>
      <c r="U6" s="24" t="s">
        <v>29</v>
      </c>
      <c r="V6" s="24" t="s">
        <v>9</v>
      </c>
      <c r="W6" s="23" t="s">
        <v>52</v>
      </c>
      <c r="X6" s="323" t="s">
        <v>2</v>
      </c>
      <c r="Y6" s="324"/>
      <c r="Z6" s="325"/>
      <c r="AA6" s="23" t="s">
        <v>0</v>
      </c>
      <c r="AB6" s="34"/>
    </row>
    <row r="7" spans="1:29" ht="33.75" customHeight="1" x14ac:dyDescent="0.25">
      <c r="A7" s="26" t="s">
        <v>20</v>
      </c>
      <c r="B7" s="44" t="s">
        <v>101</v>
      </c>
      <c r="C7" s="44" t="s">
        <v>125</v>
      </c>
      <c r="D7" s="26" t="s">
        <v>21</v>
      </c>
      <c r="E7" s="26"/>
      <c r="F7" s="26"/>
      <c r="G7" s="26"/>
      <c r="H7" s="26"/>
      <c r="I7" s="27" t="s">
        <v>23</v>
      </c>
      <c r="J7" s="26" t="s">
        <v>24</v>
      </c>
      <c r="K7" s="23" t="s">
        <v>5</v>
      </c>
      <c r="L7" s="23" t="s">
        <v>27</v>
      </c>
      <c r="M7" s="28" t="s">
        <v>26</v>
      </c>
      <c r="N7" s="25" t="s">
        <v>31</v>
      </c>
      <c r="O7" s="25" t="s">
        <v>11</v>
      </c>
      <c r="P7" s="25" t="s">
        <v>33</v>
      </c>
      <c r="Q7" s="25" t="s">
        <v>35</v>
      </c>
      <c r="R7" s="25" t="s">
        <v>36</v>
      </c>
      <c r="S7" s="25" t="s">
        <v>13</v>
      </c>
      <c r="T7" s="25" t="s">
        <v>9</v>
      </c>
      <c r="U7" s="28" t="s">
        <v>39</v>
      </c>
      <c r="V7" s="28" t="s">
        <v>40</v>
      </c>
      <c r="W7" s="26" t="s">
        <v>30</v>
      </c>
      <c r="X7" s="23" t="s">
        <v>433</v>
      </c>
      <c r="Y7" s="23" t="s">
        <v>56</v>
      </c>
      <c r="Z7" s="23" t="s">
        <v>6</v>
      </c>
      <c r="AA7" s="26" t="s">
        <v>3</v>
      </c>
      <c r="AB7" s="36" t="s">
        <v>57</v>
      </c>
    </row>
    <row r="8" spans="1:29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 t="s">
        <v>46</v>
      </c>
      <c r="L8" s="29" t="s">
        <v>28</v>
      </c>
      <c r="M8" s="30" t="s">
        <v>42</v>
      </c>
      <c r="N8" s="24" t="s">
        <v>32</v>
      </c>
      <c r="O8" s="24" t="s">
        <v>12</v>
      </c>
      <c r="P8" s="24" t="s">
        <v>34</v>
      </c>
      <c r="Q8" s="24" t="s">
        <v>34</v>
      </c>
      <c r="R8" s="24" t="s">
        <v>37</v>
      </c>
      <c r="S8" s="24" t="s">
        <v>14</v>
      </c>
      <c r="T8" s="24" t="s">
        <v>38</v>
      </c>
      <c r="U8" s="28" t="s">
        <v>18</v>
      </c>
      <c r="V8" s="31" t="s">
        <v>41</v>
      </c>
      <c r="W8" s="29" t="s">
        <v>51</v>
      </c>
      <c r="X8" s="29"/>
      <c r="Y8" s="29"/>
      <c r="Z8" s="29" t="s">
        <v>43</v>
      </c>
      <c r="AA8" s="29" t="s">
        <v>4</v>
      </c>
      <c r="AB8" s="35"/>
    </row>
    <row r="9" spans="1:29" ht="13.8" x14ac:dyDescent="0.25">
      <c r="A9" s="39"/>
      <c r="B9" s="39"/>
      <c r="C9" s="39"/>
      <c r="D9" s="90" t="s">
        <v>60</v>
      </c>
      <c r="E9" s="38" t="s">
        <v>102</v>
      </c>
      <c r="F9" s="38" t="s">
        <v>326</v>
      </c>
      <c r="G9" s="38" t="s">
        <v>468</v>
      </c>
      <c r="H9" s="38" t="s">
        <v>61</v>
      </c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40"/>
      <c r="W9" s="39"/>
      <c r="X9" s="39"/>
      <c r="Y9" s="39"/>
      <c r="Z9" s="39"/>
      <c r="AA9" s="39"/>
      <c r="AB9" s="91"/>
    </row>
    <row r="10" spans="1:29" ht="93.75" customHeight="1" x14ac:dyDescent="0.35">
      <c r="A10" s="109" t="s">
        <v>83</v>
      </c>
      <c r="B10" s="152" t="s">
        <v>299</v>
      </c>
      <c r="C10" s="153" t="s">
        <v>124</v>
      </c>
      <c r="D10" s="227" t="s">
        <v>266</v>
      </c>
      <c r="E10" s="154" t="s">
        <v>281</v>
      </c>
      <c r="F10" s="154" t="s">
        <v>373</v>
      </c>
      <c r="G10" s="230">
        <v>44470</v>
      </c>
      <c r="H10" s="154" t="s">
        <v>75</v>
      </c>
      <c r="I10" s="156">
        <v>15</v>
      </c>
      <c r="J10" s="195">
        <f>K10/I10</f>
        <v>590</v>
      </c>
      <c r="K10" s="158">
        <v>8850</v>
      </c>
      <c r="L10" s="160">
        <f t="shared" ref="L10:L18" si="0">SUM(K10:K10)</f>
        <v>8850</v>
      </c>
      <c r="M10" s="161">
        <v>0</v>
      </c>
      <c r="N10" s="161">
        <f>L10+M10</f>
        <v>8850</v>
      </c>
      <c r="O10" s="161">
        <f t="shared" ref="O10:O18" si="1">VLOOKUP(N10,Tarifa1,1)</f>
        <v>7641.91</v>
      </c>
      <c r="P10" s="161">
        <f>N10-O10</f>
        <v>1208.0900000000001</v>
      </c>
      <c r="Q10" s="162">
        <f t="shared" ref="Q10" si="2">VLOOKUP(N10,Tarifa1,3)</f>
        <v>0.21360000000000001</v>
      </c>
      <c r="R10" s="161">
        <f>P10*Q10</f>
        <v>258.04802400000005</v>
      </c>
      <c r="S10" s="163">
        <f t="shared" ref="S10:S18" si="3">VLOOKUP(N10,Tarifa1,2)</f>
        <v>809.25</v>
      </c>
      <c r="T10" s="161">
        <f>R10+S10</f>
        <v>1067.2980240000002</v>
      </c>
      <c r="U10" s="161">
        <f t="shared" ref="U10" si="4">VLOOKUP(N10,Credito1,2)</f>
        <v>0</v>
      </c>
      <c r="V10" s="161">
        <f>ROUND(T10-U10,2)</f>
        <v>1067.3</v>
      </c>
      <c r="W10" s="160">
        <f t="shared" ref="W10:W18" si="5">-IF(V10&gt;0,0,V10)</f>
        <v>0</v>
      </c>
      <c r="X10" s="160">
        <f t="shared" ref="X10:X18" si="6">IF(K10/15&lt;=SMG,0,IF(V10&lt;0,0,V10))</f>
        <v>1067.3</v>
      </c>
      <c r="Y10" s="164">
        <v>0</v>
      </c>
      <c r="Z10" s="160">
        <f t="shared" ref="Z10:Z17" si="7">SUM(X10:Y10)</f>
        <v>1067.3</v>
      </c>
      <c r="AA10" s="160">
        <f t="shared" ref="AA10:AA18" si="8">L10+W10-Z10</f>
        <v>7782.7</v>
      </c>
      <c r="AB10" s="33"/>
    </row>
    <row r="11" spans="1:29" ht="93.75" customHeight="1" x14ac:dyDescent="0.35">
      <c r="A11" s="109" t="s">
        <v>84</v>
      </c>
      <c r="B11" s="152" t="s">
        <v>264</v>
      </c>
      <c r="C11" s="153" t="s">
        <v>124</v>
      </c>
      <c r="D11" s="227" t="s">
        <v>267</v>
      </c>
      <c r="E11" s="154" t="s">
        <v>278</v>
      </c>
      <c r="F11" s="154" t="s">
        <v>374</v>
      </c>
      <c r="G11" s="230">
        <v>44470</v>
      </c>
      <c r="H11" s="154" t="s">
        <v>75</v>
      </c>
      <c r="I11" s="156">
        <v>15</v>
      </c>
      <c r="J11" s="195">
        <f t="shared" ref="J11:J18" si="9">K11/I11</f>
        <v>590</v>
      </c>
      <c r="K11" s="158">
        <v>8850</v>
      </c>
      <c r="L11" s="160">
        <f t="shared" si="0"/>
        <v>8850</v>
      </c>
      <c r="M11" s="161">
        <v>0</v>
      </c>
      <c r="N11" s="161">
        <f t="shared" ref="N11:N18" si="10">L11+M11</f>
        <v>8850</v>
      </c>
      <c r="O11" s="161">
        <f t="shared" si="1"/>
        <v>7641.91</v>
      </c>
      <c r="P11" s="161">
        <f t="shared" ref="P11" si="11">N11-O11</f>
        <v>1208.0900000000001</v>
      </c>
      <c r="Q11" s="162">
        <f t="shared" ref="Q11" si="12">VLOOKUP(N11,Tarifa1,3)</f>
        <v>0.21360000000000001</v>
      </c>
      <c r="R11" s="161">
        <f t="shared" ref="R11" si="13">P11*Q11</f>
        <v>258.04802400000005</v>
      </c>
      <c r="S11" s="163">
        <f t="shared" si="3"/>
        <v>809.25</v>
      </c>
      <c r="T11" s="161">
        <f t="shared" ref="T11:T18" si="14">R11+S11</f>
        <v>1067.2980240000002</v>
      </c>
      <c r="U11" s="161">
        <f t="shared" ref="U11:U18" si="15">VLOOKUP(N11,Credito1,2)</f>
        <v>0</v>
      </c>
      <c r="V11" s="161">
        <f t="shared" ref="V11:V18" si="16">ROUND(T11-U11,2)</f>
        <v>1067.3</v>
      </c>
      <c r="W11" s="160">
        <f t="shared" si="5"/>
        <v>0</v>
      </c>
      <c r="X11" s="160">
        <f t="shared" si="6"/>
        <v>1067.3</v>
      </c>
      <c r="Y11" s="164">
        <v>0</v>
      </c>
      <c r="Z11" s="160">
        <f t="shared" si="7"/>
        <v>1067.3</v>
      </c>
      <c r="AA11" s="160">
        <f t="shared" si="8"/>
        <v>7782.7</v>
      </c>
      <c r="AB11" s="33"/>
    </row>
    <row r="12" spans="1:29" ht="93.75" customHeight="1" x14ac:dyDescent="0.35">
      <c r="A12" s="109" t="s">
        <v>85</v>
      </c>
      <c r="B12" s="152" t="s">
        <v>265</v>
      </c>
      <c r="C12" s="153" t="s">
        <v>124</v>
      </c>
      <c r="D12" s="227" t="s">
        <v>268</v>
      </c>
      <c r="E12" s="154" t="s">
        <v>280</v>
      </c>
      <c r="F12" s="154" t="s">
        <v>375</v>
      </c>
      <c r="G12" s="230">
        <v>44470</v>
      </c>
      <c r="H12" s="154" t="s">
        <v>75</v>
      </c>
      <c r="I12" s="156">
        <v>15</v>
      </c>
      <c r="J12" s="195">
        <f t="shared" si="9"/>
        <v>590</v>
      </c>
      <c r="K12" s="158">
        <v>8850</v>
      </c>
      <c r="L12" s="160">
        <f t="shared" si="0"/>
        <v>8850</v>
      </c>
      <c r="M12" s="161">
        <v>0</v>
      </c>
      <c r="N12" s="161">
        <f t="shared" si="10"/>
        <v>8850</v>
      </c>
      <c r="O12" s="161">
        <f t="shared" si="1"/>
        <v>7641.91</v>
      </c>
      <c r="P12" s="161">
        <f t="shared" ref="P12:P18" si="17">N12-O12</f>
        <v>1208.0900000000001</v>
      </c>
      <c r="Q12" s="162">
        <f t="shared" ref="Q12:Q18" si="18">VLOOKUP(N12,Tarifa1,3)</f>
        <v>0.21360000000000001</v>
      </c>
      <c r="R12" s="161">
        <f t="shared" ref="R12:R18" si="19">P12*Q12</f>
        <v>258.04802400000005</v>
      </c>
      <c r="S12" s="163">
        <f t="shared" si="3"/>
        <v>809.25</v>
      </c>
      <c r="T12" s="161">
        <f t="shared" si="14"/>
        <v>1067.2980240000002</v>
      </c>
      <c r="U12" s="161">
        <f t="shared" si="15"/>
        <v>0</v>
      </c>
      <c r="V12" s="161">
        <f t="shared" si="16"/>
        <v>1067.3</v>
      </c>
      <c r="W12" s="160">
        <f t="shared" si="5"/>
        <v>0</v>
      </c>
      <c r="X12" s="160">
        <f t="shared" si="6"/>
        <v>1067.3</v>
      </c>
      <c r="Y12" s="164">
        <v>0</v>
      </c>
      <c r="Z12" s="160">
        <f t="shared" si="7"/>
        <v>1067.3</v>
      </c>
      <c r="AA12" s="160">
        <f t="shared" si="8"/>
        <v>7782.7</v>
      </c>
      <c r="AB12" s="33"/>
    </row>
    <row r="13" spans="1:29" ht="93.75" customHeight="1" x14ac:dyDescent="0.35">
      <c r="A13" s="109" t="s">
        <v>86</v>
      </c>
      <c r="B13" s="152" t="s">
        <v>300</v>
      </c>
      <c r="C13" s="153" t="s">
        <v>124</v>
      </c>
      <c r="D13" s="228" t="s">
        <v>269</v>
      </c>
      <c r="E13" s="154" t="s">
        <v>277</v>
      </c>
      <c r="F13" s="154" t="s">
        <v>376</v>
      </c>
      <c r="G13" s="230">
        <v>44470</v>
      </c>
      <c r="H13" s="154" t="s">
        <v>75</v>
      </c>
      <c r="I13" s="156">
        <v>10</v>
      </c>
      <c r="J13" s="195">
        <f t="shared" si="9"/>
        <v>885</v>
      </c>
      <c r="K13" s="158">
        <v>8850</v>
      </c>
      <c r="L13" s="160">
        <f t="shared" ref="L13" si="20">SUM(K13:K13)</f>
        <v>8850</v>
      </c>
      <c r="M13" s="161">
        <v>0</v>
      </c>
      <c r="N13" s="161">
        <f t="shared" ref="N13" si="21">L13+M13</f>
        <v>8850</v>
      </c>
      <c r="O13" s="161">
        <f t="shared" si="1"/>
        <v>7641.91</v>
      </c>
      <c r="P13" s="161">
        <f t="shared" si="17"/>
        <v>1208.0900000000001</v>
      </c>
      <c r="Q13" s="162">
        <f t="shared" si="18"/>
        <v>0.21360000000000001</v>
      </c>
      <c r="R13" s="161">
        <f t="shared" si="19"/>
        <v>258.04802400000005</v>
      </c>
      <c r="S13" s="163">
        <f t="shared" si="3"/>
        <v>809.25</v>
      </c>
      <c r="T13" s="161">
        <f t="shared" ref="T13" si="22">R13+S13</f>
        <v>1067.2980240000002</v>
      </c>
      <c r="U13" s="161">
        <f t="shared" ref="U13" si="23">VLOOKUP(N13,Credito1,2)</f>
        <v>0</v>
      </c>
      <c r="V13" s="161">
        <f t="shared" ref="V13" si="24">ROUND(T13-U13,2)</f>
        <v>1067.3</v>
      </c>
      <c r="W13" s="160">
        <f t="shared" si="5"/>
        <v>0</v>
      </c>
      <c r="X13" s="160">
        <f t="shared" si="6"/>
        <v>1067.3</v>
      </c>
      <c r="Y13" s="164">
        <v>0</v>
      </c>
      <c r="Z13" s="160">
        <f t="shared" si="7"/>
        <v>1067.3</v>
      </c>
      <c r="AA13" s="160">
        <f t="shared" si="8"/>
        <v>7782.7</v>
      </c>
      <c r="AB13" s="33"/>
    </row>
    <row r="14" spans="1:29" ht="93.75" customHeight="1" x14ac:dyDescent="0.35">
      <c r="A14" s="109" t="s">
        <v>87</v>
      </c>
      <c r="B14" s="152" t="s">
        <v>301</v>
      </c>
      <c r="C14" s="153" t="s">
        <v>124</v>
      </c>
      <c r="D14" s="229" t="s">
        <v>270</v>
      </c>
      <c r="E14" s="170" t="s">
        <v>279</v>
      </c>
      <c r="F14" s="170" t="s">
        <v>377</v>
      </c>
      <c r="G14" s="230">
        <v>44470</v>
      </c>
      <c r="H14" s="170" t="s">
        <v>75</v>
      </c>
      <c r="I14" s="171">
        <v>15</v>
      </c>
      <c r="J14" s="196">
        <f t="shared" si="9"/>
        <v>590</v>
      </c>
      <c r="K14" s="158">
        <v>8850</v>
      </c>
      <c r="L14" s="160">
        <f t="shared" ref="L14" si="25">SUM(K14:K14)</f>
        <v>8850</v>
      </c>
      <c r="M14" s="161">
        <v>0</v>
      </c>
      <c r="N14" s="161">
        <f t="shared" si="10"/>
        <v>8850</v>
      </c>
      <c r="O14" s="161">
        <f t="shared" si="1"/>
        <v>7641.91</v>
      </c>
      <c r="P14" s="161">
        <f t="shared" si="17"/>
        <v>1208.0900000000001</v>
      </c>
      <c r="Q14" s="162">
        <f t="shared" si="18"/>
        <v>0.21360000000000001</v>
      </c>
      <c r="R14" s="161">
        <f t="shared" si="19"/>
        <v>258.04802400000005</v>
      </c>
      <c r="S14" s="163">
        <f t="shared" si="3"/>
        <v>809.25</v>
      </c>
      <c r="T14" s="161">
        <f t="shared" si="14"/>
        <v>1067.2980240000002</v>
      </c>
      <c r="U14" s="161">
        <f t="shared" si="15"/>
        <v>0</v>
      </c>
      <c r="V14" s="161">
        <f t="shared" si="16"/>
        <v>1067.3</v>
      </c>
      <c r="W14" s="160">
        <f t="shared" ref="W14" si="26">-IF(V14&gt;0,0,V14)</f>
        <v>0</v>
      </c>
      <c r="X14" s="160">
        <f t="shared" si="6"/>
        <v>1067.3</v>
      </c>
      <c r="Y14" s="164">
        <v>0</v>
      </c>
      <c r="Z14" s="160">
        <f t="shared" ref="Z14" si="27">SUM(X14:Y14)</f>
        <v>1067.3</v>
      </c>
      <c r="AA14" s="160">
        <f t="shared" ref="AA14" si="28">L14+W14-Z14</f>
        <v>7782.7</v>
      </c>
      <c r="AB14" s="33"/>
    </row>
    <row r="15" spans="1:29" ht="93.75" customHeight="1" x14ac:dyDescent="0.35">
      <c r="A15" s="109" t="s">
        <v>88</v>
      </c>
      <c r="B15" s="152" t="s">
        <v>302</v>
      </c>
      <c r="C15" s="153" t="s">
        <v>124</v>
      </c>
      <c r="D15" s="227" t="s">
        <v>271</v>
      </c>
      <c r="E15" s="154" t="s">
        <v>294</v>
      </c>
      <c r="F15" s="154" t="s">
        <v>378</v>
      </c>
      <c r="G15" s="230">
        <v>44470</v>
      </c>
      <c r="H15" s="154" t="s">
        <v>75</v>
      </c>
      <c r="I15" s="156">
        <v>15</v>
      </c>
      <c r="J15" s="195">
        <f t="shared" si="9"/>
        <v>590</v>
      </c>
      <c r="K15" s="158">
        <v>8850</v>
      </c>
      <c r="L15" s="160">
        <f t="shared" si="0"/>
        <v>8850</v>
      </c>
      <c r="M15" s="161">
        <v>0</v>
      </c>
      <c r="N15" s="161">
        <f t="shared" si="10"/>
        <v>8850</v>
      </c>
      <c r="O15" s="161">
        <f t="shared" si="1"/>
        <v>7641.91</v>
      </c>
      <c r="P15" s="161">
        <f t="shared" si="17"/>
        <v>1208.0900000000001</v>
      </c>
      <c r="Q15" s="162">
        <f t="shared" si="18"/>
        <v>0.21360000000000001</v>
      </c>
      <c r="R15" s="161">
        <f t="shared" si="19"/>
        <v>258.04802400000005</v>
      </c>
      <c r="S15" s="163">
        <f t="shared" si="3"/>
        <v>809.25</v>
      </c>
      <c r="T15" s="161">
        <f t="shared" si="14"/>
        <v>1067.2980240000002</v>
      </c>
      <c r="U15" s="161">
        <f t="shared" si="15"/>
        <v>0</v>
      </c>
      <c r="V15" s="161">
        <f t="shared" si="16"/>
        <v>1067.3</v>
      </c>
      <c r="W15" s="160">
        <f t="shared" si="5"/>
        <v>0</v>
      </c>
      <c r="X15" s="160">
        <f t="shared" si="6"/>
        <v>1067.3</v>
      </c>
      <c r="Y15" s="164">
        <v>0</v>
      </c>
      <c r="Z15" s="160">
        <f t="shared" si="7"/>
        <v>1067.3</v>
      </c>
      <c r="AA15" s="160">
        <f t="shared" si="8"/>
        <v>7782.7</v>
      </c>
      <c r="AB15" s="33"/>
    </row>
    <row r="16" spans="1:29" ht="93.75" customHeight="1" x14ac:dyDescent="0.35">
      <c r="A16" s="109" t="s">
        <v>89</v>
      </c>
      <c r="B16" s="152" t="s">
        <v>272</v>
      </c>
      <c r="C16" s="153" t="s">
        <v>124</v>
      </c>
      <c r="D16" s="227" t="s">
        <v>273</v>
      </c>
      <c r="E16" s="154" t="s">
        <v>274</v>
      </c>
      <c r="F16" s="154" t="s">
        <v>331</v>
      </c>
      <c r="G16" s="230">
        <v>44470</v>
      </c>
      <c r="H16" s="154" t="s">
        <v>75</v>
      </c>
      <c r="I16" s="156">
        <v>15</v>
      </c>
      <c r="J16" s="195">
        <f t="shared" si="9"/>
        <v>590</v>
      </c>
      <c r="K16" s="158">
        <v>8850</v>
      </c>
      <c r="L16" s="160">
        <f t="shared" si="0"/>
        <v>8850</v>
      </c>
      <c r="M16" s="161">
        <v>0</v>
      </c>
      <c r="N16" s="161">
        <f t="shared" si="10"/>
        <v>8850</v>
      </c>
      <c r="O16" s="161">
        <f t="shared" si="1"/>
        <v>7641.91</v>
      </c>
      <c r="P16" s="161">
        <f t="shared" si="17"/>
        <v>1208.0900000000001</v>
      </c>
      <c r="Q16" s="162">
        <f t="shared" si="18"/>
        <v>0.21360000000000001</v>
      </c>
      <c r="R16" s="161">
        <f t="shared" si="19"/>
        <v>258.04802400000005</v>
      </c>
      <c r="S16" s="163">
        <f t="shared" si="3"/>
        <v>809.25</v>
      </c>
      <c r="T16" s="161">
        <f t="shared" si="14"/>
        <v>1067.2980240000002</v>
      </c>
      <c r="U16" s="161">
        <f t="shared" si="15"/>
        <v>0</v>
      </c>
      <c r="V16" s="161">
        <f t="shared" si="16"/>
        <v>1067.3</v>
      </c>
      <c r="W16" s="160">
        <f t="shared" si="5"/>
        <v>0</v>
      </c>
      <c r="X16" s="160">
        <f t="shared" si="6"/>
        <v>1067.3</v>
      </c>
      <c r="Y16" s="164">
        <v>0</v>
      </c>
      <c r="Z16" s="160">
        <f t="shared" si="7"/>
        <v>1067.3</v>
      </c>
      <c r="AA16" s="160">
        <f t="shared" si="8"/>
        <v>7782.7</v>
      </c>
      <c r="AB16" s="33"/>
    </row>
    <row r="17" spans="1:28" ht="93.75" customHeight="1" x14ac:dyDescent="0.35">
      <c r="A17" s="109" t="s">
        <v>90</v>
      </c>
      <c r="B17" s="152" t="s">
        <v>303</v>
      </c>
      <c r="C17" s="153" t="s">
        <v>124</v>
      </c>
      <c r="D17" s="227" t="s">
        <v>275</v>
      </c>
      <c r="E17" s="154" t="s">
        <v>276</v>
      </c>
      <c r="F17" s="154" t="s">
        <v>379</v>
      </c>
      <c r="G17" s="230">
        <v>44470</v>
      </c>
      <c r="H17" s="154" t="s">
        <v>75</v>
      </c>
      <c r="I17" s="156">
        <v>15</v>
      </c>
      <c r="J17" s="195">
        <f t="shared" si="9"/>
        <v>590</v>
      </c>
      <c r="K17" s="158">
        <v>8850</v>
      </c>
      <c r="L17" s="160">
        <f t="shared" si="0"/>
        <v>8850</v>
      </c>
      <c r="M17" s="161">
        <v>0</v>
      </c>
      <c r="N17" s="161">
        <f t="shared" si="10"/>
        <v>8850</v>
      </c>
      <c r="O17" s="161">
        <f t="shared" si="1"/>
        <v>7641.91</v>
      </c>
      <c r="P17" s="161">
        <f t="shared" si="17"/>
        <v>1208.0900000000001</v>
      </c>
      <c r="Q17" s="162">
        <f t="shared" si="18"/>
        <v>0.21360000000000001</v>
      </c>
      <c r="R17" s="161">
        <f t="shared" si="19"/>
        <v>258.04802400000005</v>
      </c>
      <c r="S17" s="163">
        <f t="shared" si="3"/>
        <v>809.25</v>
      </c>
      <c r="T17" s="161">
        <f t="shared" si="14"/>
        <v>1067.2980240000002</v>
      </c>
      <c r="U17" s="161">
        <f t="shared" si="15"/>
        <v>0</v>
      </c>
      <c r="V17" s="161">
        <f t="shared" si="16"/>
        <v>1067.3</v>
      </c>
      <c r="W17" s="160">
        <f t="shared" si="5"/>
        <v>0</v>
      </c>
      <c r="X17" s="160">
        <f t="shared" si="6"/>
        <v>1067.3</v>
      </c>
      <c r="Y17" s="164">
        <v>0</v>
      </c>
      <c r="Z17" s="160">
        <f t="shared" si="7"/>
        <v>1067.3</v>
      </c>
      <c r="AA17" s="160">
        <f t="shared" si="8"/>
        <v>7782.7</v>
      </c>
      <c r="AB17" s="33"/>
    </row>
    <row r="18" spans="1:28" ht="93.75" customHeight="1" x14ac:dyDescent="0.35">
      <c r="A18" s="109" t="s">
        <v>91</v>
      </c>
      <c r="B18" s="152" t="s">
        <v>304</v>
      </c>
      <c r="C18" s="153" t="s">
        <v>124</v>
      </c>
      <c r="D18" s="227" t="s">
        <v>312</v>
      </c>
      <c r="E18" s="154" t="s">
        <v>295</v>
      </c>
      <c r="F18" s="154" t="s">
        <v>380</v>
      </c>
      <c r="G18" s="230">
        <v>44470</v>
      </c>
      <c r="H18" s="154" t="s">
        <v>75</v>
      </c>
      <c r="I18" s="156">
        <v>15</v>
      </c>
      <c r="J18" s="195">
        <f t="shared" si="9"/>
        <v>590</v>
      </c>
      <c r="K18" s="158">
        <v>8850</v>
      </c>
      <c r="L18" s="160">
        <f t="shared" si="0"/>
        <v>8850</v>
      </c>
      <c r="M18" s="161">
        <v>0</v>
      </c>
      <c r="N18" s="161">
        <f t="shared" si="10"/>
        <v>8850</v>
      </c>
      <c r="O18" s="161">
        <f t="shared" si="1"/>
        <v>7641.91</v>
      </c>
      <c r="P18" s="161">
        <f t="shared" si="17"/>
        <v>1208.0900000000001</v>
      </c>
      <c r="Q18" s="162">
        <f t="shared" si="18"/>
        <v>0.21360000000000001</v>
      </c>
      <c r="R18" s="161">
        <f t="shared" si="19"/>
        <v>258.04802400000005</v>
      </c>
      <c r="S18" s="163">
        <f t="shared" si="3"/>
        <v>809.25</v>
      </c>
      <c r="T18" s="161">
        <f t="shared" si="14"/>
        <v>1067.2980240000002</v>
      </c>
      <c r="U18" s="161">
        <f t="shared" si="15"/>
        <v>0</v>
      </c>
      <c r="V18" s="161">
        <f t="shared" si="16"/>
        <v>1067.3</v>
      </c>
      <c r="W18" s="160">
        <f t="shared" si="5"/>
        <v>0</v>
      </c>
      <c r="X18" s="160">
        <f t="shared" si="6"/>
        <v>1067.3</v>
      </c>
      <c r="Y18" s="164">
        <v>0</v>
      </c>
      <c r="Z18" s="160">
        <f>SUM(X18:Y18)</f>
        <v>1067.3</v>
      </c>
      <c r="AA18" s="160">
        <f t="shared" si="8"/>
        <v>7782.7</v>
      </c>
      <c r="AB18" s="33"/>
    </row>
    <row r="19" spans="1:28" ht="21.75" customHeight="1" x14ac:dyDescent="0.3">
      <c r="A19" s="180"/>
      <c r="B19" s="180"/>
      <c r="C19" s="180"/>
      <c r="D19" s="180"/>
      <c r="E19" s="180"/>
      <c r="F19" s="180"/>
      <c r="G19" s="180"/>
      <c r="H19" s="180"/>
      <c r="I19" s="180"/>
      <c r="J19" s="180"/>
      <c r="K19" s="186"/>
      <c r="L19" s="186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</row>
    <row r="20" spans="1:28" ht="40.5" customHeight="1" thickBot="1" x14ac:dyDescent="0.35">
      <c r="A20" s="302" t="s">
        <v>44</v>
      </c>
      <c r="B20" s="303"/>
      <c r="C20" s="303"/>
      <c r="D20" s="303"/>
      <c r="E20" s="303"/>
      <c r="F20" s="303"/>
      <c r="G20" s="303"/>
      <c r="H20" s="303"/>
      <c r="I20" s="303"/>
      <c r="J20" s="304"/>
      <c r="K20" s="167">
        <f>SUM(K10:K19)</f>
        <v>79650</v>
      </c>
      <c r="L20" s="167">
        <f>SUM(L10:L19)</f>
        <v>79650</v>
      </c>
      <c r="M20" s="168">
        <f t="shared" ref="M20:V20" si="29">SUM(M10:M19)</f>
        <v>0</v>
      </c>
      <c r="N20" s="168">
        <f t="shared" si="29"/>
        <v>79650</v>
      </c>
      <c r="O20" s="168">
        <f t="shared" si="29"/>
        <v>68777.190000000017</v>
      </c>
      <c r="P20" s="168">
        <f t="shared" si="29"/>
        <v>10872.810000000001</v>
      </c>
      <c r="Q20" s="168">
        <f t="shared" si="29"/>
        <v>1.9224000000000001</v>
      </c>
      <c r="R20" s="168">
        <f t="shared" si="29"/>
        <v>2322.4322160000011</v>
      </c>
      <c r="S20" s="168">
        <f t="shared" si="29"/>
        <v>7283.25</v>
      </c>
      <c r="T20" s="168">
        <f t="shared" si="29"/>
        <v>9605.6822159999992</v>
      </c>
      <c r="U20" s="168">
        <f t="shared" si="29"/>
        <v>0</v>
      </c>
      <c r="V20" s="168">
        <f t="shared" si="29"/>
        <v>9605.6999999999989</v>
      </c>
      <c r="W20" s="167">
        <f>SUM(W10:W19)</f>
        <v>0</v>
      </c>
      <c r="X20" s="167">
        <f>SUM(X10:X19)</f>
        <v>9605.6999999999989</v>
      </c>
      <c r="Y20" s="167">
        <f>SUM(Y10:Y19)</f>
        <v>0</v>
      </c>
      <c r="Z20" s="167">
        <f>SUM(Z10:Z19)</f>
        <v>9605.6999999999989</v>
      </c>
      <c r="AA20" s="167">
        <f>SUM(AA10:AA19)</f>
        <v>70044.299999999988</v>
      </c>
    </row>
    <row r="21" spans="1:28" ht="13.8" thickTop="1" x14ac:dyDescent="0.25"/>
  </sheetData>
  <sortState ref="D10:F18">
    <sortCondition ref="D10"/>
  </sortState>
  <mergeCells count="7">
    <mergeCell ref="A20:J20"/>
    <mergeCell ref="A1:AB1"/>
    <mergeCell ref="A2:AB2"/>
    <mergeCell ref="K6:L6"/>
    <mergeCell ref="O6:T6"/>
    <mergeCell ref="X6:Z6"/>
    <mergeCell ref="A3:AC3"/>
  </mergeCells>
  <pageMargins left="0.27559055118110237" right="0.27559055118110237" top="0.74803149606299213" bottom="0.39370078740157483" header="0.31496062992125984" footer="0.31496062992125984"/>
  <pageSetup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opLeftCell="A11" workbookViewId="0">
      <selection activeCell="A23" sqref="A23:XFD29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22.6640625" customWidth="1"/>
    <col min="5" max="5" width="32.33203125" customWidth="1"/>
    <col min="6" max="6" width="15.6640625" customWidth="1"/>
    <col min="7" max="7" width="16.5546875" customWidth="1"/>
    <col min="8" max="9" width="0" hidden="1" customWidth="1"/>
    <col min="10" max="10" width="14.44140625" bestFit="1" customWidth="1"/>
    <col min="11" max="11" width="7.44140625" customWidth="1"/>
    <col min="12" max="12" width="14.44140625" bestFit="1" customWidth="1"/>
    <col min="13" max="13" width="11.44140625" hidden="1" customWidth="1"/>
    <col min="14" max="14" width="14.88671875" hidden="1" customWidth="1"/>
    <col min="15" max="15" width="14.6640625" hidden="1" customWidth="1"/>
    <col min="16" max="16" width="13" hidden="1" customWidth="1"/>
    <col min="17" max="17" width="11.44140625" hidden="1" customWidth="1"/>
    <col min="18" max="18" width="13.33203125" hidden="1" customWidth="1"/>
    <col min="19" max="20" width="12.5546875" hidden="1" customWidth="1"/>
    <col min="21" max="21" width="11.44140625" hidden="1" customWidth="1"/>
    <col min="22" max="22" width="12.88671875" hidden="1" customWidth="1"/>
    <col min="23" max="23" width="8.88671875" customWidth="1"/>
    <col min="24" max="24" width="12.6640625" customWidth="1"/>
    <col min="25" max="25" width="14" customWidth="1"/>
    <col min="26" max="26" width="13.109375" customWidth="1"/>
    <col min="27" max="27" width="14.44140625" bestFit="1" customWidth="1"/>
    <col min="28" max="28" width="54.5546875" customWidth="1"/>
  </cols>
  <sheetData>
    <row r="1" spans="1:29" ht="17.399999999999999" x14ac:dyDescent="0.3">
      <c r="A1" s="316" t="s">
        <v>78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</row>
    <row r="2" spans="1:29" ht="17.399999999999999" x14ac:dyDescent="0.3">
      <c r="A2" s="316" t="s">
        <v>64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</row>
    <row r="3" spans="1:29" ht="19.8" x14ac:dyDescent="0.3">
      <c r="A3" s="306" t="s">
        <v>477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</row>
    <row r="4" spans="1:29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9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9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9" x14ac:dyDescent="0.25">
      <c r="A7" s="22"/>
      <c r="B7" s="22"/>
      <c r="C7" s="22"/>
      <c r="D7" s="22"/>
      <c r="E7" s="22"/>
      <c r="F7" s="22"/>
      <c r="G7" s="22"/>
      <c r="H7" s="23" t="s">
        <v>22</v>
      </c>
      <c r="I7" s="23" t="s">
        <v>5</v>
      </c>
      <c r="J7" s="317" t="s">
        <v>1</v>
      </c>
      <c r="K7" s="318"/>
      <c r="L7" s="319"/>
      <c r="M7" s="24" t="s">
        <v>25</v>
      </c>
      <c r="N7" s="25"/>
      <c r="O7" s="320" t="s">
        <v>8</v>
      </c>
      <c r="P7" s="321"/>
      <c r="Q7" s="321"/>
      <c r="R7" s="321"/>
      <c r="S7" s="321"/>
      <c r="T7" s="322"/>
      <c r="U7" s="24" t="s">
        <v>29</v>
      </c>
      <c r="V7" s="24" t="s">
        <v>9</v>
      </c>
      <c r="W7" s="23" t="s">
        <v>52</v>
      </c>
      <c r="X7" s="323" t="s">
        <v>2</v>
      </c>
      <c r="Y7" s="324"/>
      <c r="Z7" s="325"/>
      <c r="AA7" s="23" t="s">
        <v>0</v>
      </c>
      <c r="AB7" s="34"/>
    </row>
    <row r="8" spans="1:29" ht="21" x14ac:dyDescent="0.25">
      <c r="A8" s="44" t="s">
        <v>101</v>
      </c>
      <c r="B8" s="44" t="s">
        <v>125</v>
      </c>
      <c r="C8" s="26" t="s">
        <v>21</v>
      </c>
      <c r="D8" s="26"/>
      <c r="E8" s="26"/>
      <c r="F8" s="26"/>
      <c r="G8" s="26"/>
      <c r="H8" s="27" t="s">
        <v>23</v>
      </c>
      <c r="I8" s="26" t="s">
        <v>24</v>
      </c>
      <c r="J8" s="23" t="s">
        <v>5</v>
      </c>
      <c r="K8" s="23" t="s">
        <v>58</v>
      </c>
      <c r="L8" s="23" t="s">
        <v>27</v>
      </c>
      <c r="M8" s="28" t="s">
        <v>26</v>
      </c>
      <c r="N8" s="25" t="s">
        <v>31</v>
      </c>
      <c r="O8" s="25" t="s">
        <v>11</v>
      </c>
      <c r="P8" s="25" t="s">
        <v>33</v>
      </c>
      <c r="Q8" s="25" t="s">
        <v>35</v>
      </c>
      <c r="R8" s="25" t="s">
        <v>36</v>
      </c>
      <c r="S8" s="25" t="s">
        <v>13</v>
      </c>
      <c r="T8" s="25" t="s">
        <v>9</v>
      </c>
      <c r="U8" s="28" t="s">
        <v>39</v>
      </c>
      <c r="V8" s="28" t="s">
        <v>40</v>
      </c>
      <c r="W8" s="26" t="s">
        <v>30</v>
      </c>
      <c r="X8" s="23" t="s">
        <v>433</v>
      </c>
      <c r="Y8" s="23" t="s">
        <v>56</v>
      </c>
      <c r="Z8" s="23" t="s">
        <v>6</v>
      </c>
      <c r="AA8" s="26" t="s">
        <v>3</v>
      </c>
      <c r="AB8" s="36" t="s">
        <v>57</v>
      </c>
    </row>
    <row r="9" spans="1:29" x14ac:dyDescent="0.25">
      <c r="A9" s="29"/>
      <c r="B9" s="29"/>
      <c r="C9" s="29"/>
      <c r="D9" s="29"/>
      <c r="E9" s="29"/>
      <c r="F9" s="29"/>
      <c r="G9" s="29"/>
      <c r="H9" s="29"/>
      <c r="I9" s="29"/>
      <c r="J9" s="29" t="s">
        <v>46</v>
      </c>
      <c r="K9" s="29" t="s">
        <v>59</v>
      </c>
      <c r="L9" s="29" t="s">
        <v>28</v>
      </c>
      <c r="M9" s="30" t="s">
        <v>42</v>
      </c>
      <c r="N9" s="24" t="s">
        <v>32</v>
      </c>
      <c r="O9" s="24" t="s">
        <v>12</v>
      </c>
      <c r="P9" s="24" t="s">
        <v>34</v>
      </c>
      <c r="Q9" s="24" t="s">
        <v>34</v>
      </c>
      <c r="R9" s="24" t="s">
        <v>37</v>
      </c>
      <c r="S9" s="24" t="s">
        <v>14</v>
      </c>
      <c r="T9" s="24" t="s">
        <v>38</v>
      </c>
      <c r="U9" s="28" t="s">
        <v>18</v>
      </c>
      <c r="V9" s="31" t="s">
        <v>41</v>
      </c>
      <c r="W9" s="29" t="s">
        <v>51</v>
      </c>
      <c r="X9" s="29"/>
      <c r="Y9" s="29"/>
      <c r="Z9" s="29" t="s">
        <v>43</v>
      </c>
      <c r="AA9" s="29" t="s">
        <v>4</v>
      </c>
      <c r="AB9" s="35"/>
    </row>
    <row r="10" spans="1:29" ht="27.6" x14ac:dyDescent="0.25">
      <c r="A10" s="39"/>
      <c r="B10" s="39"/>
      <c r="C10" s="90" t="s">
        <v>74</v>
      </c>
      <c r="D10" s="38" t="s">
        <v>102</v>
      </c>
      <c r="E10" s="38" t="s">
        <v>326</v>
      </c>
      <c r="F10" s="288" t="s">
        <v>468</v>
      </c>
      <c r="G10" s="38" t="s">
        <v>61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40"/>
      <c r="W10" s="39"/>
      <c r="X10" s="39"/>
      <c r="Y10" s="39"/>
      <c r="Z10" s="39"/>
      <c r="AA10" s="39"/>
      <c r="AB10" s="91"/>
    </row>
    <row r="11" spans="1:29" ht="139.5" customHeight="1" x14ac:dyDescent="0.35">
      <c r="A11" s="152" t="s">
        <v>251</v>
      </c>
      <c r="B11" s="153" t="s">
        <v>124</v>
      </c>
      <c r="C11" s="227" t="s">
        <v>252</v>
      </c>
      <c r="D11" s="154" t="s">
        <v>253</v>
      </c>
      <c r="E11" s="154" t="s">
        <v>346</v>
      </c>
      <c r="F11" s="230">
        <v>43374</v>
      </c>
      <c r="G11" s="155" t="s">
        <v>322</v>
      </c>
      <c r="H11" s="156">
        <v>15</v>
      </c>
      <c r="I11" s="157">
        <f>J11/H11</f>
        <v>990.6</v>
      </c>
      <c r="J11" s="158">
        <v>14859</v>
      </c>
      <c r="K11" s="159">
        <v>0</v>
      </c>
      <c r="L11" s="160">
        <f>SUM(J11:K11)</f>
        <v>14859</v>
      </c>
      <c r="M11" s="161">
        <f>K11/2</f>
        <v>0</v>
      </c>
      <c r="N11" s="161">
        <f>J11+M11</f>
        <v>14859</v>
      </c>
      <c r="O11" s="161">
        <f>VLOOKUP(N11,Tarifa1,1)</f>
        <v>7641.91</v>
      </c>
      <c r="P11" s="161">
        <f>N11-O11</f>
        <v>7217.09</v>
      </c>
      <c r="Q11" s="162">
        <f t="shared" ref="Q11" si="0">VLOOKUP(N11,Tarifa1,3)</f>
        <v>0.21360000000000001</v>
      </c>
      <c r="R11" s="161">
        <f>P11*Q11</f>
        <v>1541.5704240000002</v>
      </c>
      <c r="S11" s="163">
        <f>VLOOKUP(N11,Tarifa1,2)</f>
        <v>809.25</v>
      </c>
      <c r="T11" s="161">
        <f>R11+S11</f>
        <v>2350.8204240000005</v>
      </c>
      <c r="U11" s="161">
        <f t="shared" ref="U11" si="1">VLOOKUP(N11,Credito1,2)</f>
        <v>0</v>
      </c>
      <c r="V11" s="161">
        <f>ROUND(T11-U11,2)</f>
        <v>2350.8200000000002</v>
      </c>
      <c r="W11" s="160">
        <f t="shared" ref="W11" si="2">-IF(V11&gt;0,0,V11)</f>
        <v>0</v>
      </c>
      <c r="X11" s="160">
        <f>IF(J11/15&lt;=SMG,0,IF(V11&lt;0,0,V11))</f>
        <v>2350.8200000000002</v>
      </c>
      <c r="Y11" s="164">
        <v>0</v>
      </c>
      <c r="Z11" s="160">
        <f>SUM(X11:Y11)</f>
        <v>2350.8200000000002</v>
      </c>
      <c r="AA11" s="160">
        <f>L11+W11-Z11</f>
        <v>12508.18</v>
      </c>
      <c r="AB11" s="92"/>
    </row>
    <row r="12" spans="1:29" ht="17.399999999999999" x14ac:dyDescent="0.3">
      <c r="A12" s="180"/>
      <c r="B12" s="180"/>
      <c r="C12" s="180"/>
      <c r="D12" s="180"/>
      <c r="E12" s="180"/>
      <c r="F12" s="180"/>
      <c r="G12" s="180"/>
      <c r="H12" s="181"/>
      <c r="I12" s="180"/>
      <c r="J12" s="182"/>
      <c r="K12" s="182"/>
      <c r="L12" s="182"/>
      <c r="M12" s="183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</row>
    <row r="13" spans="1:29" ht="41.25" customHeight="1" thickBot="1" x14ac:dyDescent="0.35">
      <c r="A13" s="303"/>
      <c r="B13" s="303"/>
      <c r="C13" s="303"/>
      <c r="D13" s="303"/>
      <c r="E13" s="303"/>
      <c r="F13" s="303"/>
      <c r="G13" s="303"/>
      <c r="H13" s="303"/>
      <c r="I13" s="304"/>
      <c r="J13" s="167">
        <f t="shared" ref="J13:AA13" si="3">SUM(J11:J12)</f>
        <v>14859</v>
      </c>
      <c r="K13" s="167">
        <f t="shared" si="3"/>
        <v>0</v>
      </c>
      <c r="L13" s="167">
        <f t="shared" si="3"/>
        <v>14859</v>
      </c>
      <c r="M13" s="168">
        <f t="shared" si="3"/>
        <v>0</v>
      </c>
      <c r="N13" s="168">
        <f t="shared" si="3"/>
        <v>14859</v>
      </c>
      <c r="O13" s="168">
        <f t="shared" si="3"/>
        <v>7641.91</v>
      </c>
      <c r="P13" s="168">
        <f t="shared" si="3"/>
        <v>7217.09</v>
      </c>
      <c r="Q13" s="168">
        <f t="shared" si="3"/>
        <v>0.21360000000000001</v>
      </c>
      <c r="R13" s="168">
        <f t="shared" si="3"/>
        <v>1541.5704240000002</v>
      </c>
      <c r="S13" s="168">
        <f t="shared" si="3"/>
        <v>809.25</v>
      </c>
      <c r="T13" s="168">
        <f t="shared" si="3"/>
        <v>2350.8204240000005</v>
      </c>
      <c r="U13" s="168">
        <f t="shared" si="3"/>
        <v>0</v>
      </c>
      <c r="V13" s="168">
        <f t="shared" si="3"/>
        <v>2350.8200000000002</v>
      </c>
      <c r="W13" s="167">
        <f t="shared" si="3"/>
        <v>0</v>
      </c>
      <c r="X13" s="167">
        <f t="shared" si="3"/>
        <v>2350.8200000000002</v>
      </c>
      <c r="Y13" s="167">
        <f t="shared" si="3"/>
        <v>0</v>
      </c>
      <c r="Z13" s="167">
        <f t="shared" si="3"/>
        <v>2350.8200000000002</v>
      </c>
      <c r="AA13" s="167">
        <f t="shared" si="3"/>
        <v>12508.18</v>
      </c>
    </row>
    <row r="14" spans="1:29" ht="13.8" thickTop="1" x14ac:dyDescent="0.25"/>
  </sheetData>
  <mergeCells count="7">
    <mergeCell ref="A13:I13"/>
    <mergeCell ref="A1:AC1"/>
    <mergeCell ref="A2:AC2"/>
    <mergeCell ref="A3:AC3"/>
    <mergeCell ref="J7:L7"/>
    <mergeCell ref="O7:T7"/>
    <mergeCell ref="X7:Z7"/>
  </mergeCells>
  <pageMargins left="0.27559055118110237" right="0.27559055118110237" top="0.74803149606299213" bottom="0.74803149606299213" header="0.31496062992125984" footer="0.31496062992125984"/>
  <pageSetup scale="4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2023-05-02T15:49:05Z</cp:lastPrinted>
  <dcterms:created xsi:type="dcterms:W3CDTF">2000-05-05T04:08:27Z</dcterms:created>
  <dcterms:modified xsi:type="dcterms:W3CDTF">2024-11-15T17:45:39Z</dcterms:modified>
</cp:coreProperties>
</file>