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20" l="1"/>
  <c r="M21" i="120" s="1"/>
  <c r="K21" i="120"/>
  <c r="L16" i="133"/>
  <c r="M16" i="133" s="1"/>
  <c r="K16" i="133"/>
  <c r="K22" i="135"/>
  <c r="L22" i="135" s="1"/>
  <c r="J22" i="135"/>
  <c r="K21" i="135"/>
  <c r="L21" i="135" s="1"/>
  <c r="J21" i="135"/>
  <c r="K20" i="135"/>
  <c r="L20" i="135" s="1"/>
  <c r="J20" i="135"/>
  <c r="K19" i="135"/>
  <c r="L19" i="135" s="1"/>
  <c r="J19" i="135"/>
  <c r="K18" i="135"/>
  <c r="L18" i="135" s="1"/>
  <c r="J18" i="135"/>
  <c r="L10" i="120"/>
  <c r="M10" i="120" s="1"/>
  <c r="K10" i="120"/>
  <c r="L30" i="121"/>
  <c r="M30" i="121" s="1"/>
  <c r="K30" i="121"/>
  <c r="L15" i="121"/>
  <c r="M15" i="121" s="1"/>
  <c r="K15" i="121"/>
  <c r="J32" i="123"/>
  <c r="I32" i="123"/>
  <c r="L33" i="123"/>
  <c r="M33" i="123" s="1"/>
  <c r="K33" i="123"/>
  <c r="K32" i="123" s="1"/>
  <c r="K17" i="135"/>
  <c r="L17" i="135" s="1"/>
  <c r="J17" i="135"/>
  <c r="K10" i="135"/>
  <c r="L10" i="135" s="1"/>
  <c r="J10" i="135"/>
  <c r="L14" i="132"/>
  <c r="M14" i="132" s="1"/>
  <c r="K14" i="132"/>
  <c r="L18" i="133"/>
  <c r="M18" i="133" s="1"/>
  <c r="K18" i="133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5" i="132"/>
  <c r="M15" i="132" s="1"/>
  <c r="K15" i="132"/>
  <c r="L10" i="132"/>
  <c r="M10" i="132" s="1"/>
  <c r="K10" i="132"/>
  <c r="L12" i="132"/>
  <c r="M12" i="132" s="1"/>
  <c r="K12" i="132"/>
  <c r="K9" i="135"/>
  <c r="L9" i="135" s="1"/>
  <c r="J9" i="135"/>
  <c r="S20" i="135" l="1"/>
  <c r="Q20" i="135"/>
  <c r="M20" i="135"/>
  <c r="N20" i="135" s="1"/>
  <c r="P21" i="120"/>
  <c r="T21" i="120"/>
  <c r="R21" i="120"/>
  <c r="N21" i="120"/>
  <c r="O21" i="120" s="1"/>
  <c r="T10" i="120"/>
  <c r="N10" i="120"/>
  <c r="O10" i="120" s="1"/>
  <c r="R10" i="120"/>
  <c r="N16" i="133"/>
  <c r="O16" i="133" s="1"/>
  <c r="T16" i="133"/>
  <c r="P16" i="133"/>
  <c r="R16" i="133"/>
  <c r="S22" i="135"/>
  <c r="O22" i="135"/>
  <c r="Q22" i="135"/>
  <c r="M22" i="135"/>
  <c r="N22" i="135" s="1"/>
  <c r="S21" i="135"/>
  <c r="O21" i="135"/>
  <c r="Q21" i="135"/>
  <c r="M21" i="135"/>
  <c r="N21" i="135" s="1"/>
  <c r="O20" i="135"/>
  <c r="P20" i="135" s="1"/>
  <c r="Q18" i="135"/>
  <c r="M18" i="135"/>
  <c r="N18" i="135" s="1"/>
  <c r="S18" i="135"/>
  <c r="O18" i="135"/>
  <c r="S19" i="135"/>
  <c r="Q19" i="135"/>
  <c r="M19" i="135"/>
  <c r="N19" i="135" s="1"/>
  <c r="O19" i="135"/>
  <c r="P10" i="120"/>
  <c r="T30" i="121"/>
  <c r="P30" i="121"/>
  <c r="R30" i="121"/>
  <c r="N30" i="121"/>
  <c r="O30" i="121" s="1"/>
  <c r="T15" i="121"/>
  <c r="P15" i="121"/>
  <c r="R15" i="121"/>
  <c r="N15" i="121"/>
  <c r="O15" i="121" s="1"/>
  <c r="T33" i="123"/>
  <c r="P33" i="123"/>
  <c r="R33" i="123"/>
  <c r="N33" i="123"/>
  <c r="O33" i="123" s="1"/>
  <c r="Q17" i="135"/>
  <c r="M17" i="135"/>
  <c r="N17" i="135" s="1"/>
  <c r="S17" i="135"/>
  <c r="O17" i="135"/>
  <c r="S10" i="135"/>
  <c r="O10" i="135"/>
  <c r="Q10" i="135"/>
  <c r="M10" i="135"/>
  <c r="N10" i="135" s="1"/>
  <c r="T14" i="132"/>
  <c r="P14" i="132"/>
  <c r="R14" i="132"/>
  <c r="N14" i="132"/>
  <c r="O14" i="132" s="1"/>
  <c r="Q14" i="132" s="1"/>
  <c r="T18" i="133"/>
  <c r="P18" i="133"/>
  <c r="R18" i="133"/>
  <c r="N18" i="133"/>
  <c r="O18" i="133" s="1"/>
  <c r="Q18" i="133" s="1"/>
  <c r="S18" i="133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Q11" i="121" s="1"/>
  <c r="T16" i="123"/>
  <c r="P16" i="123"/>
  <c r="N16" i="123"/>
  <c r="O16" i="123" s="1"/>
  <c r="R16" i="123"/>
  <c r="R15" i="132"/>
  <c r="N15" i="132"/>
  <c r="O15" i="132" s="1"/>
  <c r="T15" i="132"/>
  <c r="P15" i="132"/>
  <c r="T10" i="132"/>
  <c r="P10" i="132"/>
  <c r="R10" i="132"/>
  <c r="N10" i="132"/>
  <c r="O10" i="132" s="1"/>
  <c r="P12" i="132"/>
  <c r="R12" i="132"/>
  <c r="N12" i="132"/>
  <c r="O12" i="132" s="1"/>
  <c r="T12" i="132"/>
  <c r="S9" i="135"/>
  <c r="O9" i="135"/>
  <c r="Q9" i="135"/>
  <c r="M9" i="135"/>
  <c r="N9" i="135" s="1"/>
  <c r="Q21" i="120" l="1"/>
  <c r="S21" i="120" s="1"/>
  <c r="U21" i="120" s="1"/>
  <c r="Q15" i="132"/>
  <c r="S15" i="132" s="1"/>
  <c r="U15" i="132" s="1"/>
  <c r="W15" i="132" s="1"/>
  <c r="X15" i="132" s="1"/>
  <c r="R20" i="135"/>
  <c r="T20" i="135" s="1"/>
  <c r="P22" i="135"/>
  <c r="R22" i="135" s="1"/>
  <c r="T22" i="135" s="1"/>
  <c r="P21" i="135"/>
  <c r="R21" i="135" s="1"/>
  <c r="T21" i="135"/>
  <c r="U21" i="135" s="1"/>
  <c r="P10" i="135"/>
  <c r="P18" i="135"/>
  <c r="R18" i="135" s="1"/>
  <c r="T18" i="135" s="1"/>
  <c r="Q15" i="121"/>
  <c r="S15" i="121" s="1"/>
  <c r="U15" i="121" s="1"/>
  <c r="W15" i="121" s="1"/>
  <c r="X15" i="121" s="1"/>
  <c r="Q10" i="121"/>
  <c r="S10" i="121" s="1"/>
  <c r="U10" i="121"/>
  <c r="W10" i="121" s="1"/>
  <c r="X10" i="121" s="1"/>
  <c r="Q30" i="121"/>
  <c r="S30" i="121" s="1"/>
  <c r="U30" i="121" s="1"/>
  <c r="W30" i="121" s="1"/>
  <c r="X30" i="121" s="1"/>
  <c r="S11" i="121"/>
  <c r="U11" i="121" s="1"/>
  <c r="V11" i="121" s="1"/>
  <c r="Q9" i="121"/>
  <c r="S9" i="121" s="1"/>
  <c r="U9" i="121" s="1"/>
  <c r="Q10" i="120"/>
  <c r="S10" i="120" s="1"/>
  <c r="U10" i="120" s="1"/>
  <c r="W10" i="120" s="1"/>
  <c r="X10" i="120" s="1"/>
  <c r="Q16" i="133"/>
  <c r="S16" i="133" s="1"/>
  <c r="U16" i="133" s="1"/>
  <c r="V16" i="133" s="1"/>
  <c r="V22" i="135"/>
  <c r="W22" i="135" s="1"/>
  <c r="U22" i="135"/>
  <c r="U20" i="135"/>
  <c r="V20" i="135"/>
  <c r="W20" i="135" s="1"/>
  <c r="U18" i="135"/>
  <c r="V18" i="135"/>
  <c r="W18" i="135" s="1"/>
  <c r="P19" i="135"/>
  <c r="R19" i="135" s="1"/>
  <c r="T19" i="135" s="1"/>
  <c r="P17" i="135"/>
  <c r="R17" i="135" s="1"/>
  <c r="T17" i="135" s="1"/>
  <c r="V15" i="121"/>
  <c r="P9" i="135"/>
  <c r="R9" i="135" s="1"/>
  <c r="T9" i="135" s="1"/>
  <c r="U9" i="135" s="1"/>
  <c r="Q33" i="123"/>
  <c r="S33" i="123" s="1"/>
  <c r="U33" i="123" s="1"/>
  <c r="R10" i="135"/>
  <c r="T10" i="135" s="1"/>
  <c r="U10" i="135" s="1"/>
  <c r="S14" i="132"/>
  <c r="U14" i="132" s="1"/>
  <c r="Q12" i="132"/>
  <c r="S12" i="132" s="1"/>
  <c r="U12" i="132" s="1"/>
  <c r="V12" i="132" s="1"/>
  <c r="Q10" i="132"/>
  <c r="S10" i="132" s="1"/>
  <c r="U10" i="132" s="1"/>
  <c r="W10" i="132" s="1"/>
  <c r="X10" i="132" s="1"/>
  <c r="U18" i="133"/>
  <c r="W9" i="121"/>
  <c r="X9" i="121" s="1"/>
  <c r="V9" i="121"/>
  <c r="Q16" i="123"/>
  <c r="S16" i="123" s="1"/>
  <c r="U16" i="123" s="1"/>
  <c r="V16" i="123" s="1"/>
  <c r="V10" i="120" l="1"/>
  <c r="W11" i="121"/>
  <c r="X11" i="121" s="1"/>
  <c r="Y9" i="121"/>
  <c r="W16" i="133"/>
  <c r="X16" i="133" s="1"/>
  <c r="Y16" i="133" s="1"/>
  <c r="X18" i="135"/>
  <c r="V21" i="135"/>
  <c r="W21" i="135" s="1"/>
  <c r="X21" i="135" s="1"/>
  <c r="X22" i="135"/>
  <c r="V9" i="135"/>
  <c r="W9" i="135" s="1"/>
  <c r="V10" i="121"/>
  <c r="Y10" i="121" s="1"/>
  <c r="V30" i="121"/>
  <c r="Y30" i="121" s="1"/>
  <c r="W21" i="120"/>
  <c r="X21" i="120" s="1"/>
  <c r="V21" i="120"/>
  <c r="X20" i="135"/>
  <c r="V19" i="135"/>
  <c r="W19" i="135" s="1"/>
  <c r="U19" i="135"/>
  <c r="Y10" i="120"/>
  <c r="Y15" i="121"/>
  <c r="V10" i="135"/>
  <c r="W10" i="135" s="1"/>
  <c r="X10" i="135" s="1"/>
  <c r="W33" i="123"/>
  <c r="V33" i="123"/>
  <c r="V32" i="123" s="1"/>
  <c r="U17" i="135"/>
  <c r="V17" i="135"/>
  <c r="W17" i="135" s="1"/>
  <c r="X9" i="135"/>
  <c r="V14" i="132"/>
  <c r="W14" i="132"/>
  <c r="X14" i="132" s="1"/>
  <c r="V10" i="132"/>
  <c r="Y10" i="132" s="1"/>
  <c r="W12" i="132"/>
  <c r="X12" i="132" s="1"/>
  <c r="Y12" i="132" s="1"/>
  <c r="V15" i="132"/>
  <c r="Y15" i="132" s="1"/>
  <c r="W18" i="133"/>
  <c r="X18" i="133" s="1"/>
  <c r="V18" i="133"/>
  <c r="Y11" i="121"/>
  <c r="W16" i="123"/>
  <c r="X16" i="123" s="1"/>
  <c r="Y16" i="123" s="1"/>
  <c r="X19" i="135" l="1"/>
  <c r="Y21" i="120"/>
  <c r="Y18" i="133"/>
  <c r="X33" i="123"/>
  <c r="X32" i="123" s="1"/>
  <c r="W32" i="123"/>
  <c r="X17" i="135"/>
  <c r="Y14" i="132"/>
  <c r="Y33" i="123" l="1"/>
  <c r="Y32" i="123" s="1"/>
  <c r="K16" i="135"/>
  <c r="L16" i="135" s="1"/>
  <c r="J16" i="135"/>
  <c r="J26" i="121"/>
  <c r="I26" i="121"/>
  <c r="L28" i="121"/>
  <c r="M28" i="121" s="1"/>
  <c r="K28" i="121"/>
  <c r="L27" i="121"/>
  <c r="M27" i="121" s="1"/>
  <c r="T27" i="121" s="1"/>
  <c r="K27" i="121"/>
  <c r="K26" i="121" s="1"/>
  <c r="L22" i="120"/>
  <c r="M22" i="120" s="1"/>
  <c r="K22" i="120"/>
  <c r="L13" i="121"/>
  <c r="M13" i="121" s="1"/>
  <c r="K13" i="121"/>
  <c r="L17" i="121"/>
  <c r="M17" i="121" s="1"/>
  <c r="K17" i="121"/>
  <c r="L13" i="132"/>
  <c r="M13" i="132" s="1"/>
  <c r="K13" i="132"/>
  <c r="L32" i="121"/>
  <c r="M32" i="121" s="1"/>
  <c r="T32" i="121" s="1"/>
  <c r="K32" i="121"/>
  <c r="L31" i="121"/>
  <c r="M31" i="121" s="1"/>
  <c r="K31" i="121"/>
  <c r="L16" i="121"/>
  <c r="M16" i="121" s="1"/>
  <c r="K16" i="121"/>
  <c r="L15" i="120"/>
  <c r="M15" i="120" s="1"/>
  <c r="K15" i="120"/>
  <c r="L27" i="120"/>
  <c r="M27" i="120" s="1"/>
  <c r="K27" i="120"/>
  <c r="L18" i="119"/>
  <c r="M18" i="119" s="1"/>
  <c r="K18" i="119"/>
  <c r="K12" i="135"/>
  <c r="L12" i="135" s="1"/>
  <c r="J12" i="135"/>
  <c r="S16" i="135" l="1"/>
  <c r="O16" i="135"/>
  <c r="Q16" i="135"/>
  <c r="M16" i="135"/>
  <c r="N16" i="135" s="1"/>
  <c r="T28" i="121"/>
  <c r="P28" i="121"/>
  <c r="R28" i="121"/>
  <c r="N28" i="121"/>
  <c r="O28" i="121" s="1"/>
  <c r="N27" i="121"/>
  <c r="O27" i="121" s="1"/>
  <c r="R27" i="121"/>
  <c r="P27" i="121"/>
  <c r="T22" i="120"/>
  <c r="P22" i="120"/>
  <c r="R22" i="120"/>
  <c r="N22" i="120"/>
  <c r="O22" i="120" s="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2" i="121"/>
  <c r="O32" i="121" s="1"/>
  <c r="R32" i="121"/>
  <c r="P32" i="121"/>
  <c r="N31" i="121"/>
  <c r="O31" i="121" s="1"/>
  <c r="T31" i="121"/>
  <c r="P31" i="121"/>
  <c r="R31" i="121"/>
  <c r="R16" i="121"/>
  <c r="N16" i="121"/>
  <c r="O16" i="121" s="1"/>
  <c r="T16" i="121"/>
  <c r="P16" i="121"/>
  <c r="P15" i="120"/>
  <c r="T15" i="120"/>
  <c r="R15" i="120"/>
  <c r="N15" i="120"/>
  <c r="O15" i="120" s="1"/>
  <c r="T27" i="120"/>
  <c r="P27" i="120"/>
  <c r="R27" i="120"/>
  <c r="N27" i="120"/>
  <c r="O27" i="120" s="1"/>
  <c r="T18" i="119"/>
  <c r="P18" i="119"/>
  <c r="R18" i="119"/>
  <c r="N18" i="119"/>
  <c r="O18" i="119" s="1"/>
  <c r="S12" i="135"/>
  <c r="O12" i="135"/>
  <c r="Q12" i="135"/>
  <c r="M12" i="135"/>
  <c r="N12" i="135" s="1"/>
  <c r="J16" i="119"/>
  <c r="I16" i="119"/>
  <c r="Q27" i="120" l="1"/>
  <c r="S27" i="120" s="1"/>
  <c r="U27" i="120" s="1"/>
  <c r="Q22" i="120"/>
  <c r="S22" i="120" s="1"/>
  <c r="U22" i="120" s="1"/>
  <c r="V22" i="120" s="1"/>
  <c r="Q15" i="120"/>
  <c r="S15" i="120" s="1"/>
  <c r="U15" i="120" s="1"/>
  <c r="V15" i="120" s="1"/>
  <c r="P16" i="135"/>
  <c r="R16" i="135" s="1"/>
  <c r="T16" i="135" s="1"/>
  <c r="Q28" i="121"/>
  <c r="S28" i="121" s="1"/>
  <c r="U28" i="121" s="1"/>
  <c r="W28" i="121" s="1"/>
  <c r="X28" i="121" s="1"/>
  <c r="Q27" i="121"/>
  <c r="S27" i="121" s="1"/>
  <c r="U27" i="121" s="1"/>
  <c r="W27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1" i="121"/>
  <c r="S31" i="121" s="1"/>
  <c r="U31" i="121" s="1"/>
  <c r="W31" i="121" s="1"/>
  <c r="X31" i="121" s="1"/>
  <c r="Q13" i="132"/>
  <c r="S13" i="132" s="1"/>
  <c r="U13" i="132" s="1"/>
  <c r="Q32" i="121"/>
  <c r="S32" i="121" s="1"/>
  <c r="U32" i="121" s="1"/>
  <c r="V16" i="121"/>
  <c r="Q18" i="119"/>
  <c r="S18" i="119" s="1"/>
  <c r="U18" i="119" s="1"/>
  <c r="V18" i="119" s="1"/>
  <c r="P12" i="135"/>
  <c r="R12" i="135" s="1"/>
  <c r="T12" i="135" s="1"/>
  <c r="V28" i="121" l="1"/>
  <c r="Y28" i="121" s="1"/>
  <c r="W26" i="121"/>
  <c r="W27" i="120"/>
  <c r="X27" i="120" s="1"/>
  <c r="Y27" i="120" s="1"/>
  <c r="V27" i="120"/>
  <c r="W15" i="120"/>
  <c r="X15" i="120" s="1"/>
  <c r="Y15" i="120" s="1"/>
  <c r="W22" i="120"/>
  <c r="X22" i="120" s="1"/>
  <c r="Y22" i="120" s="1"/>
  <c r="U16" i="135"/>
  <c r="V16" i="135"/>
  <c r="W16" i="135" s="1"/>
  <c r="V31" i="121"/>
  <c r="Y31" i="121" s="1"/>
  <c r="X27" i="121"/>
  <c r="X26" i="121" s="1"/>
  <c r="V27" i="121"/>
  <c r="W13" i="121"/>
  <c r="X13" i="121" s="1"/>
  <c r="Y13" i="121" s="1"/>
  <c r="V17" i="121"/>
  <c r="W17" i="121"/>
  <c r="X17" i="121" s="1"/>
  <c r="W13" i="132"/>
  <c r="X13" i="132" s="1"/>
  <c r="V13" i="132"/>
  <c r="W32" i="121"/>
  <c r="X32" i="121" s="1"/>
  <c r="V32" i="121"/>
  <c r="Y16" i="121"/>
  <c r="W18" i="119"/>
  <c r="X18" i="119" s="1"/>
  <c r="U12" i="135"/>
  <c r="V12" i="135"/>
  <c r="W12" i="135" s="1"/>
  <c r="V26" i="121" l="1"/>
  <c r="Y13" i="132"/>
  <c r="X16" i="135"/>
  <c r="Y27" i="121"/>
  <c r="Y26" i="121" s="1"/>
  <c r="Y17" i="121"/>
  <c r="Y32" i="121"/>
  <c r="Y18" i="119"/>
  <c r="X12" i="135"/>
  <c r="L31" i="123" l="1"/>
  <c r="M31" i="123" s="1"/>
  <c r="K31" i="123"/>
  <c r="L15" i="133"/>
  <c r="M15" i="133" s="1"/>
  <c r="K15" i="133"/>
  <c r="L14" i="133"/>
  <c r="M14" i="133" s="1"/>
  <c r="K14" i="133"/>
  <c r="L13" i="133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N31" i="123" l="1"/>
  <c r="O31" i="123" s="1"/>
  <c r="T31" i="123"/>
  <c r="P31" i="123"/>
  <c r="R31" i="123"/>
  <c r="T15" i="133"/>
  <c r="R15" i="133"/>
  <c r="N15" i="133"/>
  <c r="O15" i="133" s="1"/>
  <c r="P15" i="133"/>
  <c r="R14" i="133"/>
  <c r="T14" i="133"/>
  <c r="P14" i="133"/>
  <c r="N14" i="133"/>
  <c r="O14" i="133" s="1"/>
  <c r="Q14" i="133" s="1"/>
  <c r="T13" i="133"/>
  <c r="R13" i="133"/>
  <c r="N13" i="133"/>
  <c r="O13" i="133" s="1"/>
  <c r="P13" i="133"/>
  <c r="P12" i="133"/>
  <c r="R12" i="133"/>
  <c r="N12" i="133"/>
  <c r="O12" i="133" s="1"/>
  <c r="T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4" i="123"/>
  <c r="P14" i="123"/>
  <c r="R14" i="123"/>
  <c r="N14" i="123"/>
  <c r="O14" i="123" s="1"/>
  <c r="T11" i="136" l="1"/>
  <c r="U11" i="136" s="1"/>
  <c r="Q10" i="119"/>
  <c r="S14" i="133"/>
  <c r="U14" i="133" s="1"/>
  <c r="W14" i="133" s="1"/>
  <c r="X14" i="133" s="1"/>
  <c r="Q15" i="133"/>
  <c r="S15" i="133" s="1"/>
  <c r="S10" i="119"/>
  <c r="U10" i="119" s="1"/>
  <c r="W10" i="119" s="1"/>
  <c r="X10" i="119" s="1"/>
  <c r="Y10" i="119" s="1"/>
  <c r="Q31" i="123"/>
  <c r="S31" i="123" s="1"/>
  <c r="U31" i="123" s="1"/>
  <c r="W31" i="123" s="1"/>
  <c r="Q14" i="123"/>
  <c r="S14" i="123" s="1"/>
  <c r="U14" i="123" s="1"/>
  <c r="U15" i="133"/>
  <c r="W15" i="133" s="1"/>
  <c r="X15" i="133" s="1"/>
  <c r="Q13" i="133"/>
  <c r="S13" i="133" s="1"/>
  <c r="U13" i="13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4" i="133" l="1"/>
  <c r="V15" i="133"/>
  <c r="Y15" i="133" s="1"/>
  <c r="V31" i="123"/>
  <c r="X31" i="123"/>
  <c r="X11" i="136"/>
  <c r="Y14" i="133"/>
  <c r="V13" i="133"/>
  <c r="W13" i="133"/>
  <c r="X13" i="133" s="1"/>
  <c r="W12" i="133"/>
  <c r="X12" i="133" s="1"/>
  <c r="V12" i="133"/>
  <c r="V11" i="133"/>
  <c r="Y11" i="133" s="1"/>
  <c r="W10" i="118"/>
  <c r="X10" i="118" s="1"/>
  <c r="V10" i="118"/>
  <c r="W14" i="123"/>
  <c r="X14" i="123" s="1"/>
  <c r="V14" i="123"/>
  <c r="Y31" i="123" l="1"/>
  <c r="Y12" i="133"/>
  <c r="Y13" i="133"/>
  <c r="Y10" i="118"/>
  <c r="Y14" i="123"/>
  <c r="L12" i="123"/>
  <c r="M12" i="123" s="1"/>
  <c r="K12" i="123"/>
  <c r="L35" i="123"/>
  <c r="M35" i="123" s="1"/>
  <c r="K35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5" i="123"/>
  <c r="N35" i="123"/>
  <c r="O35" i="123" s="1"/>
  <c r="T35" i="123"/>
  <c r="P35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O10" i="134"/>
  <c r="Q10" i="134" s="1"/>
  <c r="R10" i="134"/>
  <c r="N10" i="134"/>
  <c r="T17" i="119"/>
  <c r="P17" i="119"/>
  <c r="R17" i="119"/>
  <c r="N17" i="119"/>
  <c r="O17" i="119" s="1"/>
  <c r="T15" i="119"/>
  <c r="P15" i="119"/>
  <c r="R15" i="119"/>
  <c r="N15" i="119"/>
  <c r="O15" i="119" s="1"/>
  <c r="L26" i="120"/>
  <c r="M26" i="120" s="1"/>
  <c r="K26" i="120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X12" i="123" s="1"/>
  <c r="Q35" i="123"/>
  <c r="S35" i="123" s="1"/>
  <c r="U35" i="123" s="1"/>
  <c r="W35" i="123" s="1"/>
  <c r="X35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V15" i="119"/>
  <c r="R14" i="134"/>
  <c r="N14" i="134"/>
  <c r="O14" i="134" s="1"/>
  <c r="P14" i="134"/>
  <c r="T14" i="134"/>
  <c r="N26" i="120"/>
  <c r="O26" i="120" s="1"/>
  <c r="T26" i="120"/>
  <c r="R26" i="120"/>
  <c r="P26" i="120"/>
  <c r="L23" i="120"/>
  <c r="M23" i="120" s="1"/>
  <c r="K23" i="120"/>
  <c r="L14" i="120"/>
  <c r="M14" i="120" s="1"/>
  <c r="K14" i="120"/>
  <c r="L12" i="120"/>
  <c r="M12" i="120" s="1"/>
  <c r="K12" i="120"/>
  <c r="Q14" i="134" l="1"/>
  <c r="S14" i="134" s="1"/>
  <c r="U14" i="134" s="1"/>
  <c r="X17" i="119"/>
  <c r="X16" i="119" s="1"/>
  <c r="W16" i="119"/>
  <c r="V35" i="123"/>
  <c r="Y35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R12" i="120"/>
  <c r="P12" i="120"/>
  <c r="N12" i="120"/>
  <c r="O12" i="120" s="1"/>
  <c r="T12" i="120"/>
  <c r="T23" i="120"/>
  <c r="N23" i="120"/>
  <c r="O23" i="120" s="1"/>
  <c r="R23" i="120"/>
  <c r="P23" i="120"/>
  <c r="T14" i="120"/>
  <c r="R14" i="120"/>
  <c r="P14" i="120"/>
  <c r="N14" i="120"/>
  <c r="O14" i="120" s="1"/>
  <c r="Q26" i="120"/>
  <c r="S26" i="120" s="1"/>
  <c r="U26" i="120" s="1"/>
  <c r="Y17" i="119" l="1"/>
  <c r="Y16" i="119" s="1"/>
  <c r="V16" i="119"/>
  <c r="Q12" i="120"/>
  <c r="S12" i="120" s="1"/>
  <c r="U12" i="120" s="1"/>
  <c r="V12" i="120" s="1"/>
  <c r="Q14" i="120"/>
  <c r="S14" i="120" s="1"/>
  <c r="U14" i="120" s="1"/>
  <c r="Y10" i="134"/>
  <c r="V26" i="120"/>
  <c r="W26" i="120"/>
  <c r="X26" i="120" s="1"/>
  <c r="Q23" i="120"/>
  <c r="S23" i="120" s="1"/>
  <c r="U23" i="120" s="1"/>
  <c r="V14" i="134"/>
  <c r="V13" i="134" s="1"/>
  <c r="W14" i="134"/>
  <c r="W12" i="120" l="1"/>
  <c r="X12" i="120" s="1"/>
  <c r="Y26" i="120"/>
  <c r="V14" i="120"/>
  <c r="W14" i="120"/>
  <c r="X14" i="120" s="1"/>
  <c r="X14" i="134"/>
  <c r="W13" i="134"/>
  <c r="W23" i="120"/>
  <c r="X23" i="120" s="1"/>
  <c r="V23" i="120"/>
  <c r="Y12" i="120"/>
  <c r="Y14" i="120" l="1"/>
  <c r="Y23" i="120"/>
  <c r="X13" i="134"/>
  <c r="Y14" i="134"/>
  <c r="Y13" i="134" s="1"/>
  <c r="L12" i="121"/>
  <c r="M12" i="121" s="1"/>
  <c r="K12" i="121"/>
  <c r="L19" i="121"/>
  <c r="M19" i="121" s="1"/>
  <c r="K19" i="121"/>
  <c r="N12" i="121" l="1"/>
  <c r="O12" i="121" s="1"/>
  <c r="R12" i="121"/>
  <c r="T12" i="121"/>
  <c r="P12" i="121"/>
  <c r="N19" i="121"/>
  <c r="O19" i="121" s="1"/>
  <c r="R19" i="121"/>
  <c r="P19" i="121"/>
  <c r="T19" i="121"/>
  <c r="L9" i="133"/>
  <c r="M9" i="133" s="1"/>
  <c r="K9" i="133"/>
  <c r="J19" i="133"/>
  <c r="I19" i="133"/>
  <c r="L25" i="120"/>
  <c r="M25" i="120" s="1"/>
  <c r="K25" i="120"/>
  <c r="R25" i="120" l="1"/>
  <c r="P25" i="120"/>
  <c r="T25" i="120"/>
  <c r="N25" i="120"/>
  <c r="O25" i="120" s="1"/>
  <c r="N9" i="133"/>
  <c r="O9" i="133" s="1"/>
  <c r="T9" i="133"/>
  <c r="R9" i="133"/>
  <c r="P9" i="133"/>
  <c r="Q19" i="121"/>
  <c r="S19" i="121" s="1"/>
  <c r="U19" i="121" s="1"/>
  <c r="Q12" i="121"/>
  <c r="S12" i="121" s="1"/>
  <c r="U12" i="121" s="1"/>
  <c r="Q25" i="120" l="1"/>
  <c r="S25" i="120" s="1"/>
  <c r="U25" i="120" s="1"/>
  <c r="Q9" i="133"/>
  <c r="S9" i="133" s="1"/>
  <c r="U9" i="133" s="1"/>
  <c r="V19" i="121"/>
  <c r="W19" i="121"/>
  <c r="X19" i="121" s="1"/>
  <c r="W12" i="121"/>
  <c r="X12" i="121" s="1"/>
  <c r="V12" i="121"/>
  <c r="Y12" i="121" l="1"/>
  <c r="Y19" i="121"/>
  <c r="V25" i="120"/>
  <c r="W25" i="120"/>
  <c r="X25" i="120" s="1"/>
  <c r="W9" i="133"/>
  <c r="X9" i="133" s="1"/>
  <c r="V9" i="133"/>
  <c r="Y25" i="120" l="1"/>
  <c r="Y9" i="133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L37" i="123"/>
  <c r="M37" i="123" s="1"/>
  <c r="K37" i="123"/>
  <c r="I36" i="123"/>
  <c r="T10" i="123" l="1"/>
  <c r="P10" i="123"/>
  <c r="R10" i="123"/>
  <c r="N10" i="123"/>
  <c r="O10" i="123" s="1"/>
  <c r="Y18" i="121"/>
  <c r="T37" i="123"/>
  <c r="R37" i="123"/>
  <c r="N37" i="123"/>
  <c r="O37" i="123" s="1"/>
  <c r="P37" i="123"/>
  <c r="J36" i="123"/>
  <c r="K36" i="123"/>
  <c r="Q37" i="123" l="1"/>
  <c r="S37" i="123" s="1"/>
  <c r="U37" i="123" s="1"/>
  <c r="V37" i="123" s="1"/>
  <c r="Q10" i="123"/>
  <c r="S10" i="123" s="1"/>
  <c r="U10" i="123" s="1"/>
  <c r="V10" i="123" s="1"/>
  <c r="W37" i="123" l="1"/>
  <c r="W36" i="123" s="1"/>
  <c r="W10" i="123"/>
  <c r="X10" i="123" s="1"/>
  <c r="Y10" i="123" s="1"/>
  <c r="V36" i="123"/>
  <c r="X37" i="123" l="1"/>
  <c r="Y37" i="123" s="1"/>
  <c r="Y36" i="123" s="1"/>
  <c r="X36" i="123" l="1"/>
  <c r="K11" i="135"/>
  <c r="L11" i="135" s="1"/>
  <c r="J11" i="135"/>
  <c r="L28" i="120"/>
  <c r="M28" i="120" s="1"/>
  <c r="K28" i="120"/>
  <c r="T28" i="120" l="1"/>
  <c r="R28" i="120"/>
  <c r="N28" i="120"/>
  <c r="O28" i="120" s="1"/>
  <c r="P28" i="120"/>
  <c r="S11" i="135"/>
  <c r="M11" i="135"/>
  <c r="N11" i="135" s="1"/>
  <c r="O11" i="135"/>
  <c r="Q11" i="135"/>
  <c r="L11" i="132"/>
  <c r="M11" i="132" s="1"/>
  <c r="K11" i="132"/>
  <c r="H23" i="135"/>
  <c r="I23" i="135"/>
  <c r="L13" i="120"/>
  <c r="M13" i="120" s="1"/>
  <c r="K13" i="120"/>
  <c r="L11" i="120"/>
  <c r="M11" i="120" s="1"/>
  <c r="K11" i="120"/>
  <c r="H11" i="120"/>
  <c r="L20" i="119"/>
  <c r="M20" i="119" s="1"/>
  <c r="K20" i="119"/>
  <c r="Q28" i="120" l="1"/>
  <c r="S28" i="120" s="1"/>
  <c r="U28" i="120" s="1"/>
  <c r="V28" i="120" s="1"/>
  <c r="P11" i="135"/>
  <c r="R11" i="135" s="1"/>
  <c r="T11" i="135" s="1"/>
  <c r="T20" i="119"/>
  <c r="N20" i="119"/>
  <c r="O20" i="119" s="1"/>
  <c r="P20" i="119"/>
  <c r="R20" i="119"/>
  <c r="N13" i="120"/>
  <c r="O13" i="120" s="1"/>
  <c r="R13" i="120"/>
  <c r="P13" i="120"/>
  <c r="T13" i="120"/>
  <c r="R11" i="132"/>
  <c r="T11" i="132"/>
  <c r="N11" i="132"/>
  <c r="O11" i="132" s="1"/>
  <c r="P11" i="132"/>
  <c r="R11" i="120"/>
  <c r="N11" i="120"/>
  <c r="O11" i="120" s="1"/>
  <c r="P11" i="120"/>
  <c r="T11" i="120"/>
  <c r="K15" i="135"/>
  <c r="L15" i="135" s="1"/>
  <c r="J15" i="135"/>
  <c r="Q20" i="119" l="1"/>
  <c r="S20" i="119" s="1"/>
  <c r="U20" i="119" s="1"/>
  <c r="W28" i="120"/>
  <c r="X28" i="120" s="1"/>
  <c r="Q11" i="132"/>
  <c r="S11" i="132" s="1"/>
  <c r="U11" i="132" s="1"/>
  <c r="Q11" i="120"/>
  <c r="S11" i="120" s="1"/>
  <c r="U11" i="120" s="1"/>
  <c r="V11" i="120" s="1"/>
  <c r="O15" i="135"/>
  <c r="Q15" i="135"/>
  <c r="S15" i="135"/>
  <c r="M15" i="135"/>
  <c r="N15" i="135" s="1"/>
  <c r="Q13" i="120"/>
  <c r="S13" i="120" s="1"/>
  <c r="U13" i="120" s="1"/>
  <c r="U11" i="135"/>
  <c r="V11" i="135"/>
  <c r="W11" i="135" s="1"/>
  <c r="X20" i="119"/>
  <c r="W11" i="120" l="1"/>
  <c r="X11" i="120" s="1"/>
  <c r="Y11" i="120" s="1"/>
  <c r="V11" i="132"/>
  <c r="W11" i="132"/>
  <c r="X11" i="132" s="1"/>
  <c r="P15" i="135"/>
  <c r="R15" i="135" s="1"/>
  <c r="T15" i="135" s="1"/>
  <c r="W13" i="120"/>
  <c r="X13" i="120" s="1"/>
  <c r="V13" i="120"/>
  <c r="X11" i="135"/>
  <c r="Y28" i="120"/>
  <c r="V20" i="119"/>
  <c r="Y11" i="132" l="1"/>
  <c r="U15" i="135"/>
  <c r="V15" i="135"/>
  <c r="W15" i="135" s="1"/>
  <c r="Y13" i="120"/>
  <c r="X15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L24" i="120"/>
  <c r="M24" i="120" s="1"/>
  <c r="K24" i="120"/>
  <c r="N24" i="120" l="1"/>
  <c r="O24" i="120" s="1"/>
  <c r="R24" i="120"/>
  <c r="T24" i="120"/>
  <c r="P24" i="120"/>
  <c r="Q24" i="120" l="1"/>
  <c r="S24" i="120" s="1"/>
  <c r="U24" i="120" s="1"/>
  <c r="L17" i="133"/>
  <c r="M17" i="133" s="1"/>
  <c r="K13" i="135"/>
  <c r="L13" i="135" s="1"/>
  <c r="K14" i="135"/>
  <c r="L14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29" i="120"/>
  <c r="M29" i="120" s="1"/>
  <c r="L13" i="119"/>
  <c r="M13" i="119" s="1"/>
  <c r="L11" i="119"/>
  <c r="M11" i="119" s="1"/>
  <c r="R29" i="120" l="1"/>
  <c r="N29" i="120"/>
  <c r="O29" i="120" s="1"/>
  <c r="T29" i="120"/>
  <c r="P29" i="120"/>
  <c r="P11" i="119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Q14" i="135"/>
  <c r="S14" i="135"/>
  <c r="M14" i="135"/>
  <c r="N14" i="135" s="1"/>
  <c r="O14" i="135"/>
  <c r="N17" i="133"/>
  <c r="O17" i="133" s="1"/>
  <c r="T17" i="133"/>
  <c r="P17" i="133"/>
  <c r="R17" i="133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R11" i="118"/>
  <c r="T11" i="118"/>
  <c r="Q13" i="135"/>
  <c r="S13" i="135"/>
  <c r="M13" i="135"/>
  <c r="N13" i="135" s="1"/>
  <c r="O13" i="135"/>
  <c r="V24" i="120"/>
  <c r="W24" i="120"/>
  <c r="X24" i="120" s="1"/>
  <c r="Q11" i="118" l="1"/>
  <c r="S11" i="118" s="1"/>
  <c r="U11" i="118" s="1"/>
  <c r="V11" i="118" s="1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Q17" i="133"/>
  <c r="S17" i="133" s="1"/>
  <c r="U17" i="133" s="1"/>
  <c r="V17" i="133" s="1"/>
  <c r="Y24" i="120"/>
  <c r="Q29" i="120"/>
  <c r="S29" i="120" s="1"/>
  <c r="U29" i="120" s="1"/>
  <c r="V29" i="120" s="1"/>
  <c r="P14" i="135"/>
  <c r="R14" i="135" s="1"/>
  <c r="T14" i="135" s="1"/>
  <c r="P13" i="135"/>
  <c r="R13" i="135" s="1"/>
  <c r="T13" i="135" s="1"/>
  <c r="Q15" i="123"/>
  <c r="S15" i="123" s="1"/>
  <c r="U15" i="123" s="1"/>
  <c r="J14" i="131"/>
  <c r="L14" i="131" s="1"/>
  <c r="W11" i="118" l="1"/>
  <c r="W20" i="121"/>
  <c r="W29" i="120"/>
  <c r="W17" i="133"/>
  <c r="V15" i="123"/>
  <c r="W15" i="123"/>
  <c r="U13" i="135"/>
  <c r="V13" i="135"/>
  <c r="V14" i="121"/>
  <c r="W14" i="121"/>
  <c r="V12" i="118"/>
  <c r="W12" i="118"/>
  <c r="U14" i="135"/>
  <c r="V14" i="135"/>
  <c r="Q14" i="131"/>
  <c r="M14" i="131"/>
  <c r="N14" i="131" s="1"/>
  <c r="P14" i="131" s="1"/>
  <c r="O14" i="131"/>
  <c r="S14" i="131"/>
  <c r="R14" i="131" l="1"/>
  <c r="T14" i="131" s="1"/>
  <c r="H14" i="131"/>
  <c r="V14" i="131" l="1"/>
  <c r="W14" i="131" s="1"/>
  <c r="U14" i="131"/>
  <c r="X14" i="131" l="1"/>
  <c r="H18" i="133" l="1"/>
  <c r="K14" i="121" l="1"/>
  <c r="X14" i="121" l="1"/>
  <c r="Y14" i="121" l="1"/>
  <c r="J14" i="135" l="1"/>
  <c r="K17" i="133" l="1"/>
  <c r="J11" i="123" l="1"/>
  <c r="Q23" i="135" l="1"/>
  <c r="M23" i="135"/>
  <c r="K23" i="135"/>
  <c r="J13" i="135"/>
  <c r="J23" i="135" l="1"/>
  <c r="L23" i="135"/>
  <c r="N23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P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J30" i="120"/>
  <c r="R10" i="131" l="1"/>
  <c r="P17" i="131"/>
  <c r="P16" i="131"/>
  <c r="P11" i="131"/>
  <c r="R11" i="131" s="1"/>
  <c r="T11" i="131" s="1"/>
  <c r="V11" i="131" s="1"/>
  <c r="P15" i="131"/>
  <c r="T10" i="131"/>
  <c r="U10" i="131" s="1"/>
  <c r="V10" i="13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7" i="131"/>
  <c r="T17" i="131" s="1"/>
  <c r="V17" i="131" s="1"/>
  <c r="J8" i="121" l="1"/>
  <c r="J19" i="119"/>
  <c r="I19" i="119"/>
  <c r="J13" i="123" l="1"/>
  <c r="R15" i="134" l="1"/>
  <c r="N15" i="134"/>
  <c r="L15" i="134"/>
  <c r="M15" i="134" l="1"/>
  <c r="P15" i="134" l="1"/>
  <c r="O15" i="134"/>
  <c r="J29" i="121" l="1"/>
  <c r="J34" i="121" s="1"/>
  <c r="Q15" i="134" l="1"/>
  <c r="S15" i="134"/>
  <c r="H10" i="121" l="1"/>
  <c r="K29" i="120"/>
  <c r="H29" i="120"/>
  <c r="K13" i="119" l="1"/>
  <c r="I29" i="121" l="1"/>
  <c r="I13" i="123"/>
  <c r="I11" i="123"/>
  <c r="I8" i="121" l="1"/>
  <c r="I34" i="121" s="1"/>
  <c r="K29" i="121" l="1"/>
  <c r="K11" i="123" l="1"/>
  <c r="K15" i="123" l="1"/>
  <c r="K13" i="123" s="1"/>
  <c r="K20" i="121" l="1"/>
  <c r="H39" i="123" l="1"/>
  <c r="J38" i="123"/>
  <c r="I38" i="123"/>
  <c r="H17" i="133" l="1"/>
  <c r="R19" i="133"/>
  <c r="N19" i="133"/>
  <c r="L19" i="133"/>
  <c r="V38" i="123" l="1"/>
  <c r="K38" i="123"/>
  <c r="O19" i="133" l="1"/>
  <c r="W38" i="123"/>
  <c r="K19" i="133"/>
  <c r="M19" i="133" l="1"/>
  <c r="X38" i="123"/>
  <c r="Y38" i="123"/>
  <c r="K11" i="118" l="1"/>
  <c r="J14" i="118" l="1"/>
  <c r="J8" i="119" l="1"/>
  <c r="I8" i="119"/>
  <c r="K34" i="123" l="1"/>
  <c r="J34" i="123"/>
  <c r="I34" i="123"/>
  <c r="H15" i="123"/>
  <c r="I30" i="123" l="1"/>
  <c r="I41" i="123" s="1"/>
  <c r="K30" i="123"/>
  <c r="K41" i="123" s="1"/>
  <c r="J30" i="123"/>
  <c r="J41" i="123" s="1"/>
  <c r="H20" i="121"/>
  <c r="K8" i="121"/>
  <c r="K34" i="121" s="1"/>
  <c r="H18" i="121"/>
  <c r="H12" i="121"/>
  <c r="H9" i="121"/>
  <c r="J14" i="119" l="1"/>
  <c r="J12" i="119"/>
  <c r="I12" i="119"/>
  <c r="K11" i="119"/>
  <c r="Y11" i="119" s="1"/>
  <c r="I22" i="119" l="1"/>
  <c r="J22" i="119"/>
  <c r="R17" i="132"/>
  <c r="N17" i="132"/>
  <c r="L17" i="132"/>
  <c r="J17" i="132"/>
  <c r="I17" i="132" l="1"/>
  <c r="K17" i="132" l="1"/>
  <c r="T17" i="132"/>
  <c r="O17" i="132"/>
  <c r="M17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5" i="123"/>
  <c r="H14" i="123"/>
  <c r="H12" i="123"/>
  <c r="H30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4" i="121"/>
  <c r="L30" i="120"/>
  <c r="I14" i="118" l="1"/>
  <c r="M41" i="123"/>
  <c r="M34" i="121"/>
  <c r="M14" i="118" l="1"/>
  <c r="L22" i="119" l="1"/>
  <c r="K19" i="119"/>
  <c r="K14" i="119" l="1"/>
  <c r="K8" i="119"/>
  <c r="K22" i="119" l="1"/>
  <c r="M22" i="119"/>
  <c r="W18" i="131" l="1"/>
  <c r="S23" i="135"/>
  <c r="X15" i="123"/>
  <c r="X29" i="120"/>
  <c r="T15" i="134"/>
  <c r="W12" i="131"/>
  <c r="X13" i="119"/>
  <c r="V13" i="119"/>
  <c r="U15" i="131"/>
  <c r="W14" i="135"/>
  <c r="W11" i="131"/>
  <c r="U11" i="131"/>
  <c r="O23" i="135"/>
  <c r="W10" i="131"/>
  <c r="W16" i="131"/>
  <c r="U16" i="131"/>
  <c r="U17" i="131"/>
  <c r="W17" i="131"/>
  <c r="P34" i="121"/>
  <c r="X20" i="121"/>
  <c r="T19" i="133"/>
  <c r="P19" i="133"/>
  <c r="P17" i="132"/>
  <c r="S20" i="131"/>
  <c r="O20" i="131"/>
  <c r="R30" i="120"/>
  <c r="P41" i="123"/>
  <c r="T22" i="119"/>
  <c r="T41" i="123"/>
  <c r="R34" i="121"/>
  <c r="N30" i="120"/>
  <c r="N41" i="123"/>
  <c r="T14" i="118"/>
  <c r="P22" i="119"/>
  <c r="R14" i="118"/>
  <c r="R41" i="123"/>
  <c r="T34" i="121"/>
  <c r="N22" i="119"/>
  <c r="R22" i="119"/>
  <c r="P14" i="118"/>
  <c r="N14" i="118"/>
  <c r="N34" i="121"/>
  <c r="X17" i="133" l="1"/>
  <c r="X19" i="133" s="1"/>
  <c r="W19" i="133"/>
  <c r="X13" i="123"/>
  <c r="W15" i="131"/>
  <c r="X15" i="131" s="1"/>
  <c r="U18" i="131"/>
  <c r="X18" i="131" s="1"/>
  <c r="W13" i="135"/>
  <c r="X13" i="135" s="1"/>
  <c r="U12" i="131"/>
  <c r="X12" i="131" s="1"/>
  <c r="Y29" i="120"/>
  <c r="Y15" i="123"/>
  <c r="Y20" i="121"/>
  <c r="X16" i="131"/>
  <c r="X10" i="131"/>
  <c r="X11" i="131"/>
  <c r="V29" i="121"/>
  <c r="U15" i="134"/>
  <c r="X29" i="121"/>
  <c r="W29" i="121"/>
  <c r="Y13" i="119"/>
  <c r="X17" i="131"/>
  <c r="V13" i="123"/>
  <c r="X14" i="135"/>
  <c r="P23" i="135"/>
  <c r="V11" i="123"/>
  <c r="X11" i="123"/>
  <c r="W11" i="123"/>
  <c r="W8" i="121"/>
  <c r="V8" i="121"/>
  <c r="X11" i="118"/>
  <c r="Y11" i="118" s="1"/>
  <c r="Q19" i="133"/>
  <c r="X34" i="123"/>
  <c r="X30" i="123" s="1"/>
  <c r="W34" i="123"/>
  <c r="W30" i="123" s="1"/>
  <c r="P20" i="131"/>
  <c r="S17" i="132"/>
  <c r="Q17" i="132"/>
  <c r="V34" i="123"/>
  <c r="V30" i="123" s="1"/>
  <c r="X12" i="118"/>
  <c r="Y12" i="118" s="1"/>
  <c r="O41" i="123"/>
  <c r="O22" i="119"/>
  <c r="V14" i="119"/>
  <c r="O34" i="121"/>
  <c r="V19" i="119"/>
  <c r="W19" i="119"/>
  <c r="O14" i="118"/>
  <c r="X41" i="123" l="1"/>
  <c r="V41" i="123"/>
  <c r="W34" i="121"/>
  <c r="V34" i="121"/>
  <c r="Y17" i="133"/>
  <c r="Y19" i="133" s="1"/>
  <c r="W13" i="123"/>
  <c r="W41" i="123" s="1"/>
  <c r="Y29" i="121"/>
  <c r="Y13" i="123"/>
  <c r="R23" i="135"/>
  <c r="Y11" i="123"/>
  <c r="X8" i="121"/>
  <c r="X34" i="121" s="1"/>
  <c r="Y8" i="121"/>
  <c r="S19" i="133"/>
  <c r="Y34" i="123"/>
  <c r="Y30" i="123" s="1"/>
  <c r="V12" i="119"/>
  <c r="U17" i="132"/>
  <c r="R20" i="131"/>
  <c r="X12" i="119"/>
  <c r="W12" i="119"/>
  <c r="X14" i="119"/>
  <c r="W14" i="119"/>
  <c r="X19" i="119"/>
  <c r="Q14" i="118"/>
  <c r="Q34" i="121"/>
  <c r="Q41" i="123"/>
  <c r="Q22" i="119"/>
  <c r="Y41" i="123" l="1"/>
  <c r="Y34" i="121"/>
  <c r="T23" i="135"/>
  <c r="U19" i="133"/>
  <c r="W17" i="132"/>
  <c r="X17" i="132"/>
  <c r="V17" i="132"/>
  <c r="T20" i="131"/>
  <c r="Y12" i="119"/>
  <c r="Y14" i="119"/>
  <c r="Y20" i="119"/>
  <c r="Y19" i="119" s="1"/>
  <c r="S34" i="121"/>
  <c r="S41" i="123"/>
  <c r="S14" i="118"/>
  <c r="S22" i="119"/>
  <c r="U23" i="135" l="1"/>
  <c r="V23" i="135"/>
  <c r="V19" i="133"/>
  <c r="Y17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4" i="121"/>
  <c r="W23" i="135" l="1"/>
  <c r="X23" i="135"/>
  <c r="X20" i="131"/>
  <c r="X8" i="119"/>
  <c r="X22" i="119" s="1"/>
  <c r="X14" i="118"/>
  <c r="Y8" i="119" l="1"/>
  <c r="Y22" i="119" s="1"/>
  <c r="Y14" i="118"/>
  <c r="I30" i="120"/>
  <c r="H9" i="120"/>
  <c r="T30" i="120" l="1"/>
  <c r="P30" i="120"/>
  <c r="M30" i="120"/>
  <c r="O30" i="120"/>
  <c r="K30" i="120"/>
  <c r="Q30" i="120" l="1"/>
  <c r="S30" i="120" l="1"/>
  <c r="U30" i="120" l="1"/>
  <c r="V30" i="120" l="1"/>
  <c r="X30" i="120"/>
  <c r="W30" i="120" l="1"/>
  <c r="Y30" i="120"/>
</calcChain>
</file>

<file path=xl/sharedStrings.xml><?xml version="1.0" encoding="utf-8"?>
<sst xmlns="http://schemas.openxmlformats.org/spreadsheetml/2006/main" count="1155" uniqueCount="362">
  <si>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</si>
  <si>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</si>
  <si>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</si>
  <si>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</si>
  <si>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</si>
  <si>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</si>
  <si>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</si>
  <si>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</si>
  <si>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</si>
  <si>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</si>
  <si>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</si>
  <si>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</si>
  <si>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</si>
  <si>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</si>
  <si>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</si>
  <si>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</si>
  <si>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</si>
  <si>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</si>
  <si>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</si>
  <si>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</si>
  <si>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</si>
  <si>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</si>
  <si>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</si>
  <si>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</si>
  <si>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</si>
  <si>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</si>
  <si>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</si>
  <si>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</si>
  <si>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</si>
  <si>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</si>
  <si>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</si>
  <si>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</si>
  <si>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</si>
  <si>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</si>
  <si>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</si>
  <si>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</si>
  <si>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</si>
  <si>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</si>
  <si>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</si>
  <si>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</si>
  <si>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</si>
  <si>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</si>
  <si>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</si>
  <si>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</si>
  <si>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</si>
  <si>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</si>
  <si>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</si>
  <si>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</si>
  <si>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</si>
  <si>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</si>
  <si>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</si>
  <si>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</si>
  <si>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</si>
  <si>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</si>
  <si>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</si>
  <si>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</si>
  <si>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</si>
  <si>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</si>
  <si>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</si>
  <si>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</si>
  <si>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</si>
  <si>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</si>
  <si>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</si>
  <si>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</si>
  <si>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</si>
  <si>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</si>
  <si>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</si>
  <si>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</si>
  <si>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</si>
  <si>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</si>
  <si>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</si>
  <si>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</si>
  <si>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</si>
  <si>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</si>
  <si>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</si>
  <si>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</si>
  <si>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</si>
  <si>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</si>
  <si>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</si>
  <si>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</si>
  <si>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</si>
  <si>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</si>
  <si>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LORENZO FLORES VAZQUEZ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</si>
  <si>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</si>
  <si>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</si>
  <si>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</si>
  <si>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</si>
  <si>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</si>
  <si>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</si>
  <si>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</si>
  <si>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</si>
  <si>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</si>
  <si>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</si>
  <si>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</si>
  <si>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</si>
  <si>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</si>
  <si>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</si>
  <si>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</si>
  <si>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</si>
  <si>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</si>
  <si>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</si>
  <si>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</si>
  <si>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</si>
  <si>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</si>
  <si>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</si>
  <si>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</si>
  <si>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</si>
  <si>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</si>
  <si>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009</t>
  </si>
  <si>
    <t>096</t>
  </si>
  <si>
    <t>102</t>
  </si>
  <si>
    <t>105</t>
  </si>
  <si>
    <t>HACIENDA PÚBLICA MPAL</t>
  </si>
  <si>
    <t>111</t>
  </si>
  <si>
    <t>SEGURIDAD PÚLICA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</si>
  <si>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</si>
  <si>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</si>
  <si>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</si>
  <si>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</si>
  <si>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</si>
  <si>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</si>
  <si>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</si>
  <si>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</si>
  <si>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</si>
  <si>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</si>
  <si>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</si>
  <si>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</si>
  <si>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</si>
  <si>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</si>
  <si>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</si>
  <si>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</si>
  <si>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</si>
  <si>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</si>
  <si>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FRANCISCO JAVIER MERIN SOTO</t>
  </si>
  <si>
    <t>SAUL CASTRO CASTAÑEDA</t>
  </si>
  <si>
    <t>PARAMÉDICO</t>
  </si>
  <si>
    <t>CHOFER AMBULANCIA</t>
  </si>
  <si>
    <t>SERVICIOS MÉDICOS MUNICIPALES</t>
  </si>
  <si>
    <t>153</t>
  </si>
  <si>
    <t>154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</si>
  <si>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</si>
  <si>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</si>
  <si>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</si>
  <si>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</si>
  <si>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</si>
  <si>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</si>
  <si>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</si>
  <si>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</si>
  <si>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</si>
  <si>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</si>
  <si>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</si>
  <si>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</si>
  <si>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</si>
  <si>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</si>
  <si>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</si>
  <si>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</si>
  <si>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</si>
  <si>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</si>
  <si>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</si>
  <si>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</si>
  <si>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</si>
  <si>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</si>
  <si>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</si>
  <si>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</si>
  <si>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</si>
  <si>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</si>
  <si>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</si>
  <si>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</si>
  <si>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</si>
  <si>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</si>
  <si>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</si>
  <si>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</si>
  <si>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</si>
  <si>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</si>
  <si>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</si>
  <si>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</si>
  <si>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</si>
  <si>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SERGIO ARCINIEGA PERESCHICA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</si>
  <si>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</si>
  <si>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</si>
  <si>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</si>
  <si>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</si>
  <si>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</si>
  <si>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</si>
  <si>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</si>
  <si>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</si>
  <si>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</si>
  <si>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</si>
  <si>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PEDRO CESILIO GALLARDO</t>
  </si>
  <si>
    <t>236</t>
  </si>
  <si>
    <t>241</t>
  </si>
  <si>
    <t>JOSE SANDOVAL VITELA</t>
  </si>
  <si>
    <t>015</t>
  </si>
  <si>
    <t>LUIS ANTONIO CESILIO GARLLARDO</t>
  </si>
  <si>
    <t>242</t>
  </si>
  <si>
    <t>245</t>
  </si>
  <si>
    <t>DAVID CASTRO AVILA</t>
  </si>
  <si>
    <t>248</t>
  </si>
  <si>
    <t>GILBERTO CASTRO BALTIERRA</t>
  </si>
  <si>
    <t>EMILIA RAMIREZ CASTRO</t>
  </si>
  <si>
    <t>251</t>
  </si>
  <si>
    <t>SAMUEL LLAMAS AGUAYO</t>
  </si>
  <si>
    <t>256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</si>
  <si>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</si>
  <si>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</si>
  <si>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</si>
  <si>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</si>
  <si>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</si>
  <si>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</si>
  <si>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</si>
  <si>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</si>
  <si>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</si>
  <si>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</si>
  <si>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</si>
  <si>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</si>
  <si>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</si>
  <si>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</si>
  <si>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</si>
  <si>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</si>
  <si>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</si>
  <si>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</si>
  <si>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</si>
  <si>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</si>
  <si>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</si>
  <si>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</si>
  <si>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</si>
  <si>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</si>
  <si>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</si>
  <si>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</si>
  <si>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</si>
  <si>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</si>
  <si>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</si>
  <si>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</si>
  <si>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</si>
  <si>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</si>
  <si>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</si>
  <si>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EFRAIN ROBLES FLORES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</si>
  <si>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</si>
  <si>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</si>
  <si>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</si>
  <si>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</si>
  <si>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</si>
  <si>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</si>
  <si>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</si>
  <si>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</si>
  <si>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</si>
  <si>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</si>
  <si>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</si>
  <si>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</si>
  <si>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</si>
  <si>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</si>
  <si>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</si>
  <si>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</si>
  <si>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</si>
  <si>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</si>
  <si>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</si>
  <si>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</si>
  <si>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</si>
  <si>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</si>
  <si>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</si>
  <si>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</si>
  <si>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ERNESTO MERCADO CHAMORRO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</si>
  <si>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</si>
  <si>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</si>
  <si>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</si>
  <si>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</si>
  <si>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</si>
  <si>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</si>
  <si>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</si>
  <si>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</si>
  <si>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</si>
  <si>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</si>
  <si>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</si>
  <si>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BIBLIOTECA PÙBLICA MUNICIPAL</t>
  </si>
  <si>
    <t>AUXILIAR DEL REGISTRO CIVIL</t>
  </si>
  <si>
    <t>ANGELBERTO CASILLAS SOLIS</t>
  </si>
  <si>
    <t>301</t>
  </si>
  <si>
    <t>AUXILIAR DE LA BIBLIOTECA PÙBLICA MUNICIPAL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</si>
  <si>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</si>
  <si>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</si>
  <si>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</si>
  <si>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</si>
  <si>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</si>
  <si>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</si>
  <si>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</si>
  <si>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304</t>
  </si>
  <si>
    <t>SUPERVISOR BODEGA MUNICIPAL</t>
  </si>
  <si>
    <t>GERARDO AVILA SILVA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</si>
  <si>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</si>
  <si>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</si>
  <si>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</si>
  <si>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</si>
  <si>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</si>
  <si>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</si>
  <si>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</si>
  <si>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</si>
  <si>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</si>
  <si>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</si>
  <si>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</si>
  <si>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</si>
  <si>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</si>
  <si>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310</t>
  </si>
  <si>
    <t>DANIEL RODRIGUEZ VEGA</t>
  </si>
  <si>
    <t>311</t>
  </si>
  <si>
    <t>SANDRA SUJEY RODRIGUEZ GONZALEZ</t>
  </si>
  <si>
    <t>312</t>
  </si>
  <si>
    <t>EGDAR ALEJANDRO CEJA MUÑOZ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</si>
  <si>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</si>
  <si>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</si>
  <si>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</si>
  <si>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</si>
  <si>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</si>
  <si>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</si>
  <si>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IGNACIO FELIX CRUZ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</si>
  <si>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</si>
  <si>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</si>
  <si>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</si>
  <si>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</si>
  <si>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</si>
  <si>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</si>
  <si>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</si>
  <si>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</si>
  <si>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</si>
  <si>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</si>
  <si>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</si>
  <si>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</si>
  <si>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</si>
  <si>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</si>
  <si>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</si>
  <si>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</si>
  <si>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</si>
  <si>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</si>
  <si>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EDUARDO GUADALUPE CARRERA MORA</t>
  </si>
  <si>
    <t>321</t>
  </si>
  <si>
    <t>323</t>
  </si>
  <si>
    <t>PATSY JANETH GARCIA CONTRERAS</t>
  </si>
  <si>
    <t>324</t>
  </si>
  <si>
    <t>KEVIN ARROYO MARTINEZ</t>
  </si>
  <si>
    <t>325</t>
  </si>
  <si>
    <t>MONICA BEATRIZ GONZALEZ DIAZ</t>
  </si>
  <si>
    <t>144</t>
  </si>
  <si>
    <t>326</t>
  </si>
  <si>
    <t>TURISMO</t>
  </si>
  <si>
    <t>LUZ MARIA GARCIA LOPEZ</t>
  </si>
  <si>
    <t>DIRECTORA MEDIOS AUDIOVISUALES</t>
  </si>
  <si>
    <t>ALONSO CASILLAS GARCIA</t>
  </si>
  <si>
    <t>SALVADOR ESQUIVEL NUÑEZ</t>
  </si>
  <si>
    <t>VICTOR ALFONSO AVILA POBLANO</t>
  </si>
  <si>
    <t>JULIO COREZ CARRILLO</t>
  </si>
  <si>
    <t>FABIAN ENRIQUE RUIZ GONZALEZ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</si>
  <si>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</si>
  <si>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</si>
  <si>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</si>
  <si>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</si>
  <si>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</si>
  <si>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</si>
  <si>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</si>
  <si>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</si>
  <si>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BRYAN MONTAÑEZ GONZALEZ</t>
  </si>
  <si>
    <t>SUELDO  DEL 01 AL 15 DE AGOSTO DE 2023</t>
  </si>
  <si>
    <t>327</t>
  </si>
  <si>
    <t>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</si>
</sst>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2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33" fillId="0" borderId="4" xfId="0" applyFont="1" applyBorder="1" applyAlignment="1">
      <alignment wrapText="1"/>
    </xf>
    <xf numFmtId="49" fontId="33" fillId="5" borderId="4" xfId="0" applyNumberFormat="1" applyFont="1" applyFill="1" applyBorder="1" applyAlignment="1">
      <alignment wrapText="1"/>
    </xf>
    <xf numFmtId="49" fontId="33" fillId="0" borderId="4" xfId="0" applyNumberFormat="1" applyFont="1" applyBorder="1" applyAlignment="1">
      <alignment wrapText="1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16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145661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4" t="s">
        <v>203</v>
      </c>
    </row>
    <row r="3" spans="1:9" x14ac:dyDescent="0.25">
      <c r="B3" s="8" t="s">
        <v>47</v>
      </c>
      <c r="C3" s="7"/>
      <c r="D3" s="7"/>
      <c r="E3" s="7"/>
      <c r="F3" s="7"/>
      <c r="G3" s="7"/>
      <c r="I3" s="113">
        <v>207.44</v>
      </c>
    </row>
    <row r="4" spans="1:9" x14ac:dyDescent="0.25">
      <c r="B4" s="19" t="s">
        <v>293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8" t="s">
        <v>10</v>
      </c>
      <c r="C7" s="278"/>
      <c r="D7" s="278"/>
      <c r="E7" s="7"/>
      <c r="F7" s="279" t="s">
        <v>48</v>
      </c>
      <c r="G7" s="280"/>
      <c r="I7" s="114" t="s">
        <v>204</v>
      </c>
    </row>
    <row r="8" spans="1:9" ht="14.25" customHeight="1" x14ac:dyDescent="0.25">
      <c r="B8" s="281" t="s">
        <v>9</v>
      </c>
      <c r="C8" s="281"/>
      <c r="D8" s="281"/>
      <c r="E8" s="7"/>
      <c r="F8" s="282" t="s">
        <v>49</v>
      </c>
      <c r="G8" s="283"/>
      <c r="I8" s="113">
        <v>96.22</v>
      </c>
    </row>
    <row r="9" spans="1:9" ht="8.25" customHeight="1" x14ac:dyDescent="0.25">
      <c r="B9" s="275"/>
      <c r="C9" s="275"/>
      <c r="D9" s="275"/>
      <c r="E9" s="7"/>
      <c r="F9" s="276"/>
      <c r="G9" s="277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291</v>
      </c>
      <c r="C28" s="7"/>
      <c r="D28" s="7"/>
    </row>
    <row r="29" spans="1:7" x14ac:dyDescent="0.25">
      <c r="B29" s="32" t="s">
        <v>292</v>
      </c>
      <c r="C29" s="7"/>
      <c r="D29" s="7"/>
    </row>
    <row r="32" spans="1:7" ht="17.25" customHeight="1" x14ac:dyDescent="0.25">
      <c r="B32" s="5" t="s">
        <v>45</v>
      </c>
      <c r="E32" s="7"/>
      <c r="F32" s="279" t="s">
        <v>53</v>
      </c>
      <c r="G32" s="280"/>
    </row>
    <row r="33" spans="2:7" x14ac:dyDescent="0.25">
      <c r="E33" s="7"/>
      <c r="F33" s="282" t="s">
        <v>54</v>
      </c>
      <c r="G33" s="283"/>
    </row>
    <row r="34" spans="2:7" ht="5.25" customHeight="1" x14ac:dyDescent="0.25">
      <c r="E34" s="7"/>
      <c r="F34" s="276"/>
      <c r="G34" s="277"/>
    </row>
    <row r="35" spans="2:7" x14ac:dyDescent="0.25">
      <c r="B35" s="278" t="s">
        <v>10</v>
      </c>
      <c r="C35" s="278"/>
      <c r="D35" s="278"/>
      <c r="E35" s="7"/>
      <c r="F35" s="9" t="s">
        <v>16</v>
      </c>
      <c r="G35" s="9" t="s">
        <v>17</v>
      </c>
    </row>
    <row r="36" spans="2:7" x14ac:dyDescent="0.25">
      <c r="B36" s="281" t="s">
        <v>9</v>
      </c>
      <c r="C36" s="281"/>
      <c r="D36" s="281"/>
      <c r="E36" s="7"/>
      <c r="F36" s="9"/>
      <c r="G36" s="9" t="s">
        <v>18</v>
      </c>
    </row>
    <row r="37" spans="2:7" x14ac:dyDescent="0.25">
      <c r="B37" s="275"/>
      <c r="C37" s="275"/>
      <c r="D37" s="275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16" zoomScale="73" zoomScaleNormal="73" workbookViewId="0">
      <selection activeCell="B24" sqref="A24:XFD31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2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1" t="s">
        <v>101</v>
      </c>
      <c r="C6" s="321" t="s">
        <v>116</v>
      </c>
      <c r="D6" s="22"/>
      <c r="E6" s="22"/>
      <c r="F6" s="22"/>
      <c r="G6" s="23" t="s">
        <v>22</v>
      </c>
      <c r="H6" s="23" t="s">
        <v>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12.75" customHeight="1" x14ac:dyDescent="0.25">
      <c r="A7" s="26" t="s">
        <v>20</v>
      </c>
      <c r="B7" s="322"/>
      <c r="C7" s="322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290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3"/>
      <c r="C8" s="323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2"/>
      <c r="B9" s="187"/>
      <c r="C9" s="116"/>
      <c r="D9" s="135" t="s">
        <v>117</v>
      </c>
      <c r="E9" s="135" t="s">
        <v>310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41"/>
    </row>
    <row r="10" spans="1:26" s="93" customFormat="1" ht="126" customHeight="1" x14ac:dyDescent="0.3">
      <c r="A10" s="109" t="s">
        <v>85</v>
      </c>
      <c r="B10" s="147" t="s">
        <v>161</v>
      </c>
      <c r="C10" s="188" t="s">
        <v>115</v>
      </c>
      <c r="D10" s="209" t="s">
        <v>153</v>
      </c>
      <c r="E10" s="218">
        <v>43374</v>
      </c>
      <c r="F10" s="149" t="s">
        <v>118</v>
      </c>
      <c r="G10" s="151">
        <v>9</v>
      </c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ref="M10" si="0">I10+L10</f>
        <v>4377.7299999999996</v>
      </c>
      <c r="N10" s="156">
        <f t="shared" ref="N10:N15" si="1">VLOOKUP(M10,Tarifa1,1)</f>
        <v>3124.36</v>
      </c>
      <c r="O10" s="156">
        <f t="shared" ref="O10" si="2">M10-N10</f>
        <v>1253.3699999999994</v>
      </c>
      <c r="P10" s="157">
        <f t="shared" ref="P10:P15" si="3">VLOOKUP(M10,Tarifa1,3)</f>
        <v>0.10879999999999999</v>
      </c>
      <c r="Q10" s="156">
        <f t="shared" ref="Q10" si="4">O10*P10</f>
        <v>136.36665599999992</v>
      </c>
      <c r="R10" s="158">
        <f t="shared" ref="R10:R15" si="5">VLOOKUP(M10,Tarifa1,2)</f>
        <v>183.45</v>
      </c>
      <c r="S10" s="156">
        <f t="shared" ref="S10" si="6">Q10+R10</f>
        <v>319.81665599999991</v>
      </c>
      <c r="T10" s="156">
        <f t="shared" ref="T10:T15" si="7">VLOOKUP(M10,Credito1,2)</f>
        <v>0</v>
      </c>
      <c r="U10" s="156">
        <f t="shared" ref="U10" si="8">ROUND(S10-T10,2)</f>
        <v>319.82</v>
      </c>
      <c r="V10" s="155">
        <f t="shared" ref="V10" si="9">-IF(U10&gt;0,0,U10)</f>
        <v>0</v>
      </c>
      <c r="W10" s="155">
        <f t="shared" ref="W10:W15" si="10">IF(I10/15&lt;=SMG,0,IF(U10&lt;0,0,U10))</f>
        <v>319.82</v>
      </c>
      <c r="X10" s="155">
        <f t="shared" ref="X10:X15" si="11">SUM(W10:W10)</f>
        <v>319.82</v>
      </c>
      <c r="Y10" s="155">
        <f>K10+V10-X10</f>
        <v>4057.9099999999994</v>
      </c>
      <c r="Z10" s="92"/>
    </row>
    <row r="11" spans="1:26" s="93" customFormat="1" ht="126" customHeight="1" x14ac:dyDescent="0.35">
      <c r="A11" s="161"/>
      <c r="B11" s="182">
        <v>188</v>
      </c>
      <c r="C11" s="188" t="s">
        <v>115</v>
      </c>
      <c r="D11" s="260" t="s">
        <v>162</v>
      </c>
      <c r="E11" s="219">
        <v>43389</v>
      </c>
      <c r="F11" s="150" t="s">
        <v>258</v>
      </c>
      <c r="G11" s="151">
        <v>15</v>
      </c>
      <c r="H11" s="152"/>
      <c r="I11" s="153">
        <v>6253</v>
      </c>
      <c r="J11" s="154">
        <v>416.87</v>
      </c>
      <c r="K11" s="153">
        <f>I11</f>
        <v>6253</v>
      </c>
      <c r="L11" s="156">
        <f t="shared" ref="L11" si="12">IF(I11/15&lt;=SMG,0,J11/2)</f>
        <v>208.435</v>
      </c>
      <c r="M11" s="156">
        <f t="shared" ref="M11:M12" si="13">I11+L11</f>
        <v>6461.4350000000004</v>
      </c>
      <c r="N11" s="156">
        <f t="shared" si="1"/>
        <v>6382.81</v>
      </c>
      <c r="O11" s="156">
        <f t="shared" ref="O11:O12" si="14">M11-N11</f>
        <v>78.625</v>
      </c>
      <c r="P11" s="157">
        <f t="shared" si="3"/>
        <v>0.1792</v>
      </c>
      <c r="Q11" s="156">
        <f t="shared" ref="Q11:Q12" si="15">O11*P11</f>
        <v>14.089599999999999</v>
      </c>
      <c r="R11" s="158">
        <f t="shared" si="5"/>
        <v>583.65</v>
      </c>
      <c r="S11" s="156">
        <f t="shared" ref="S11:S12" si="16">Q11+R11</f>
        <v>597.7396</v>
      </c>
      <c r="T11" s="156">
        <f t="shared" si="7"/>
        <v>0</v>
      </c>
      <c r="U11" s="156">
        <f t="shared" ref="U11:U12" si="17">ROUND(S11-T11,2)</f>
        <v>597.74</v>
      </c>
      <c r="V11" s="155">
        <f t="shared" ref="V11:V12" si="18">-IF(U11&gt;0,0,U11)</f>
        <v>0</v>
      </c>
      <c r="W11" s="155">
        <f t="shared" si="10"/>
        <v>597.74</v>
      </c>
      <c r="X11" s="155">
        <f t="shared" si="11"/>
        <v>597.74</v>
      </c>
      <c r="Y11" s="155">
        <f>K11+V11-X11+J11</f>
        <v>6072.13</v>
      </c>
      <c r="Z11" s="92"/>
    </row>
    <row r="12" spans="1:26" s="93" customFormat="1" ht="126" customHeight="1" x14ac:dyDescent="0.35">
      <c r="A12" s="189"/>
      <c r="B12" s="148" t="s">
        <v>238</v>
      </c>
      <c r="C12" s="148" t="s">
        <v>115</v>
      </c>
      <c r="D12" s="210" t="s">
        <v>239</v>
      </c>
      <c r="E12" s="216">
        <v>43512</v>
      </c>
      <c r="F12" s="149" t="s">
        <v>118</v>
      </c>
      <c r="G12" s="151">
        <v>15</v>
      </c>
      <c r="H12" s="152"/>
      <c r="I12" s="153">
        <v>4377.7299999999996</v>
      </c>
      <c r="J12" s="154">
        <v>0</v>
      </c>
      <c r="K12" s="155">
        <f>SUM(I12:J12)</f>
        <v>4377.7299999999996</v>
      </c>
      <c r="L12" s="156">
        <f>IF(I12/15&lt;=SMG,0,J12/2)</f>
        <v>0</v>
      </c>
      <c r="M12" s="156">
        <f t="shared" si="13"/>
        <v>4377.7299999999996</v>
      </c>
      <c r="N12" s="156">
        <f t="shared" si="1"/>
        <v>3124.36</v>
      </c>
      <c r="O12" s="156">
        <f t="shared" si="14"/>
        <v>1253.3699999999994</v>
      </c>
      <c r="P12" s="157">
        <f t="shared" si="3"/>
        <v>0.10879999999999999</v>
      </c>
      <c r="Q12" s="156">
        <f t="shared" si="15"/>
        <v>136.36665599999992</v>
      </c>
      <c r="R12" s="158">
        <f t="shared" si="5"/>
        <v>183.45</v>
      </c>
      <c r="S12" s="156">
        <f t="shared" si="16"/>
        <v>319.81665599999991</v>
      </c>
      <c r="T12" s="156">
        <f t="shared" si="7"/>
        <v>0</v>
      </c>
      <c r="U12" s="156">
        <f t="shared" si="17"/>
        <v>319.82</v>
      </c>
      <c r="V12" s="155">
        <f t="shared" si="18"/>
        <v>0</v>
      </c>
      <c r="W12" s="155">
        <f t="shared" si="10"/>
        <v>319.82</v>
      </c>
      <c r="X12" s="155">
        <f t="shared" si="11"/>
        <v>319.82</v>
      </c>
      <c r="Y12" s="155">
        <f>K12+V12-X12</f>
        <v>4057.9099999999994</v>
      </c>
      <c r="Z12" s="92"/>
    </row>
    <row r="13" spans="1:26" s="93" customFormat="1" ht="126" customHeight="1" x14ac:dyDescent="0.3">
      <c r="A13" s="189"/>
      <c r="B13" s="182">
        <v>284</v>
      </c>
      <c r="C13" s="148" t="s">
        <v>115</v>
      </c>
      <c r="D13" s="211" t="s">
        <v>235</v>
      </c>
      <c r="E13" s="218">
        <v>44473</v>
      </c>
      <c r="F13" s="149" t="s">
        <v>118</v>
      </c>
      <c r="G13" s="151">
        <v>15</v>
      </c>
      <c r="H13" s="152"/>
      <c r="I13" s="153">
        <v>4377.7299999999996</v>
      </c>
      <c r="J13" s="154">
        <v>0</v>
      </c>
      <c r="K13" s="155">
        <f>SUM(I13:J13)</f>
        <v>4377.7299999999996</v>
      </c>
      <c r="L13" s="156">
        <f>IF(I13/15&lt;=SMG,0,J13/2)</f>
        <v>0</v>
      </c>
      <c r="M13" s="156">
        <f t="shared" ref="M13:M14" si="19">I13+L13</f>
        <v>4377.7299999999996</v>
      </c>
      <c r="N13" s="156">
        <f t="shared" si="1"/>
        <v>3124.36</v>
      </c>
      <c r="O13" s="156">
        <f t="shared" ref="O13:O14" si="20">M13-N13</f>
        <v>1253.3699999999994</v>
      </c>
      <c r="P13" s="157">
        <f t="shared" si="3"/>
        <v>0.10879999999999999</v>
      </c>
      <c r="Q13" s="156">
        <f t="shared" ref="Q13:Q14" si="21">O13*P13</f>
        <v>136.36665599999992</v>
      </c>
      <c r="R13" s="158">
        <f t="shared" si="5"/>
        <v>183.45</v>
      </c>
      <c r="S13" s="156">
        <f t="shared" ref="S13:S14" si="22">Q13+R13</f>
        <v>319.81665599999991</v>
      </c>
      <c r="T13" s="156">
        <f t="shared" si="7"/>
        <v>0</v>
      </c>
      <c r="U13" s="156">
        <f t="shared" ref="U13:U14" si="23">ROUND(S13-T13,2)</f>
        <v>319.82</v>
      </c>
      <c r="V13" s="155">
        <f t="shared" ref="V13:V14" si="24">-IF(U13&gt;0,0,U13)</f>
        <v>0</v>
      </c>
      <c r="W13" s="155">
        <f t="shared" si="10"/>
        <v>319.82</v>
      </c>
      <c r="X13" s="155">
        <f t="shared" si="11"/>
        <v>319.82</v>
      </c>
      <c r="Y13" s="155">
        <f>K13+V13-X13</f>
        <v>4057.9099999999994</v>
      </c>
      <c r="Z13" s="92"/>
    </row>
    <row r="14" spans="1:26" s="93" customFormat="1" ht="126" customHeight="1" x14ac:dyDescent="0.3">
      <c r="A14" s="189"/>
      <c r="B14" s="182">
        <v>317</v>
      </c>
      <c r="C14" s="148" t="s">
        <v>115</v>
      </c>
      <c r="D14" s="211" t="s">
        <v>326</v>
      </c>
      <c r="E14" s="218">
        <v>45078</v>
      </c>
      <c r="F14" s="149" t="s">
        <v>118</v>
      </c>
      <c r="G14" s="151">
        <v>15</v>
      </c>
      <c r="H14" s="152"/>
      <c r="I14" s="153">
        <v>4377.7299999999996</v>
      </c>
      <c r="J14" s="154">
        <v>0</v>
      </c>
      <c r="K14" s="155">
        <f>SUM(I14:J14)</f>
        <v>4377.7299999999996</v>
      </c>
      <c r="L14" s="156">
        <f>IF(I14/15&lt;=SMG,0,J14/2)</f>
        <v>0</v>
      </c>
      <c r="M14" s="156">
        <f t="shared" si="19"/>
        <v>4377.7299999999996</v>
      </c>
      <c r="N14" s="156">
        <f t="shared" si="1"/>
        <v>3124.36</v>
      </c>
      <c r="O14" s="156">
        <f t="shared" si="20"/>
        <v>1253.3699999999994</v>
      </c>
      <c r="P14" s="157">
        <f t="shared" si="3"/>
        <v>0.10879999999999999</v>
      </c>
      <c r="Q14" s="156">
        <f t="shared" si="21"/>
        <v>136.36665599999992</v>
      </c>
      <c r="R14" s="158">
        <f t="shared" si="5"/>
        <v>183.45</v>
      </c>
      <c r="S14" s="156">
        <f t="shared" si="22"/>
        <v>319.81665599999991</v>
      </c>
      <c r="T14" s="156">
        <f t="shared" si="7"/>
        <v>0</v>
      </c>
      <c r="U14" s="156">
        <f t="shared" si="23"/>
        <v>319.82</v>
      </c>
      <c r="V14" s="155">
        <f t="shared" si="24"/>
        <v>0</v>
      </c>
      <c r="W14" s="155">
        <f t="shared" si="10"/>
        <v>319.82</v>
      </c>
      <c r="X14" s="155">
        <f t="shared" si="11"/>
        <v>319.82</v>
      </c>
      <c r="Y14" s="155">
        <f>K14+V14-X14</f>
        <v>4057.9099999999994</v>
      </c>
      <c r="Z14" s="92"/>
    </row>
    <row r="15" spans="1:26" s="93" customFormat="1" ht="126" customHeight="1" x14ac:dyDescent="0.3">
      <c r="A15" s="189"/>
      <c r="B15" s="182">
        <v>328</v>
      </c>
      <c r="C15" s="148" t="s">
        <v>115</v>
      </c>
      <c r="D15" s="211" t="s">
        <v>345</v>
      </c>
      <c r="E15" s="218">
        <v>45110</v>
      </c>
      <c r="F15" s="149" t="s">
        <v>118</v>
      </c>
      <c r="G15" s="151">
        <v>15</v>
      </c>
      <c r="H15" s="152"/>
      <c r="I15" s="153">
        <v>3794.05</v>
      </c>
      <c r="J15" s="154">
        <v>0</v>
      </c>
      <c r="K15" s="155">
        <f>SUM(I15:J15)</f>
        <v>3794.05</v>
      </c>
      <c r="L15" s="156">
        <f>IF(I15/15&lt;=SMG,0,J15/2)</f>
        <v>0</v>
      </c>
      <c r="M15" s="156">
        <f t="shared" ref="M15" si="25">I15+L15</f>
        <v>3794.05</v>
      </c>
      <c r="N15" s="156">
        <f t="shared" si="1"/>
        <v>3124.36</v>
      </c>
      <c r="O15" s="156">
        <f t="shared" ref="O15" si="26">M15-N15</f>
        <v>669.69</v>
      </c>
      <c r="P15" s="157">
        <f t="shared" si="3"/>
        <v>0.10879999999999999</v>
      </c>
      <c r="Q15" s="156">
        <f t="shared" ref="Q15" si="27">O15*P15</f>
        <v>72.862272000000004</v>
      </c>
      <c r="R15" s="158">
        <f t="shared" si="5"/>
        <v>183.45</v>
      </c>
      <c r="S15" s="156">
        <f t="shared" ref="S15" si="28">Q15+R15</f>
        <v>256.31227200000001</v>
      </c>
      <c r="T15" s="156">
        <f t="shared" si="7"/>
        <v>0</v>
      </c>
      <c r="U15" s="156">
        <f t="shared" ref="U15" si="29">ROUND(S15-T15,2)</f>
        <v>256.31</v>
      </c>
      <c r="V15" s="155">
        <f t="shared" ref="V15" si="30">-IF(U15&gt;0,0,U15)</f>
        <v>0</v>
      </c>
      <c r="W15" s="155">
        <f t="shared" si="10"/>
        <v>256.31</v>
      </c>
      <c r="X15" s="155">
        <f t="shared" si="11"/>
        <v>256.31</v>
      </c>
      <c r="Y15" s="155">
        <f>K15+V15-X15</f>
        <v>3537.7400000000002</v>
      </c>
      <c r="Z15" s="92"/>
    </row>
    <row r="16" spans="1:26" ht="17.399999999999999" x14ac:dyDescent="0.3">
      <c r="A16" s="172"/>
      <c r="B16" s="172"/>
      <c r="C16" s="172"/>
      <c r="D16" s="172"/>
      <c r="E16" s="172"/>
      <c r="F16" s="172"/>
      <c r="G16" s="173"/>
      <c r="H16" s="172"/>
      <c r="I16" s="174"/>
      <c r="J16" s="174"/>
      <c r="K16" s="174"/>
      <c r="L16" s="175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45" customHeight="1" thickBot="1" x14ac:dyDescent="0.35">
      <c r="A17" s="284" t="s">
        <v>44</v>
      </c>
      <c r="B17" s="285"/>
      <c r="C17" s="285"/>
      <c r="D17" s="285"/>
      <c r="E17" s="285"/>
      <c r="F17" s="285"/>
      <c r="G17" s="285"/>
      <c r="H17" s="286"/>
      <c r="I17" s="159">
        <f t="shared" ref="I17:Y17" si="31">SUM(I10:I16)</f>
        <v>27557.969999999998</v>
      </c>
      <c r="J17" s="159">
        <f t="shared" si="31"/>
        <v>416.87</v>
      </c>
      <c r="K17" s="159">
        <f t="shared" si="31"/>
        <v>27557.969999999998</v>
      </c>
      <c r="L17" s="160">
        <f t="shared" si="31"/>
        <v>208.435</v>
      </c>
      <c r="M17" s="160">
        <f t="shared" si="31"/>
        <v>27766.404999999999</v>
      </c>
      <c r="N17" s="160">
        <f t="shared" si="31"/>
        <v>22004.61</v>
      </c>
      <c r="O17" s="160">
        <f t="shared" si="31"/>
        <v>5761.7949999999983</v>
      </c>
      <c r="P17" s="160">
        <f t="shared" si="31"/>
        <v>0.72319999999999995</v>
      </c>
      <c r="Q17" s="160">
        <f t="shared" si="31"/>
        <v>632.41849599999966</v>
      </c>
      <c r="R17" s="160">
        <f t="shared" si="31"/>
        <v>1500.9</v>
      </c>
      <c r="S17" s="160">
        <f t="shared" si="31"/>
        <v>2133.3184959999999</v>
      </c>
      <c r="T17" s="160">
        <f t="shared" si="31"/>
        <v>0</v>
      </c>
      <c r="U17" s="160">
        <f t="shared" si="31"/>
        <v>2133.33</v>
      </c>
      <c r="V17" s="159">
        <f t="shared" si="31"/>
        <v>0</v>
      </c>
      <c r="W17" s="159">
        <f t="shared" si="31"/>
        <v>2133.33</v>
      </c>
      <c r="X17" s="159">
        <f t="shared" si="31"/>
        <v>2133.33</v>
      </c>
      <c r="Y17" s="159">
        <f t="shared" si="31"/>
        <v>25841.51</v>
      </c>
    </row>
    <row r="18" spans="1:25" ht="13.8" thickTop="1" x14ac:dyDescent="0.25"/>
  </sheetData>
  <mergeCells count="9">
    <mergeCell ref="W6:X6"/>
    <mergeCell ref="A17:H17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5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B19" zoomScale="68" zoomScaleNormal="68" workbookViewId="0">
      <selection activeCell="B26" sqref="A26:XFD29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31.109375" style="67" customWidth="1"/>
    <col min="5" max="5" width="15.33203125" style="67" customWidth="1"/>
    <col min="6" max="6" width="22" style="67" customWidth="1"/>
    <col min="7" max="7" width="11.33203125" style="67" hidden="1" customWidth="1"/>
    <col min="8" max="8" width="17.5546875" style="67" customWidth="1"/>
    <col min="9" max="9" width="14" style="67" customWidth="1"/>
    <col min="10" max="10" width="15.44140625" style="67" customWidth="1"/>
    <col min="11" max="11" width="12.6640625" style="67" hidden="1" customWidth="1"/>
    <col min="12" max="12" width="13.109375" style="67" hidden="1" customWidth="1"/>
    <col min="13" max="13" width="14.44140625" style="67" hidden="1" customWidth="1"/>
    <col min="14" max="14" width="15" style="67" hidden="1" customWidth="1"/>
    <col min="15" max="15" width="11" style="67" hidden="1" customWidth="1"/>
    <col min="16" max="17" width="13.109375" style="67" hidden="1" customWidth="1"/>
    <col min="18" max="18" width="15.44140625" style="67" hidden="1" customWidth="1"/>
    <col min="19" max="19" width="10.44140625" style="67" hidden="1" customWidth="1"/>
    <col min="20" max="20" width="13.109375" style="67" hidden="1" customWidth="1"/>
    <col min="21" max="21" width="11.5546875" style="67" customWidth="1"/>
    <col min="22" max="22" width="15.5546875" style="67" customWidth="1"/>
    <col min="23" max="23" width="15.88671875" style="67" customWidth="1"/>
    <col min="24" max="24" width="15.44140625" style="67" customWidth="1"/>
    <col min="25" max="25" width="71" style="67" customWidth="1"/>
    <col min="26" max="26" width="73.44140625" style="67" customWidth="1"/>
    <col min="27" max="16384" width="11.44140625" style="67"/>
  </cols>
  <sheetData>
    <row r="1" spans="1:27" ht="17.399999999999999" x14ac:dyDescent="0.3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4"/>
    </row>
    <row r="2" spans="1:27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4"/>
    </row>
    <row r="3" spans="1:27" ht="19.8" x14ac:dyDescent="0.3">
      <c r="A3" s="42" t="s">
        <v>187</v>
      </c>
      <c r="B3" s="288" t="s">
        <v>359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193"/>
      <c r="AA3" s="193"/>
    </row>
    <row r="4" spans="1:27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"/>
    </row>
    <row r="5" spans="1:27" x14ac:dyDescent="0.25">
      <c r="A5" s="22"/>
      <c r="B5" s="22"/>
      <c r="C5" s="22"/>
      <c r="D5" s="22"/>
      <c r="E5" s="22"/>
      <c r="F5" s="22"/>
      <c r="G5" s="23" t="s">
        <v>22</v>
      </c>
      <c r="H5" s="298" t="s">
        <v>1</v>
      </c>
      <c r="I5" s="299"/>
      <c r="J5" s="300"/>
      <c r="K5" s="24" t="s">
        <v>25</v>
      </c>
      <c r="L5" s="25"/>
      <c r="M5" s="301" t="s">
        <v>8</v>
      </c>
      <c r="N5" s="302"/>
      <c r="O5" s="302"/>
      <c r="P5" s="302"/>
      <c r="Q5" s="302"/>
      <c r="R5" s="303"/>
      <c r="S5" s="24" t="s">
        <v>29</v>
      </c>
      <c r="T5" s="24" t="s">
        <v>9</v>
      </c>
      <c r="U5" s="23" t="s">
        <v>52</v>
      </c>
      <c r="V5" s="304" t="s">
        <v>2</v>
      </c>
      <c r="W5" s="305"/>
      <c r="X5" s="23" t="s">
        <v>0</v>
      </c>
      <c r="Y5" s="103"/>
      <c r="Z5" s="4"/>
    </row>
    <row r="6" spans="1:27" ht="32.25" customHeight="1" x14ac:dyDescent="0.25">
      <c r="A6" s="26" t="s">
        <v>20</v>
      </c>
      <c r="B6" s="44" t="s">
        <v>101</v>
      </c>
      <c r="C6" s="44" t="s">
        <v>116</v>
      </c>
      <c r="D6" s="26" t="s">
        <v>21</v>
      </c>
      <c r="E6" s="26"/>
      <c r="F6" s="26"/>
      <c r="G6" s="27" t="s">
        <v>23</v>
      </c>
      <c r="H6" s="23" t="s">
        <v>5</v>
      </c>
      <c r="I6" s="23" t="s">
        <v>57</v>
      </c>
      <c r="J6" s="23" t="s">
        <v>27</v>
      </c>
      <c r="K6" s="28" t="s">
        <v>26</v>
      </c>
      <c r="L6" s="25" t="s">
        <v>31</v>
      </c>
      <c r="M6" s="25" t="s">
        <v>11</v>
      </c>
      <c r="N6" s="25" t="s">
        <v>33</v>
      </c>
      <c r="O6" s="25" t="s">
        <v>35</v>
      </c>
      <c r="P6" s="25" t="s">
        <v>36</v>
      </c>
      <c r="Q6" s="25" t="s">
        <v>13</v>
      </c>
      <c r="R6" s="25" t="s">
        <v>9</v>
      </c>
      <c r="S6" s="28" t="s">
        <v>39</v>
      </c>
      <c r="T6" s="28" t="s">
        <v>40</v>
      </c>
      <c r="U6" s="26" t="s">
        <v>30</v>
      </c>
      <c r="V6" s="23" t="s">
        <v>290</v>
      </c>
      <c r="W6" s="23" t="s">
        <v>6</v>
      </c>
      <c r="X6" s="26" t="s">
        <v>3</v>
      </c>
      <c r="Y6" s="36" t="s">
        <v>56</v>
      </c>
      <c r="Z6" s="4"/>
    </row>
    <row r="7" spans="1:27" x14ac:dyDescent="0.25">
      <c r="A7" s="29"/>
      <c r="B7" s="26"/>
      <c r="C7" s="26"/>
      <c r="D7" s="26"/>
      <c r="E7" s="26"/>
      <c r="F7" s="26"/>
      <c r="G7" s="26"/>
      <c r="H7" s="26" t="s">
        <v>46</v>
      </c>
      <c r="I7" s="26" t="s">
        <v>58</v>
      </c>
      <c r="J7" s="26" t="s">
        <v>28</v>
      </c>
      <c r="K7" s="28" t="s">
        <v>42</v>
      </c>
      <c r="L7" s="24" t="s">
        <v>32</v>
      </c>
      <c r="M7" s="24" t="s">
        <v>12</v>
      </c>
      <c r="N7" s="24" t="s">
        <v>34</v>
      </c>
      <c r="O7" s="24" t="s">
        <v>34</v>
      </c>
      <c r="P7" s="24" t="s">
        <v>37</v>
      </c>
      <c r="Q7" s="24" t="s">
        <v>14</v>
      </c>
      <c r="R7" s="24" t="s">
        <v>38</v>
      </c>
      <c r="S7" s="28" t="s">
        <v>18</v>
      </c>
      <c r="T7" s="31" t="s">
        <v>130</v>
      </c>
      <c r="U7" s="26" t="s">
        <v>51</v>
      </c>
      <c r="V7" s="26"/>
      <c r="W7" s="26" t="s">
        <v>43</v>
      </c>
      <c r="X7" s="26" t="s">
        <v>4</v>
      </c>
      <c r="Y7" s="104"/>
      <c r="Z7" s="4"/>
    </row>
    <row r="8" spans="1:27" ht="26.25" customHeight="1" x14ac:dyDescent="0.25">
      <c r="A8" s="39"/>
      <c r="B8" s="102"/>
      <c r="C8" s="102"/>
      <c r="D8" s="37" t="s">
        <v>114</v>
      </c>
      <c r="E8" s="100" t="s">
        <v>310</v>
      </c>
      <c r="F8" s="37" t="s">
        <v>60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98"/>
      <c r="Z8" s="4"/>
    </row>
    <row r="9" spans="1:27" ht="78" customHeight="1" x14ac:dyDescent="0.35">
      <c r="A9" s="109" t="s">
        <v>83</v>
      </c>
      <c r="B9" s="148" t="s">
        <v>333</v>
      </c>
      <c r="C9" s="148" t="s">
        <v>115</v>
      </c>
      <c r="D9" s="262" t="s">
        <v>332</v>
      </c>
      <c r="E9" s="222">
        <v>45090</v>
      </c>
      <c r="F9" s="149" t="s">
        <v>65</v>
      </c>
      <c r="G9" s="151">
        <v>15</v>
      </c>
      <c r="H9" s="153">
        <v>10293</v>
      </c>
      <c r="I9" s="154">
        <v>0</v>
      </c>
      <c r="J9" s="155">
        <f t="shared" ref="J9" si="0">SUM(H9:I9)</f>
        <v>10293</v>
      </c>
      <c r="K9" s="156">
        <f t="shared" ref="K9:K10" si="1">IF(H9/15&lt;=SMG,0,I9/2)</f>
        <v>0</v>
      </c>
      <c r="L9" s="156">
        <f t="shared" ref="L9:L10" si="2">H9+K9</f>
        <v>10293</v>
      </c>
      <c r="M9" s="156">
        <f t="shared" ref="M9:M10" si="3">VLOOKUP(L9,Tarifa1,1)</f>
        <v>7641.91</v>
      </c>
      <c r="N9" s="156">
        <f>L9-M9</f>
        <v>2651.09</v>
      </c>
      <c r="O9" s="157">
        <f t="shared" ref="O9:O10" si="4">VLOOKUP(L9,Tarifa1,3)</f>
        <v>0.21360000000000001</v>
      </c>
      <c r="P9" s="156">
        <f>N9*O9</f>
        <v>566.27282400000001</v>
      </c>
      <c r="Q9" s="158">
        <f t="shared" ref="Q9:Q10" si="5">VLOOKUP(L9,Tarifa1,2)</f>
        <v>809.25</v>
      </c>
      <c r="R9" s="156">
        <f>P9+Q9</f>
        <v>1375.5228240000001</v>
      </c>
      <c r="S9" s="156">
        <f t="shared" ref="S9:S10" si="6">VLOOKUP(L9,Credito1,2)</f>
        <v>0</v>
      </c>
      <c r="T9" s="156">
        <f>ROUND(R9-S9,2)</f>
        <v>1375.52</v>
      </c>
      <c r="U9" s="155">
        <f>-IF(T9&gt;0,0,T9)</f>
        <v>0</v>
      </c>
      <c r="V9" s="155">
        <f t="shared" ref="V9:V10" si="7">IF(H9/15&lt;=SMG,0,IF(T9&lt;0,0,T9))</f>
        <v>1375.52</v>
      </c>
      <c r="W9" s="155">
        <f t="shared" ref="W9:W22" si="8">SUM(V9:V9)</f>
        <v>1375.52</v>
      </c>
      <c r="X9" s="155">
        <f>J9+U9-V9</f>
        <v>8917.48</v>
      </c>
      <c r="Y9" s="88"/>
      <c r="Z9" s="4"/>
    </row>
    <row r="10" spans="1:27" ht="78" customHeight="1" x14ac:dyDescent="0.35">
      <c r="A10" s="109"/>
      <c r="B10" s="148" t="s">
        <v>336</v>
      </c>
      <c r="C10" s="148" t="s">
        <v>154</v>
      </c>
      <c r="D10" s="263" t="s">
        <v>337</v>
      </c>
      <c r="E10" s="223">
        <v>45092</v>
      </c>
      <c r="F10" s="149" t="s">
        <v>78</v>
      </c>
      <c r="G10" s="151"/>
      <c r="H10" s="153">
        <v>8409</v>
      </c>
      <c r="I10" s="154">
        <v>0</v>
      </c>
      <c r="J10" s="155">
        <f t="shared" ref="J10" si="9">SUM(H10:I10)</f>
        <v>8409</v>
      </c>
      <c r="K10" s="156">
        <f t="shared" si="1"/>
        <v>0</v>
      </c>
      <c r="L10" s="156">
        <f t="shared" si="2"/>
        <v>8409</v>
      </c>
      <c r="M10" s="156">
        <f t="shared" si="3"/>
        <v>7641.91</v>
      </c>
      <c r="N10" s="156">
        <f t="shared" ref="N10" si="10">L10-M10</f>
        <v>767.09000000000015</v>
      </c>
      <c r="O10" s="157">
        <f t="shared" si="4"/>
        <v>0.21360000000000001</v>
      </c>
      <c r="P10" s="156">
        <f t="shared" ref="P10" si="11">N10*O10</f>
        <v>163.85042400000003</v>
      </c>
      <c r="Q10" s="158">
        <f t="shared" si="5"/>
        <v>809.25</v>
      </c>
      <c r="R10" s="156">
        <f t="shared" ref="R10" si="12">P10+Q10</f>
        <v>973.10042399999998</v>
      </c>
      <c r="S10" s="156">
        <f t="shared" si="6"/>
        <v>0</v>
      </c>
      <c r="T10" s="156">
        <f t="shared" ref="T10" si="13">ROUND(R10-S10,2)</f>
        <v>973.1</v>
      </c>
      <c r="U10" s="155">
        <f t="shared" ref="U10" si="14">-IF(T10&gt;0,0,T10)</f>
        <v>0</v>
      </c>
      <c r="V10" s="155">
        <f t="shared" si="7"/>
        <v>973.1</v>
      </c>
      <c r="W10" s="155">
        <f t="shared" si="8"/>
        <v>973.1</v>
      </c>
      <c r="X10" s="155">
        <f t="shared" ref="X10:X22" si="15">J10+U10-W10</f>
        <v>7435.9</v>
      </c>
      <c r="Y10" s="88"/>
      <c r="Z10" s="4"/>
    </row>
    <row r="11" spans="1:27" s="93" customFormat="1" ht="78" customHeight="1" x14ac:dyDescent="0.35">
      <c r="A11" s="189"/>
      <c r="B11" s="148" t="s">
        <v>178</v>
      </c>
      <c r="C11" s="148" t="s">
        <v>115</v>
      </c>
      <c r="D11" s="262" t="s">
        <v>177</v>
      </c>
      <c r="E11" s="222">
        <v>43601</v>
      </c>
      <c r="F11" s="150" t="s">
        <v>78</v>
      </c>
      <c r="G11" s="151">
        <v>15</v>
      </c>
      <c r="H11" s="153">
        <v>8409</v>
      </c>
      <c r="I11" s="154">
        <v>0</v>
      </c>
      <c r="J11" s="155">
        <f t="shared" ref="J11:J12" si="16">SUM(H11:I11)</f>
        <v>8409</v>
      </c>
      <c r="K11" s="156">
        <f t="shared" ref="K11:K12" si="17">IF(H11/15&lt;=SMG,0,I11/2)</f>
        <v>0</v>
      </c>
      <c r="L11" s="156">
        <f t="shared" ref="L11:L12" si="18">H11+K11</f>
        <v>8409</v>
      </c>
      <c r="M11" s="156">
        <f t="shared" ref="M11:M15" si="19">VLOOKUP(L11,Tarifa1,1)</f>
        <v>7641.91</v>
      </c>
      <c r="N11" s="156">
        <f t="shared" ref="N11:N15" si="20">L11-M11</f>
        <v>767.09000000000015</v>
      </c>
      <c r="O11" s="157">
        <f t="shared" ref="O11:O15" si="21">VLOOKUP(L11,Tarifa1,3)</f>
        <v>0.21360000000000001</v>
      </c>
      <c r="P11" s="156">
        <f t="shared" ref="P11:P15" si="22">N11*O11</f>
        <v>163.85042400000003</v>
      </c>
      <c r="Q11" s="158">
        <f t="shared" ref="Q11:Q15" si="23">VLOOKUP(L11,Tarifa1,2)</f>
        <v>809.25</v>
      </c>
      <c r="R11" s="156">
        <f t="shared" ref="R11:R15" si="24">P11+Q11</f>
        <v>973.10042399999998</v>
      </c>
      <c r="S11" s="156">
        <f t="shared" ref="S11:S15" si="25">VLOOKUP(L11,Credito1,2)</f>
        <v>0</v>
      </c>
      <c r="T11" s="156">
        <f t="shared" ref="T11:T15" si="26">ROUND(R11-S11,2)</f>
        <v>973.1</v>
      </c>
      <c r="U11" s="155">
        <f t="shared" ref="U11:U15" si="27">-IF(T11&gt;0,0,T11)</f>
        <v>0</v>
      </c>
      <c r="V11" s="155">
        <f t="shared" ref="V11:V15" si="28">IF(H11/15&lt;=SMG,0,IF(T11&lt;0,0,T11))</f>
        <v>973.1</v>
      </c>
      <c r="W11" s="155">
        <f t="shared" si="8"/>
        <v>973.1</v>
      </c>
      <c r="X11" s="155">
        <f t="shared" si="15"/>
        <v>7435.9</v>
      </c>
      <c r="Y11" s="88"/>
      <c r="Z11" s="4"/>
    </row>
    <row r="12" spans="1:27" s="93" customFormat="1" ht="78" customHeight="1" x14ac:dyDescent="0.35">
      <c r="A12" s="189"/>
      <c r="B12" s="148" t="s">
        <v>194</v>
      </c>
      <c r="C12" s="148" t="s">
        <v>115</v>
      </c>
      <c r="D12" s="263" t="s">
        <v>193</v>
      </c>
      <c r="E12" s="222">
        <v>43937</v>
      </c>
      <c r="F12" s="150" t="s">
        <v>264</v>
      </c>
      <c r="G12" s="151">
        <v>15</v>
      </c>
      <c r="H12" s="153">
        <v>8016</v>
      </c>
      <c r="I12" s="154">
        <v>0</v>
      </c>
      <c r="J12" s="155">
        <f t="shared" si="16"/>
        <v>8016</v>
      </c>
      <c r="K12" s="156">
        <f t="shared" si="17"/>
        <v>0</v>
      </c>
      <c r="L12" s="156">
        <f t="shared" si="18"/>
        <v>8016</v>
      </c>
      <c r="M12" s="156">
        <f t="shared" ref="M12" si="29">VLOOKUP(L12,Tarifa1,1)</f>
        <v>7641.91</v>
      </c>
      <c r="N12" s="156">
        <f t="shared" ref="N12" si="30">L12-M12</f>
        <v>374.09000000000015</v>
      </c>
      <c r="O12" s="157">
        <f t="shared" ref="O12" si="31">VLOOKUP(L12,Tarifa1,3)</f>
        <v>0.21360000000000001</v>
      </c>
      <c r="P12" s="156">
        <f t="shared" ref="P12" si="32">N12*O12</f>
        <v>79.905624000000032</v>
      </c>
      <c r="Q12" s="158">
        <f t="shared" ref="Q12" si="33">VLOOKUP(L12,Tarifa1,2)</f>
        <v>809.25</v>
      </c>
      <c r="R12" s="156">
        <f t="shared" ref="R12" si="34">P12+Q12</f>
        <v>889.15562399999999</v>
      </c>
      <c r="S12" s="156">
        <f t="shared" ref="S12" si="35">VLOOKUP(L12,Credito1,2)</f>
        <v>0</v>
      </c>
      <c r="T12" s="156">
        <f t="shared" ref="T12" si="36">ROUND(R12-S12,2)</f>
        <v>889.16</v>
      </c>
      <c r="U12" s="155">
        <f t="shared" ref="U12" si="37">-IF(T12&gt;0,0,T12)</f>
        <v>0</v>
      </c>
      <c r="V12" s="155">
        <f t="shared" ref="V12" si="38">IF(H12/15&lt;=SMG,0,IF(T12&lt;0,0,T12))</f>
        <v>889.16</v>
      </c>
      <c r="W12" s="155">
        <f t="shared" si="8"/>
        <v>889.16</v>
      </c>
      <c r="X12" s="155">
        <f t="shared" si="15"/>
        <v>7126.84</v>
      </c>
      <c r="Y12" s="88"/>
      <c r="Z12" s="4"/>
    </row>
    <row r="13" spans="1:27" s="93" customFormat="1" ht="78" customHeight="1" x14ac:dyDescent="0.35">
      <c r="A13" s="189"/>
      <c r="B13" s="148" t="s">
        <v>105</v>
      </c>
      <c r="C13" s="148" t="s">
        <v>115</v>
      </c>
      <c r="D13" s="262" t="s">
        <v>82</v>
      </c>
      <c r="E13" s="223">
        <v>41898</v>
      </c>
      <c r="F13" s="150" t="s">
        <v>79</v>
      </c>
      <c r="G13" s="151">
        <v>15</v>
      </c>
      <c r="H13" s="153">
        <v>7623</v>
      </c>
      <c r="I13" s="154">
        <v>0</v>
      </c>
      <c r="J13" s="155">
        <f t="shared" ref="J13" si="39">SUM(H13:I13)</f>
        <v>7623</v>
      </c>
      <c r="K13" s="156">
        <f t="shared" ref="K13:K14" si="40">IF(H13/15&lt;=SMG,0,I13/2)</f>
        <v>0</v>
      </c>
      <c r="L13" s="156">
        <f t="shared" ref="L13:L14" si="41">H13+K13</f>
        <v>7623</v>
      </c>
      <c r="M13" s="156">
        <f t="shared" si="19"/>
        <v>6382.81</v>
      </c>
      <c r="N13" s="156">
        <f t="shared" si="20"/>
        <v>1240.1899999999996</v>
      </c>
      <c r="O13" s="157">
        <f t="shared" si="21"/>
        <v>0.1792</v>
      </c>
      <c r="P13" s="156">
        <f t="shared" si="22"/>
        <v>222.24204799999993</v>
      </c>
      <c r="Q13" s="158">
        <f t="shared" si="23"/>
        <v>583.65</v>
      </c>
      <c r="R13" s="156">
        <f t="shared" si="24"/>
        <v>805.89204799999993</v>
      </c>
      <c r="S13" s="156">
        <f t="shared" si="25"/>
        <v>0</v>
      </c>
      <c r="T13" s="156">
        <f t="shared" si="26"/>
        <v>805.89</v>
      </c>
      <c r="U13" s="155">
        <f t="shared" si="27"/>
        <v>0</v>
      </c>
      <c r="V13" s="155">
        <f t="shared" si="28"/>
        <v>805.89</v>
      </c>
      <c r="W13" s="155">
        <f t="shared" si="8"/>
        <v>805.89</v>
      </c>
      <c r="X13" s="155">
        <f t="shared" si="15"/>
        <v>6817.11</v>
      </c>
      <c r="Y13" s="89"/>
      <c r="Z13" s="4"/>
    </row>
    <row r="14" spans="1:27" ht="78" customHeight="1" x14ac:dyDescent="0.35">
      <c r="A14" s="189"/>
      <c r="B14" s="148" t="s">
        <v>189</v>
      </c>
      <c r="C14" s="148" t="s">
        <v>115</v>
      </c>
      <c r="D14" s="264" t="s">
        <v>188</v>
      </c>
      <c r="E14" s="222">
        <v>43831</v>
      </c>
      <c r="F14" s="150" t="s">
        <v>79</v>
      </c>
      <c r="G14" s="191">
        <v>15</v>
      </c>
      <c r="H14" s="153">
        <v>7623</v>
      </c>
      <c r="I14" s="154">
        <v>0</v>
      </c>
      <c r="J14" s="155">
        <f t="shared" ref="J14" si="42">SUM(H14:I14)</f>
        <v>7623</v>
      </c>
      <c r="K14" s="156">
        <f t="shared" si="40"/>
        <v>0</v>
      </c>
      <c r="L14" s="156">
        <f t="shared" si="41"/>
        <v>7623</v>
      </c>
      <c r="M14" s="156">
        <f t="shared" si="19"/>
        <v>6382.81</v>
      </c>
      <c r="N14" s="156">
        <f t="shared" si="20"/>
        <v>1240.1899999999996</v>
      </c>
      <c r="O14" s="157">
        <f t="shared" si="21"/>
        <v>0.1792</v>
      </c>
      <c r="P14" s="156">
        <f t="shared" si="22"/>
        <v>222.24204799999993</v>
      </c>
      <c r="Q14" s="158">
        <f t="shared" si="23"/>
        <v>583.65</v>
      </c>
      <c r="R14" s="156">
        <f t="shared" si="24"/>
        <v>805.89204799999993</v>
      </c>
      <c r="S14" s="156">
        <f t="shared" si="25"/>
        <v>0</v>
      </c>
      <c r="T14" s="156">
        <f t="shared" si="26"/>
        <v>805.89</v>
      </c>
      <c r="U14" s="155">
        <f t="shared" si="27"/>
        <v>0</v>
      </c>
      <c r="V14" s="155">
        <f t="shared" si="28"/>
        <v>805.89</v>
      </c>
      <c r="W14" s="155">
        <f t="shared" si="8"/>
        <v>805.89</v>
      </c>
      <c r="X14" s="155">
        <f t="shared" si="15"/>
        <v>6817.11</v>
      </c>
      <c r="Y14" s="89"/>
      <c r="Z14" s="4"/>
    </row>
    <row r="15" spans="1:27" ht="78" customHeight="1" x14ac:dyDescent="0.35">
      <c r="A15" s="189"/>
      <c r="B15" s="148" t="s">
        <v>260</v>
      </c>
      <c r="C15" s="148" t="s">
        <v>115</v>
      </c>
      <c r="D15" s="263" t="s">
        <v>261</v>
      </c>
      <c r="E15" s="222">
        <v>44608</v>
      </c>
      <c r="F15" s="150" t="s">
        <v>79</v>
      </c>
      <c r="G15" s="151"/>
      <c r="H15" s="153">
        <v>7623</v>
      </c>
      <c r="I15" s="154">
        <v>0</v>
      </c>
      <c r="J15" s="155">
        <f t="shared" ref="J15" si="43">SUM(H15:I15)</f>
        <v>7623</v>
      </c>
      <c r="K15" s="156">
        <f t="shared" ref="K15:K16" si="44">IF(H15/15&lt;=SMG,0,I15/2)</f>
        <v>0</v>
      </c>
      <c r="L15" s="156">
        <f t="shared" ref="L15:L16" si="45">H15+K15</f>
        <v>7623</v>
      </c>
      <c r="M15" s="156">
        <f t="shared" si="19"/>
        <v>6382.81</v>
      </c>
      <c r="N15" s="156">
        <f t="shared" si="20"/>
        <v>1240.1899999999996</v>
      </c>
      <c r="O15" s="157">
        <f t="shared" si="21"/>
        <v>0.1792</v>
      </c>
      <c r="P15" s="156">
        <f t="shared" si="22"/>
        <v>222.24204799999993</v>
      </c>
      <c r="Q15" s="158">
        <f t="shared" si="23"/>
        <v>583.65</v>
      </c>
      <c r="R15" s="156">
        <f t="shared" si="24"/>
        <v>805.89204799999993</v>
      </c>
      <c r="S15" s="156">
        <f t="shared" si="25"/>
        <v>0</v>
      </c>
      <c r="T15" s="156">
        <f t="shared" si="26"/>
        <v>805.89</v>
      </c>
      <c r="U15" s="155">
        <f t="shared" si="27"/>
        <v>0</v>
      </c>
      <c r="V15" s="155">
        <f t="shared" si="28"/>
        <v>805.89</v>
      </c>
      <c r="W15" s="155">
        <f t="shared" si="8"/>
        <v>805.89</v>
      </c>
      <c r="X15" s="155">
        <f t="shared" si="15"/>
        <v>6817.11</v>
      </c>
      <c r="Y15" s="89"/>
      <c r="Z15" s="4"/>
    </row>
    <row r="16" spans="1:27" ht="78" customHeight="1" x14ac:dyDescent="0.35">
      <c r="A16" s="189"/>
      <c r="B16" s="148" t="s">
        <v>315</v>
      </c>
      <c r="C16" s="148" t="s">
        <v>115</v>
      </c>
      <c r="D16" s="263" t="s">
        <v>313</v>
      </c>
      <c r="E16" s="223">
        <v>44986</v>
      </c>
      <c r="F16" s="150" t="s">
        <v>79</v>
      </c>
      <c r="G16" s="151"/>
      <c r="H16" s="153">
        <v>7623</v>
      </c>
      <c r="I16" s="154">
        <v>0</v>
      </c>
      <c r="J16" s="155">
        <f t="shared" ref="J16" si="46">SUM(H16:I16)</f>
        <v>7623</v>
      </c>
      <c r="K16" s="156">
        <f t="shared" si="44"/>
        <v>0</v>
      </c>
      <c r="L16" s="156">
        <f t="shared" si="45"/>
        <v>7623</v>
      </c>
      <c r="M16" s="156">
        <f t="shared" ref="M16" si="47">VLOOKUP(L16,Tarifa1,1)</f>
        <v>6382.81</v>
      </c>
      <c r="N16" s="156">
        <f t="shared" ref="N16" si="48">L16-M16</f>
        <v>1240.1899999999996</v>
      </c>
      <c r="O16" s="157">
        <f t="shared" ref="O16" si="49">VLOOKUP(L16,Tarifa1,3)</f>
        <v>0.1792</v>
      </c>
      <c r="P16" s="156">
        <f t="shared" ref="P16" si="50">N16*O16</f>
        <v>222.24204799999993</v>
      </c>
      <c r="Q16" s="158">
        <f t="shared" ref="Q16" si="51">VLOOKUP(L16,Tarifa1,2)</f>
        <v>583.65</v>
      </c>
      <c r="R16" s="156">
        <f t="shared" ref="R16" si="52">P16+Q16</f>
        <v>805.89204799999993</v>
      </c>
      <c r="S16" s="156">
        <f t="shared" ref="S16" si="53">VLOOKUP(L16,Credito1,2)</f>
        <v>0</v>
      </c>
      <c r="T16" s="156">
        <f t="shared" ref="T16" si="54">ROUND(R16-S16,2)</f>
        <v>805.89</v>
      </c>
      <c r="U16" s="155">
        <f t="shared" ref="U16" si="55">-IF(T16&gt;0,0,T16)</f>
        <v>0</v>
      </c>
      <c r="V16" s="155">
        <f t="shared" ref="V16" si="56">IF(H16/15&lt;=SMG,0,IF(T16&lt;0,0,T16))</f>
        <v>805.89</v>
      </c>
      <c r="W16" s="155">
        <f t="shared" si="8"/>
        <v>805.89</v>
      </c>
      <c r="X16" s="155">
        <f t="shared" si="15"/>
        <v>6817.11</v>
      </c>
      <c r="Y16" s="89"/>
      <c r="Z16" s="4"/>
    </row>
    <row r="17" spans="1:26" ht="78" customHeight="1" x14ac:dyDescent="0.35">
      <c r="A17" s="189"/>
      <c r="B17" s="148" t="s">
        <v>334</v>
      </c>
      <c r="C17" s="148" t="s">
        <v>115</v>
      </c>
      <c r="D17" s="263" t="s">
        <v>335</v>
      </c>
      <c r="E17" s="223">
        <v>45092</v>
      </c>
      <c r="F17" s="150" t="s">
        <v>79</v>
      </c>
      <c r="G17" s="151"/>
      <c r="H17" s="153">
        <v>7623</v>
      </c>
      <c r="I17" s="154">
        <v>0</v>
      </c>
      <c r="J17" s="155">
        <f t="shared" ref="J17" si="57">SUM(H17:I17)</f>
        <v>7623</v>
      </c>
      <c r="K17" s="156">
        <f t="shared" ref="K17" si="58">IF(H17/15&lt;=SMG,0,I17/2)</f>
        <v>0</v>
      </c>
      <c r="L17" s="156">
        <f t="shared" ref="L17" si="59">H17+K17</f>
        <v>7623</v>
      </c>
      <c r="M17" s="156">
        <f t="shared" ref="M17" si="60">VLOOKUP(L17,Tarifa1,1)</f>
        <v>6382.81</v>
      </c>
      <c r="N17" s="156">
        <f t="shared" ref="N17" si="61">L17-M17</f>
        <v>1240.1899999999996</v>
      </c>
      <c r="O17" s="157">
        <f t="shared" ref="O17" si="62">VLOOKUP(L17,Tarifa1,3)</f>
        <v>0.1792</v>
      </c>
      <c r="P17" s="156">
        <f t="shared" ref="P17" si="63">N17*O17</f>
        <v>222.24204799999993</v>
      </c>
      <c r="Q17" s="158">
        <f t="shared" ref="Q17" si="64">VLOOKUP(L17,Tarifa1,2)</f>
        <v>583.65</v>
      </c>
      <c r="R17" s="156">
        <f t="shared" ref="R17" si="65">P17+Q17</f>
        <v>805.89204799999993</v>
      </c>
      <c r="S17" s="156">
        <f t="shared" ref="S17" si="66">VLOOKUP(L17,Credito1,2)</f>
        <v>0</v>
      </c>
      <c r="T17" s="156">
        <f t="shared" ref="T17" si="67">ROUND(R17-S17,2)</f>
        <v>805.89</v>
      </c>
      <c r="U17" s="155">
        <f t="shared" ref="U17" si="68">-IF(T17&gt;0,0,T17)</f>
        <v>0</v>
      </c>
      <c r="V17" s="155">
        <f t="shared" ref="V17" si="69">IF(H17/15&lt;=SMG,0,IF(T17&lt;0,0,T17))</f>
        <v>805.89</v>
      </c>
      <c r="W17" s="155">
        <f t="shared" si="8"/>
        <v>805.89</v>
      </c>
      <c r="X17" s="155">
        <f t="shared" si="15"/>
        <v>6817.11</v>
      </c>
      <c r="Y17" s="89"/>
      <c r="Z17" s="4"/>
    </row>
    <row r="18" spans="1:26" ht="78" customHeight="1" x14ac:dyDescent="0.35">
      <c r="A18" s="189"/>
      <c r="B18" s="148" t="s">
        <v>340</v>
      </c>
      <c r="C18" s="148" t="s">
        <v>115</v>
      </c>
      <c r="D18" s="263" t="s">
        <v>339</v>
      </c>
      <c r="E18" s="223">
        <v>45096</v>
      </c>
      <c r="F18" s="150" t="s">
        <v>79</v>
      </c>
      <c r="G18" s="151"/>
      <c r="H18" s="153">
        <v>7623</v>
      </c>
      <c r="I18" s="154">
        <v>0</v>
      </c>
      <c r="J18" s="155">
        <f t="shared" ref="J18" si="70">SUM(H18:I18)</f>
        <v>7623</v>
      </c>
      <c r="K18" s="156">
        <f t="shared" ref="K18:K19" si="71">IF(H18/15&lt;=SMG,0,I18/2)</f>
        <v>0</v>
      </c>
      <c r="L18" s="156">
        <f t="shared" ref="L18:L19" si="72">H18+K18</f>
        <v>7623</v>
      </c>
      <c r="M18" s="156">
        <f t="shared" ref="M18:M19" si="73">VLOOKUP(L18,Tarifa1,1)</f>
        <v>6382.81</v>
      </c>
      <c r="N18" s="156">
        <f t="shared" ref="N18:N19" si="74">L18-M18</f>
        <v>1240.1899999999996</v>
      </c>
      <c r="O18" s="157">
        <f t="shared" ref="O18:O19" si="75">VLOOKUP(L18,Tarifa1,3)</f>
        <v>0.1792</v>
      </c>
      <c r="P18" s="156">
        <f t="shared" ref="P18:P19" si="76">N18*O18</f>
        <v>222.24204799999993</v>
      </c>
      <c r="Q18" s="158">
        <f t="shared" ref="Q18:Q19" si="77">VLOOKUP(L18,Tarifa1,2)</f>
        <v>583.65</v>
      </c>
      <c r="R18" s="156">
        <f t="shared" ref="R18:R19" si="78">P18+Q18</f>
        <v>805.89204799999993</v>
      </c>
      <c r="S18" s="156">
        <f t="shared" ref="S18:S19" si="79">VLOOKUP(L18,Credito1,2)</f>
        <v>0</v>
      </c>
      <c r="T18" s="156">
        <f t="shared" ref="T18:T19" si="80">ROUND(R18-S18,2)</f>
        <v>805.89</v>
      </c>
      <c r="U18" s="155">
        <f t="shared" ref="U18:U19" si="81">-IF(T18&gt;0,0,T18)</f>
        <v>0</v>
      </c>
      <c r="V18" s="155">
        <f t="shared" ref="V18:V19" si="82">IF(H18/15&lt;=SMG,0,IF(T18&lt;0,0,T18))</f>
        <v>805.89</v>
      </c>
      <c r="W18" s="155">
        <f t="shared" si="8"/>
        <v>805.89</v>
      </c>
      <c r="X18" s="155">
        <f t="shared" si="15"/>
        <v>6817.11</v>
      </c>
      <c r="Y18" s="89"/>
      <c r="Z18" s="4"/>
    </row>
    <row r="19" spans="1:26" ht="78" customHeight="1" x14ac:dyDescent="0.35">
      <c r="A19" s="189"/>
      <c r="B19" s="148" t="s">
        <v>338</v>
      </c>
      <c r="C19" s="148" t="s">
        <v>115</v>
      </c>
      <c r="D19" s="263" t="s">
        <v>347</v>
      </c>
      <c r="E19" s="223">
        <v>45106</v>
      </c>
      <c r="F19" s="150" t="s">
        <v>79</v>
      </c>
      <c r="G19" s="151"/>
      <c r="H19" s="153">
        <v>7623</v>
      </c>
      <c r="I19" s="154">
        <v>0</v>
      </c>
      <c r="J19" s="155">
        <f t="shared" ref="J19" si="83">SUM(H19:I19)</f>
        <v>7623</v>
      </c>
      <c r="K19" s="156">
        <f t="shared" si="71"/>
        <v>0</v>
      </c>
      <c r="L19" s="156">
        <f t="shared" si="72"/>
        <v>7623</v>
      </c>
      <c r="M19" s="156">
        <f t="shared" si="73"/>
        <v>6382.81</v>
      </c>
      <c r="N19" s="156">
        <f t="shared" si="74"/>
        <v>1240.1899999999996</v>
      </c>
      <c r="O19" s="157">
        <f t="shared" si="75"/>
        <v>0.1792</v>
      </c>
      <c r="P19" s="156">
        <f t="shared" si="76"/>
        <v>222.24204799999993</v>
      </c>
      <c r="Q19" s="158">
        <f t="shared" si="77"/>
        <v>583.65</v>
      </c>
      <c r="R19" s="156">
        <f t="shared" si="78"/>
        <v>805.89204799999993</v>
      </c>
      <c r="S19" s="156">
        <f t="shared" si="79"/>
        <v>0</v>
      </c>
      <c r="T19" s="156">
        <f t="shared" si="80"/>
        <v>805.89</v>
      </c>
      <c r="U19" s="155">
        <f t="shared" si="81"/>
        <v>0</v>
      </c>
      <c r="V19" s="155">
        <f t="shared" si="82"/>
        <v>805.89</v>
      </c>
      <c r="W19" s="155">
        <f t="shared" si="8"/>
        <v>805.89</v>
      </c>
      <c r="X19" s="155">
        <f t="shared" si="15"/>
        <v>6817.11</v>
      </c>
      <c r="Y19" s="89"/>
      <c r="Z19" s="4"/>
    </row>
    <row r="20" spans="1:26" ht="78" customHeight="1" x14ac:dyDescent="0.35">
      <c r="A20" s="189"/>
      <c r="B20" s="148" t="s">
        <v>353</v>
      </c>
      <c r="C20" s="148" t="s">
        <v>115</v>
      </c>
      <c r="D20" s="263" t="s">
        <v>348</v>
      </c>
      <c r="E20" s="223">
        <v>45122</v>
      </c>
      <c r="F20" s="150" t="s">
        <v>79</v>
      </c>
      <c r="G20" s="151"/>
      <c r="H20" s="153">
        <v>7623</v>
      </c>
      <c r="I20" s="154">
        <v>0</v>
      </c>
      <c r="J20" s="155">
        <f t="shared" ref="J20:J22" si="84">SUM(H20:I20)</f>
        <v>7623</v>
      </c>
      <c r="K20" s="156">
        <f t="shared" ref="K20:K22" si="85">IF(H20/15&lt;=SMG,0,I20/2)</f>
        <v>0</v>
      </c>
      <c r="L20" s="156">
        <f t="shared" ref="L20:L22" si="86">H20+K20</f>
        <v>7623</v>
      </c>
      <c r="M20" s="156">
        <f t="shared" ref="M20:M22" si="87">VLOOKUP(L20,Tarifa1,1)</f>
        <v>6382.81</v>
      </c>
      <c r="N20" s="156">
        <f t="shared" ref="N20:N22" si="88">L20-M20</f>
        <v>1240.1899999999996</v>
      </c>
      <c r="O20" s="157">
        <f t="shared" ref="O20:O22" si="89">VLOOKUP(L20,Tarifa1,3)</f>
        <v>0.1792</v>
      </c>
      <c r="P20" s="156">
        <f t="shared" ref="P20:P22" si="90">N20*O20</f>
        <v>222.24204799999993</v>
      </c>
      <c r="Q20" s="158">
        <f t="shared" ref="Q20:Q22" si="91">VLOOKUP(L20,Tarifa1,2)</f>
        <v>583.65</v>
      </c>
      <c r="R20" s="156">
        <f t="shared" ref="R20:R22" si="92">P20+Q20</f>
        <v>805.89204799999993</v>
      </c>
      <c r="S20" s="156">
        <f t="shared" ref="S20:S22" si="93">VLOOKUP(L20,Credito1,2)</f>
        <v>0</v>
      </c>
      <c r="T20" s="156">
        <f t="shared" ref="T20:T22" si="94">ROUND(R20-S20,2)</f>
        <v>805.89</v>
      </c>
      <c r="U20" s="155">
        <f t="shared" ref="U20:U22" si="95">-IF(T20&gt;0,0,T20)</f>
        <v>0</v>
      </c>
      <c r="V20" s="155">
        <f t="shared" ref="V20:V22" si="96">IF(H20/15&lt;=SMG,0,IF(T20&lt;0,0,T20))</f>
        <v>805.89</v>
      </c>
      <c r="W20" s="155">
        <f t="shared" si="8"/>
        <v>805.89</v>
      </c>
      <c r="X20" s="155">
        <f t="shared" si="15"/>
        <v>6817.11</v>
      </c>
      <c r="Y20" s="89"/>
      <c r="Z20" s="4"/>
    </row>
    <row r="21" spans="1:26" ht="78" customHeight="1" x14ac:dyDescent="0.35">
      <c r="A21" s="189"/>
      <c r="B21" s="148" t="s">
        <v>361</v>
      </c>
      <c r="C21" s="148" t="s">
        <v>115</v>
      </c>
      <c r="D21" s="263" t="s">
        <v>349</v>
      </c>
      <c r="E21" s="223">
        <v>45132</v>
      </c>
      <c r="F21" s="150" t="s">
        <v>79</v>
      </c>
      <c r="G21" s="151"/>
      <c r="H21" s="153">
        <v>7623</v>
      </c>
      <c r="I21" s="154">
        <v>0</v>
      </c>
      <c r="J21" s="155">
        <f t="shared" si="84"/>
        <v>7623</v>
      </c>
      <c r="K21" s="156">
        <f t="shared" si="85"/>
        <v>0</v>
      </c>
      <c r="L21" s="156">
        <f t="shared" si="86"/>
        <v>7623</v>
      </c>
      <c r="M21" s="156">
        <f t="shared" si="87"/>
        <v>6382.81</v>
      </c>
      <c r="N21" s="156">
        <f t="shared" si="88"/>
        <v>1240.1899999999996</v>
      </c>
      <c r="O21" s="157">
        <f t="shared" si="89"/>
        <v>0.1792</v>
      </c>
      <c r="P21" s="156">
        <f t="shared" si="90"/>
        <v>222.24204799999993</v>
      </c>
      <c r="Q21" s="158">
        <f t="shared" si="91"/>
        <v>583.65</v>
      </c>
      <c r="R21" s="156">
        <f t="shared" si="92"/>
        <v>805.89204799999993</v>
      </c>
      <c r="S21" s="156">
        <f t="shared" si="93"/>
        <v>0</v>
      </c>
      <c r="T21" s="156">
        <f t="shared" si="94"/>
        <v>805.89</v>
      </c>
      <c r="U21" s="155">
        <f t="shared" si="95"/>
        <v>0</v>
      </c>
      <c r="V21" s="155">
        <f t="shared" si="96"/>
        <v>805.89</v>
      </c>
      <c r="W21" s="155">
        <f t="shared" si="8"/>
        <v>805.89</v>
      </c>
      <c r="X21" s="155">
        <f t="shared" si="15"/>
        <v>6817.11</v>
      </c>
      <c r="Y21" s="89"/>
      <c r="Z21" s="4"/>
    </row>
    <row r="22" spans="1:26" ht="78" customHeight="1" x14ac:dyDescent="0.35">
      <c r="A22" s="189"/>
      <c r="B22" s="148" t="s">
        <v>357</v>
      </c>
      <c r="C22" s="148" t="s">
        <v>115</v>
      </c>
      <c r="D22" s="263" t="s">
        <v>358</v>
      </c>
      <c r="E22" s="223">
        <v>45139</v>
      </c>
      <c r="F22" s="150" t="s">
        <v>79</v>
      </c>
      <c r="G22" s="151"/>
      <c r="H22" s="153">
        <v>7623</v>
      </c>
      <c r="I22" s="154">
        <v>0</v>
      </c>
      <c r="J22" s="155">
        <f t="shared" si="84"/>
        <v>7623</v>
      </c>
      <c r="K22" s="156">
        <f t="shared" si="85"/>
        <v>0</v>
      </c>
      <c r="L22" s="156">
        <f t="shared" si="86"/>
        <v>7623</v>
      </c>
      <c r="M22" s="156">
        <f t="shared" si="87"/>
        <v>6382.81</v>
      </c>
      <c r="N22" s="156">
        <f t="shared" si="88"/>
        <v>1240.1899999999996</v>
      </c>
      <c r="O22" s="157">
        <f t="shared" si="89"/>
        <v>0.1792</v>
      </c>
      <c r="P22" s="156">
        <f t="shared" si="90"/>
        <v>222.24204799999993</v>
      </c>
      <c r="Q22" s="158">
        <f t="shared" si="91"/>
        <v>583.65</v>
      </c>
      <c r="R22" s="156">
        <f t="shared" si="92"/>
        <v>805.89204799999993</v>
      </c>
      <c r="S22" s="156">
        <f t="shared" si="93"/>
        <v>0</v>
      </c>
      <c r="T22" s="156">
        <f t="shared" si="94"/>
        <v>805.89</v>
      </c>
      <c r="U22" s="155">
        <f t="shared" si="95"/>
        <v>0</v>
      </c>
      <c r="V22" s="155">
        <f t="shared" si="96"/>
        <v>805.89</v>
      </c>
      <c r="W22" s="155">
        <f t="shared" si="8"/>
        <v>805.89</v>
      </c>
      <c r="X22" s="155">
        <f t="shared" si="15"/>
        <v>6817.11</v>
      </c>
      <c r="Y22" s="89"/>
      <c r="Z22" s="4"/>
    </row>
    <row r="23" spans="1:26" ht="29.25" customHeight="1" thickBot="1" x14ac:dyDescent="0.35">
      <c r="A23" s="284" t="s">
        <v>44</v>
      </c>
      <c r="B23" s="285"/>
      <c r="C23" s="285"/>
      <c r="D23" s="285"/>
      <c r="E23" s="285"/>
      <c r="F23" s="285"/>
      <c r="G23" s="285"/>
      <c r="H23" s="159">
        <f>SUM(H9:H22)</f>
        <v>111357</v>
      </c>
      <c r="I23" s="159">
        <f>SUM(I9:I22)</f>
        <v>0</v>
      </c>
      <c r="J23" s="159">
        <f>SUM(J9:J22)</f>
        <v>111357</v>
      </c>
      <c r="K23" s="160">
        <f t="shared" ref="K23:T23" si="97">SUM(K9:K13)</f>
        <v>0</v>
      </c>
      <c r="L23" s="160">
        <f t="shared" si="97"/>
        <v>42750</v>
      </c>
      <c r="M23" s="160">
        <f t="shared" si="97"/>
        <v>36950.449999999997</v>
      </c>
      <c r="N23" s="160">
        <f t="shared" si="97"/>
        <v>5799.55</v>
      </c>
      <c r="O23" s="160">
        <f t="shared" si="97"/>
        <v>1.0336000000000001</v>
      </c>
      <c r="P23" s="160">
        <f t="shared" si="97"/>
        <v>1196.1213439999999</v>
      </c>
      <c r="Q23" s="160">
        <f t="shared" si="97"/>
        <v>3820.65</v>
      </c>
      <c r="R23" s="160">
        <f t="shared" si="97"/>
        <v>5016.7713439999998</v>
      </c>
      <c r="S23" s="160">
        <f t="shared" si="97"/>
        <v>0</v>
      </c>
      <c r="T23" s="160">
        <f t="shared" si="97"/>
        <v>5016.7700000000004</v>
      </c>
      <c r="U23" s="159">
        <f>SUM(U9:U22)</f>
        <v>0</v>
      </c>
      <c r="V23" s="159">
        <f>SUM(V9:V22)</f>
        <v>12269.779999999999</v>
      </c>
      <c r="W23" s="159">
        <f>SUM(W9:W22)</f>
        <v>12269.779999999999</v>
      </c>
      <c r="X23" s="159">
        <f>SUM(X9:X22)</f>
        <v>99087.22</v>
      </c>
      <c r="Y23" s="4"/>
      <c r="Z23" s="4"/>
    </row>
    <row r="24" spans="1:26" ht="13.8" thickTop="1" x14ac:dyDescent="0.25"/>
  </sheetData>
  <mergeCells count="7">
    <mergeCell ref="A23:G23"/>
    <mergeCell ref="A1:Y1"/>
    <mergeCell ref="A2:Y2"/>
    <mergeCell ref="H5:J5"/>
    <mergeCell ref="M5:R5"/>
    <mergeCell ref="V5:W5"/>
    <mergeCell ref="B3:Y3"/>
  </mergeCells>
  <pageMargins left="0.35433070866141736" right="0.15748031496062992" top="0.39370078740157483" bottom="7.874015748031496E-2" header="0.31496062992125984" footer="0.31496062992125984"/>
  <pageSetup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B17" zoomScale="73" zoomScaleNormal="73" workbookViewId="0">
      <selection activeCell="B25" sqref="A25:XFD28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3" style="67" customWidth="1"/>
    <col min="25" max="25" width="15.88671875" style="67" customWidth="1"/>
    <col min="26" max="26" width="50" style="67" customWidth="1"/>
    <col min="27" max="16384" width="11.44140625" style="67"/>
  </cols>
  <sheetData>
    <row r="1" spans="1:26" ht="17.399999999999999" x14ac:dyDescent="0.3">
      <c r="A1" s="297" t="s">
        <v>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8"/>
      <c r="B5" s="68"/>
      <c r="C5" s="68"/>
      <c r="D5" s="68"/>
      <c r="E5" s="68"/>
      <c r="F5" s="68"/>
      <c r="G5" s="69" t="s">
        <v>22</v>
      </c>
      <c r="H5" s="69" t="s">
        <v>5</v>
      </c>
      <c r="I5" s="324" t="s">
        <v>1</v>
      </c>
      <c r="J5" s="325"/>
      <c r="K5" s="326"/>
      <c r="L5" s="70" t="s">
        <v>25</v>
      </c>
      <c r="M5" s="71"/>
      <c r="N5" s="327" t="s">
        <v>8</v>
      </c>
      <c r="O5" s="328"/>
      <c r="P5" s="328"/>
      <c r="Q5" s="328"/>
      <c r="R5" s="328"/>
      <c r="S5" s="329"/>
      <c r="T5" s="70" t="s">
        <v>29</v>
      </c>
      <c r="U5" s="70" t="s">
        <v>9</v>
      </c>
      <c r="V5" s="69" t="s">
        <v>52</v>
      </c>
      <c r="W5" s="330" t="s">
        <v>2</v>
      </c>
      <c r="X5" s="331"/>
      <c r="Y5" s="69" t="s">
        <v>0</v>
      </c>
      <c r="Z5" s="72"/>
    </row>
    <row r="6" spans="1:26" ht="21" x14ac:dyDescent="0.25">
      <c r="A6" s="73" t="s">
        <v>20</v>
      </c>
      <c r="B6" s="74" t="s">
        <v>101</v>
      </c>
      <c r="C6" s="74" t="s">
        <v>116</v>
      </c>
      <c r="D6" s="73" t="s">
        <v>21</v>
      </c>
      <c r="E6" s="73"/>
      <c r="F6" s="73"/>
      <c r="G6" s="75" t="s">
        <v>23</v>
      </c>
      <c r="H6" s="73" t="s">
        <v>24</v>
      </c>
      <c r="I6" s="69" t="s">
        <v>5</v>
      </c>
      <c r="J6" s="69" t="s">
        <v>57</v>
      </c>
      <c r="K6" s="69" t="s">
        <v>27</v>
      </c>
      <c r="L6" s="76" t="s">
        <v>26</v>
      </c>
      <c r="M6" s="71" t="s">
        <v>31</v>
      </c>
      <c r="N6" s="71" t="s">
        <v>11</v>
      </c>
      <c r="O6" s="71" t="s">
        <v>33</v>
      </c>
      <c r="P6" s="71" t="s">
        <v>35</v>
      </c>
      <c r="Q6" s="71" t="s">
        <v>36</v>
      </c>
      <c r="R6" s="71" t="s">
        <v>13</v>
      </c>
      <c r="S6" s="71" t="s">
        <v>9</v>
      </c>
      <c r="T6" s="76" t="s">
        <v>39</v>
      </c>
      <c r="U6" s="76" t="s">
        <v>40</v>
      </c>
      <c r="V6" s="73" t="s">
        <v>30</v>
      </c>
      <c r="W6" s="23" t="s">
        <v>290</v>
      </c>
      <c r="X6" s="69" t="s">
        <v>6</v>
      </c>
      <c r="Y6" s="73" t="s">
        <v>3</v>
      </c>
      <c r="Z6" s="77" t="s">
        <v>56</v>
      </c>
    </row>
    <row r="7" spans="1:26" x14ac:dyDescent="0.25">
      <c r="A7" s="78"/>
      <c r="B7" s="73"/>
      <c r="C7" s="73"/>
      <c r="D7" s="73"/>
      <c r="E7" s="73"/>
      <c r="F7" s="73"/>
      <c r="G7" s="73"/>
      <c r="H7" s="73"/>
      <c r="I7" s="73" t="s">
        <v>46</v>
      </c>
      <c r="J7" s="73" t="s">
        <v>58</v>
      </c>
      <c r="K7" s="73" t="s">
        <v>28</v>
      </c>
      <c r="L7" s="76" t="s">
        <v>42</v>
      </c>
      <c r="M7" s="70" t="s">
        <v>32</v>
      </c>
      <c r="N7" s="70" t="s">
        <v>12</v>
      </c>
      <c r="O7" s="70" t="s">
        <v>34</v>
      </c>
      <c r="P7" s="70" t="s">
        <v>34</v>
      </c>
      <c r="Q7" s="70" t="s">
        <v>37</v>
      </c>
      <c r="R7" s="70" t="s">
        <v>14</v>
      </c>
      <c r="S7" s="70" t="s">
        <v>38</v>
      </c>
      <c r="T7" s="76" t="s">
        <v>18</v>
      </c>
      <c r="U7" s="79" t="s">
        <v>130</v>
      </c>
      <c r="V7" s="73" t="s">
        <v>51</v>
      </c>
      <c r="W7" s="73"/>
      <c r="X7" s="73" t="s">
        <v>43</v>
      </c>
      <c r="Y7" s="73" t="s">
        <v>4</v>
      </c>
      <c r="Z7" s="80"/>
    </row>
    <row r="8" spans="1:26" ht="37.5" customHeight="1" x14ac:dyDescent="0.3">
      <c r="A8" s="81"/>
      <c r="B8" s="82"/>
      <c r="C8" s="82"/>
      <c r="D8" s="135" t="s">
        <v>137</v>
      </c>
      <c r="E8" s="100" t="s">
        <v>309</v>
      </c>
      <c r="F8" s="83" t="s">
        <v>60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4"/>
    </row>
    <row r="9" spans="1:26" ht="96" customHeight="1" x14ac:dyDescent="0.3">
      <c r="A9" s="208"/>
      <c r="B9" s="148" t="s">
        <v>280</v>
      </c>
      <c r="C9" s="148" t="s">
        <v>115</v>
      </c>
      <c r="D9" s="190" t="s">
        <v>278</v>
      </c>
      <c r="E9" s="222">
        <v>44730</v>
      </c>
      <c r="F9" s="150" t="s">
        <v>279</v>
      </c>
      <c r="G9" s="151"/>
      <c r="H9" s="152"/>
      <c r="I9" s="153">
        <v>9547</v>
      </c>
      <c r="J9" s="154">
        <v>0</v>
      </c>
      <c r="K9" s="155">
        <f t="shared" ref="K9" si="0">SUM(I9:J9)</f>
        <v>9547</v>
      </c>
      <c r="L9" s="156">
        <f t="shared" ref="L9" si="1">IF(I9/15&lt;=SMG,0,J9/2)</f>
        <v>0</v>
      </c>
      <c r="M9" s="156">
        <f t="shared" ref="M9" si="2">I9+L9</f>
        <v>9547</v>
      </c>
      <c r="N9" s="156">
        <f t="shared" ref="N9:N17" si="3">VLOOKUP(M9,Tarifa1,1)</f>
        <v>7641.91</v>
      </c>
      <c r="O9" s="156">
        <f>M9-N9</f>
        <v>1905.0900000000001</v>
      </c>
      <c r="P9" s="157">
        <f t="shared" ref="P9:P17" si="4">VLOOKUP(M9,Tarifa1,3)</f>
        <v>0.21360000000000001</v>
      </c>
      <c r="Q9" s="156">
        <f>O9*P9</f>
        <v>406.92722400000008</v>
      </c>
      <c r="R9" s="158">
        <f t="shared" ref="R9:R17" si="5">VLOOKUP(M9,Tarifa1,2)</f>
        <v>809.25</v>
      </c>
      <c r="S9" s="156">
        <f>Q9+R9</f>
        <v>1216.177224</v>
      </c>
      <c r="T9" s="156">
        <f t="shared" ref="T9:T17" si="6">VLOOKUP(M9,Credito1,2)</f>
        <v>0</v>
      </c>
      <c r="U9" s="156">
        <f>ROUND(S9-T9,2)</f>
        <v>1216.18</v>
      </c>
      <c r="V9" s="155">
        <f>-IF(U9&gt;0,0,U9)</f>
        <v>0</v>
      </c>
      <c r="W9" s="155">
        <f t="shared" ref="W9:W17" si="7">IF(I9/15&lt;=SMG,0,IF(U9&lt;0,0,U9))</f>
        <v>1216.18</v>
      </c>
      <c r="X9" s="155">
        <f t="shared" ref="X9:X18" si="8">SUM(W9:W9)</f>
        <v>1216.18</v>
      </c>
      <c r="Y9" s="155">
        <f t="shared" ref="Y9:Y18" si="9">K9+V9-X9</f>
        <v>8330.82</v>
      </c>
      <c r="Z9" s="205"/>
    </row>
    <row r="10" spans="1:26" s="93" customFormat="1" ht="96" customHeight="1" x14ac:dyDescent="0.3">
      <c r="A10" s="109"/>
      <c r="B10" s="148" t="s">
        <v>200</v>
      </c>
      <c r="C10" s="148" t="s">
        <v>115</v>
      </c>
      <c r="D10" s="190" t="s">
        <v>199</v>
      </c>
      <c r="E10" s="222">
        <v>43998</v>
      </c>
      <c r="F10" s="149" t="s">
        <v>135</v>
      </c>
      <c r="G10" s="151"/>
      <c r="H10" s="152"/>
      <c r="I10" s="153">
        <v>5767.5</v>
      </c>
      <c r="J10" s="154">
        <v>500</v>
      </c>
      <c r="K10" s="155">
        <f t="shared" ref="K10" si="10">SUM(I10:J10)</f>
        <v>6267.5</v>
      </c>
      <c r="L10" s="156">
        <f t="shared" ref="L10" si="11">IF(I10/15&lt;=SMG,0,J10/2)</f>
        <v>250</v>
      </c>
      <c r="M10" s="156">
        <f t="shared" ref="M10:M11" si="12">I10+L10</f>
        <v>6017.5</v>
      </c>
      <c r="N10" s="156">
        <f t="shared" si="3"/>
        <v>5490.76</v>
      </c>
      <c r="O10" s="156">
        <f t="shared" ref="O10:O17" si="13">M10-N10</f>
        <v>526.73999999999978</v>
      </c>
      <c r="P10" s="157">
        <f t="shared" si="4"/>
        <v>0.16</v>
      </c>
      <c r="Q10" s="156">
        <f t="shared" ref="Q10:Q17" si="14">O10*P10</f>
        <v>84.278399999999962</v>
      </c>
      <c r="R10" s="158">
        <f t="shared" si="5"/>
        <v>441</v>
      </c>
      <c r="S10" s="156">
        <f t="shared" ref="S10:S17" si="15">Q10+R10</f>
        <v>525.27839999999992</v>
      </c>
      <c r="T10" s="156">
        <f t="shared" si="6"/>
        <v>0</v>
      </c>
      <c r="U10" s="156">
        <f t="shared" ref="U10:U17" si="16">ROUND(S10-T10,2)</f>
        <v>525.28</v>
      </c>
      <c r="V10" s="155">
        <f t="shared" ref="V10:V17" si="17">-IF(U10&gt;0,0,U10)</f>
        <v>0</v>
      </c>
      <c r="W10" s="155">
        <f t="shared" si="7"/>
        <v>525.28</v>
      </c>
      <c r="X10" s="155">
        <f t="shared" si="8"/>
        <v>525.28</v>
      </c>
      <c r="Y10" s="155">
        <f t="shared" si="9"/>
        <v>5742.22</v>
      </c>
      <c r="Z10" s="92"/>
    </row>
    <row r="11" spans="1:26" s="93" customFormat="1" ht="96" customHeight="1" x14ac:dyDescent="0.3">
      <c r="A11" s="109"/>
      <c r="B11" s="148" t="s">
        <v>299</v>
      </c>
      <c r="C11" s="148" t="s">
        <v>115</v>
      </c>
      <c r="D11" s="190" t="s">
        <v>300</v>
      </c>
      <c r="E11" s="222">
        <v>44942</v>
      </c>
      <c r="F11" s="149" t="s">
        <v>135</v>
      </c>
      <c r="G11" s="151"/>
      <c r="H11" s="152"/>
      <c r="I11" s="153">
        <v>5210.41</v>
      </c>
      <c r="J11" s="154">
        <v>300</v>
      </c>
      <c r="K11" s="155">
        <f t="shared" ref="K11:K17" si="18">SUM(I11:J11)</f>
        <v>5510.41</v>
      </c>
      <c r="L11" s="156">
        <f t="shared" ref="L11:L15" si="19">IF(I11/15&lt;=SMG,0,J11/2)</f>
        <v>150</v>
      </c>
      <c r="M11" s="156">
        <f t="shared" si="12"/>
        <v>5360.41</v>
      </c>
      <c r="N11" s="156">
        <f t="shared" si="3"/>
        <v>3124.36</v>
      </c>
      <c r="O11" s="156">
        <f t="shared" si="13"/>
        <v>2236.0499999999997</v>
      </c>
      <c r="P11" s="157">
        <f t="shared" si="4"/>
        <v>0.10879999999999999</v>
      </c>
      <c r="Q11" s="156">
        <f t="shared" si="14"/>
        <v>243.28223999999994</v>
      </c>
      <c r="R11" s="158">
        <f t="shared" si="5"/>
        <v>183.45</v>
      </c>
      <c r="S11" s="156">
        <f t="shared" si="15"/>
        <v>426.73223999999993</v>
      </c>
      <c r="T11" s="156">
        <f t="shared" si="6"/>
        <v>0</v>
      </c>
      <c r="U11" s="156">
        <f t="shared" si="16"/>
        <v>426.73</v>
      </c>
      <c r="V11" s="155">
        <f t="shared" si="17"/>
        <v>0</v>
      </c>
      <c r="W11" s="155">
        <f t="shared" si="7"/>
        <v>426.73</v>
      </c>
      <c r="X11" s="155">
        <f t="shared" si="8"/>
        <v>426.73</v>
      </c>
      <c r="Y11" s="155">
        <f t="shared" si="9"/>
        <v>5083.68</v>
      </c>
      <c r="Z11" s="92"/>
    </row>
    <row r="12" spans="1:26" s="93" customFormat="1" ht="96" customHeight="1" x14ac:dyDescent="0.3">
      <c r="A12" s="109"/>
      <c r="B12" s="148" t="s">
        <v>301</v>
      </c>
      <c r="C12" s="148" t="s">
        <v>115</v>
      </c>
      <c r="D12" s="190" t="s">
        <v>302</v>
      </c>
      <c r="E12" s="222">
        <v>44942</v>
      </c>
      <c r="F12" s="149" t="s">
        <v>135</v>
      </c>
      <c r="G12" s="151"/>
      <c r="H12" s="152"/>
      <c r="I12" s="153">
        <v>5210.41</v>
      </c>
      <c r="J12" s="154">
        <v>0</v>
      </c>
      <c r="K12" s="155">
        <f t="shared" si="18"/>
        <v>5210.41</v>
      </c>
      <c r="L12" s="156">
        <f t="shared" si="19"/>
        <v>0</v>
      </c>
      <c r="M12" s="156">
        <f t="shared" ref="M12" si="20">I12+L12</f>
        <v>5210.41</v>
      </c>
      <c r="N12" s="156">
        <f t="shared" si="3"/>
        <v>3124.36</v>
      </c>
      <c r="O12" s="156">
        <f t="shared" ref="O12" si="21">M12-N12</f>
        <v>2086.0499999999997</v>
      </c>
      <c r="P12" s="157">
        <f t="shared" si="4"/>
        <v>0.10879999999999999</v>
      </c>
      <c r="Q12" s="156">
        <f t="shared" ref="Q12" si="22">O12*P12</f>
        <v>226.96223999999995</v>
      </c>
      <c r="R12" s="158">
        <f t="shared" si="5"/>
        <v>183.45</v>
      </c>
      <c r="S12" s="156">
        <f t="shared" ref="S12" si="23">Q12+R12</f>
        <v>410.41223999999994</v>
      </c>
      <c r="T12" s="156">
        <f t="shared" si="6"/>
        <v>0</v>
      </c>
      <c r="U12" s="156">
        <f t="shared" ref="U12" si="24">ROUND(S12-T12,2)</f>
        <v>410.41</v>
      </c>
      <c r="V12" s="155">
        <f t="shared" ref="V12" si="25">-IF(U12&gt;0,0,U12)</f>
        <v>0</v>
      </c>
      <c r="W12" s="155">
        <f t="shared" si="7"/>
        <v>410.41</v>
      </c>
      <c r="X12" s="155">
        <f t="shared" si="8"/>
        <v>410.41</v>
      </c>
      <c r="Y12" s="155">
        <f t="shared" si="9"/>
        <v>4800</v>
      </c>
      <c r="Z12" s="92"/>
    </row>
    <row r="13" spans="1:26" s="93" customFormat="1" ht="96" customHeight="1" x14ac:dyDescent="0.3">
      <c r="A13" s="109"/>
      <c r="B13" s="148" t="s">
        <v>303</v>
      </c>
      <c r="C13" s="148" t="s">
        <v>115</v>
      </c>
      <c r="D13" s="190" t="s">
        <v>304</v>
      </c>
      <c r="E13" s="222">
        <v>44942</v>
      </c>
      <c r="F13" s="149" t="s">
        <v>135</v>
      </c>
      <c r="G13" s="151"/>
      <c r="H13" s="152"/>
      <c r="I13" s="153">
        <v>5210.41</v>
      </c>
      <c r="J13" s="154">
        <v>0</v>
      </c>
      <c r="K13" s="155">
        <f t="shared" si="18"/>
        <v>5210.41</v>
      </c>
      <c r="L13" s="156">
        <f t="shared" si="19"/>
        <v>0</v>
      </c>
      <c r="M13" s="156">
        <f t="shared" ref="M13" si="26">I13+L13</f>
        <v>5210.41</v>
      </c>
      <c r="N13" s="156">
        <f t="shared" si="3"/>
        <v>3124.36</v>
      </c>
      <c r="O13" s="156">
        <f t="shared" ref="O13" si="27">M13-N13</f>
        <v>2086.0499999999997</v>
      </c>
      <c r="P13" s="157">
        <f t="shared" si="4"/>
        <v>0.10879999999999999</v>
      </c>
      <c r="Q13" s="156">
        <f t="shared" ref="Q13" si="28">O13*P13</f>
        <v>226.96223999999995</v>
      </c>
      <c r="R13" s="158">
        <f t="shared" si="5"/>
        <v>183.45</v>
      </c>
      <c r="S13" s="156">
        <f t="shared" ref="S13" si="29">Q13+R13</f>
        <v>410.41223999999994</v>
      </c>
      <c r="T13" s="156">
        <f t="shared" si="6"/>
        <v>0</v>
      </c>
      <c r="U13" s="156">
        <f t="shared" ref="U13" si="30">ROUND(S13-T13,2)</f>
        <v>410.41</v>
      </c>
      <c r="V13" s="155">
        <f t="shared" ref="V13" si="31">-IF(U13&gt;0,0,U13)</f>
        <v>0</v>
      </c>
      <c r="W13" s="155">
        <f t="shared" si="7"/>
        <v>410.41</v>
      </c>
      <c r="X13" s="155">
        <f t="shared" si="8"/>
        <v>410.41</v>
      </c>
      <c r="Y13" s="155">
        <f t="shared" si="9"/>
        <v>4800</v>
      </c>
      <c r="Z13" s="92"/>
    </row>
    <row r="14" spans="1:26" s="93" customFormat="1" ht="96" customHeight="1" x14ac:dyDescent="0.3">
      <c r="A14" s="109"/>
      <c r="B14" s="148" t="s">
        <v>305</v>
      </c>
      <c r="C14" s="148" t="s">
        <v>115</v>
      </c>
      <c r="D14" s="190" t="s">
        <v>306</v>
      </c>
      <c r="E14" s="222">
        <v>44942</v>
      </c>
      <c r="F14" s="149" t="s">
        <v>135</v>
      </c>
      <c r="G14" s="151"/>
      <c r="H14" s="152"/>
      <c r="I14" s="153">
        <v>5210.41</v>
      </c>
      <c r="J14" s="154">
        <v>0</v>
      </c>
      <c r="K14" s="155">
        <f t="shared" si="18"/>
        <v>5210.41</v>
      </c>
      <c r="L14" s="156">
        <f t="shared" si="19"/>
        <v>0</v>
      </c>
      <c r="M14" s="156">
        <f t="shared" ref="M14:M15" si="32">I14+L14</f>
        <v>5210.41</v>
      </c>
      <c r="N14" s="156">
        <f t="shared" si="3"/>
        <v>3124.36</v>
      </c>
      <c r="O14" s="156">
        <f t="shared" ref="O14:O15" si="33">M14-N14</f>
        <v>2086.0499999999997</v>
      </c>
      <c r="P14" s="157">
        <f t="shared" si="4"/>
        <v>0.10879999999999999</v>
      </c>
      <c r="Q14" s="156">
        <f t="shared" ref="Q14:Q15" si="34">O14*P14</f>
        <v>226.96223999999995</v>
      </c>
      <c r="R14" s="158">
        <f t="shared" si="5"/>
        <v>183.45</v>
      </c>
      <c r="S14" s="156">
        <f t="shared" ref="S14:S15" si="35">Q14+R14</f>
        <v>410.41223999999994</v>
      </c>
      <c r="T14" s="156">
        <f t="shared" si="6"/>
        <v>0</v>
      </c>
      <c r="U14" s="156">
        <f t="shared" ref="U14:U15" si="36">ROUND(S14-T14,2)</f>
        <v>410.41</v>
      </c>
      <c r="V14" s="155">
        <f t="shared" ref="V14:V15" si="37">-IF(U14&gt;0,0,U14)</f>
        <v>0</v>
      </c>
      <c r="W14" s="155">
        <f t="shared" si="7"/>
        <v>410.41</v>
      </c>
      <c r="X14" s="155">
        <f t="shared" si="8"/>
        <v>410.41</v>
      </c>
      <c r="Y14" s="155">
        <f t="shared" si="9"/>
        <v>4800</v>
      </c>
      <c r="Z14" s="92"/>
    </row>
    <row r="15" spans="1:26" s="93" customFormat="1" ht="96" customHeight="1" x14ac:dyDescent="0.3">
      <c r="A15" s="109"/>
      <c r="B15" s="148" t="s">
        <v>307</v>
      </c>
      <c r="C15" s="148" t="s">
        <v>115</v>
      </c>
      <c r="D15" s="190" t="s">
        <v>308</v>
      </c>
      <c r="E15" s="222">
        <v>44942</v>
      </c>
      <c r="F15" s="149" t="s">
        <v>135</v>
      </c>
      <c r="G15" s="151"/>
      <c r="H15" s="152"/>
      <c r="I15" s="153">
        <v>5210.41</v>
      </c>
      <c r="J15" s="154">
        <v>0</v>
      </c>
      <c r="K15" s="155">
        <f t="shared" si="18"/>
        <v>5210.41</v>
      </c>
      <c r="L15" s="156">
        <f t="shared" si="19"/>
        <v>0</v>
      </c>
      <c r="M15" s="156">
        <f t="shared" si="32"/>
        <v>5210.41</v>
      </c>
      <c r="N15" s="156">
        <f t="shared" si="3"/>
        <v>3124.36</v>
      </c>
      <c r="O15" s="156">
        <f t="shared" si="33"/>
        <v>2086.0499999999997</v>
      </c>
      <c r="P15" s="157">
        <f t="shared" si="4"/>
        <v>0.10879999999999999</v>
      </c>
      <c r="Q15" s="156">
        <f t="shared" si="34"/>
        <v>226.96223999999995</v>
      </c>
      <c r="R15" s="158">
        <f t="shared" si="5"/>
        <v>183.45</v>
      </c>
      <c r="S15" s="156">
        <f t="shared" si="35"/>
        <v>410.41223999999994</v>
      </c>
      <c r="T15" s="156">
        <f t="shared" si="6"/>
        <v>0</v>
      </c>
      <c r="U15" s="156">
        <f t="shared" si="36"/>
        <v>410.41</v>
      </c>
      <c r="V15" s="155">
        <f t="shared" si="37"/>
        <v>0</v>
      </c>
      <c r="W15" s="155">
        <f t="shared" si="7"/>
        <v>410.41</v>
      </c>
      <c r="X15" s="155">
        <f t="shared" si="8"/>
        <v>410.41</v>
      </c>
      <c r="Y15" s="155">
        <f t="shared" si="9"/>
        <v>4800</v>
      </c>
      <c r="Z15" s="92"/>
    </row>
    <row r="16" spans="1:26" s="93" customFormat="1" ht="96" customHeight="1" x14ac:dyDescent="0.3">
      <c r="A16" s="109"/>
      <c r="B16" s="148" t="s">
        <v>352</v>
      </c>
      <c r="C16" s="148" t="s">
        <v>115</v>
      </c>
      <c r="D16" s="190" t="s">
        <v>346</v>
      </c>
      <c r="E16" s="222">
        <v>45112</v>
      </c>
      <c r="F16" s="149" t="s">
        <v>135</v>
      </c>
      <c r="G16" s="151"/>
      <c r="H16" s="152"/>
      <c r="I16" s="153">
        <v>5210.41</v>
      </c>
      <c r="J16" s="154">
        <v>300</v>
      </c>
      <c r="K16" s="155">
        <f t="shared" ref="K16" si="38">SUM(I16:J16)</f>
        <v>5510.41</v>
      </c>
      <c r="L16" s="156">
        <f t="shared" ref="L16" si="39">IF(I16/15&lt;=SMG,0,J16/2)</f>
        <v>150</v>
      </c>
      <c r="M16" s="156">
        <f t="shared" ref="M16" si="40">I16+L16</f>
        <v>5360.41</v>
      </c>
      <c r="N16" s="156">
        <f t="shared" ref="N16" si="41">VLOOKUP(M16,Tarifa1,1)</f>
        <v>3124.36</v>
      </c>
      <c r="O16" s="156">
        <f t="shared" ref="O16" si="42">M16-N16</f>
        <v>2236.0499999999997</v>
      </c>
      <c r="P16" s="157">
        <f t="shared" ref="P16" si="43">VLOOKUP(M16,Tarifa1,3)</f>
        <v>0.10879999999999999</v>
      </c>
      <c r="Q16" s="156">
        <f t="shared" ref="Q16" si="44">O16*P16</f>
        <v>243.28223999999994</v>
      </c>
      <c r="R16" s="158">
        <f t="shared" ref="R16" si="45">VLOOKUP(M16,Tarifa1,2)</f>
        <v>183.45</v>
      </c>
      <c r="S16" s="156">
        <f t="shared" ref="S16" si="46">Q16+R16</f>
        <v>426.73223999999993</v>
      </c>
      <c r="T16" s="156">
        <f t="shared" ref="T16" si="47">VLOOKUP(M16,Credito1,2)</f>
        <v>0</v>
      </c>
      <c r="U16" s="156">
        <f t="shared" ref="U16" si="48">ROUND(S16-T16,2)</f>
        <v>426.73</v>
      </c>
      <c r="V16" s="155">
        <f t="shared" ref="V16" si="49">-IF(U16&gt;0,0,U16)</f>
        <v>0</v>
      </c>
      <c r="W16" s="155">
        <f t="shared" ref="W16" si="50">IF(I16/15&lt;=SMG,0,IF(U16&lt;0,0,U16))</f>
        <v>426.73</v>
      </c>
      <c r="X16" s="155">
        <f t="shared" si="8"/>
        <v>426.73</v>
      </c>
      <c r="Y16" s="155">
        <f t="shared" si="9"/>
        <v>5083.68</v>
      </c>
      <c r="Z16" s="92"/>
    </row>
    <row r="17" spans="1:26" s="93" customFormat="1" ht="96" customHeight="1" x14ac:dyDescent="0.3">
      <c r="A17" s="109" t="s">
        <v>91</v>
      </c>
      <c r="B17" s="148" t="s">
        <v>138</v>
      </c>
      <c r="C17" s="148" t="s">
        <v>154</v>
      </c>
      <c r="D17" s="190" t="s">
        <v>134</v>
      </c>
      <c r="E17" s="222">
        <v>43101</v>
      </c>
      <c r="F17" s="150" t="s">
        <v>136</v>
      </c>
      <c r="G17" s="151">
        <v>15</v>
      </c>
      <c r="H17" s="152">
        <f>I17/G17</f>
        <v>345.66933333333333</v>
      </c>
      <c r="I17" s="153">
        <v>5185.04</v>
      </c>
      <c r="J17" s="154">
        <v>0</v>
      </c>
      <c r="K17" s="155">
        <f t="shared" si="18"/>
        <v>5185.04</v>
      </c>
      <c r="L17" s="156">
        <f t="shared" ref="L17" si="51">IF(I17/15&lt;=SMG,0,J17/2)</f>
        <v>0</v>
      </c>
      <c r="M17" s="156">
        <f t="shared" ref="M17" si="52">I17+L17</f>
        <v>5185.04</v>
      </c>
      <c r="N17" s="156">
        <f t="shared" si="3"/>
        <v>3124.36</v>
      </c>
      <c r="O17" s="156">
        <f t="shared" si="13"/>
        <v>2060.6799999999998</v>
      </c>
      <c r="P17" s="157">
        <f t="shared" si="4"/>
        <v>0.10879999999999999</v>
      </c>
      <c r="Q17" s="156">
        <f t="shared" si="14"/>
        <v>224.20198399999998</v>
      </c>
      <c r="R17" s="158">
        <f t="shared" si="5"/>
        <v>183.45</v>
      </c>
      <c r="S17" s="156">
        <f t="shared" si="15"/>
        <v>407.65198399999997</v>
      </c>
      <c r="T17" s="156">
        <f t="shared" si="6"/>
        <v>0</v>
      </c>
      <c r="U17" s="156">
        <f t="shared" si="16"/>
        <v>407.65</v>
      </c>
      <c r="V17" s="155">
        <f t="shared" si="17"/>
        <v>0</v>
      </c>
      <c r="W17" s="155">
        <f t="shared" si="7"/>
        <v>407.65</v>
      </c>
      <c r="X17" s="155">
        <f t="shared" si="8"/>
        <v>407.65</v>
      </c>
      <c r="Y17" s="155">
        <f t="shared" si="9"/>
        <v>4777.3900000000003</v>
      </c>
      <c r="Z17" s="92"/>
    </row>
    <row r="18" spans="1:26" s="93" customFormat="1" ht="96" customHeight="1" x14ac:dyDescent="0.3">
      <c r="A18" s="189"/>
      <c r="B18" s="148" t="s">
        <v>139</v>
      </c>
      <c r="C18" s="148" t="s">
        <v>115</v>
      </c>
      <c r="D18" s="190" t="s">
        <v>133</v>
      </c>
      <c r="E18" s="222">
        <v>43101</v>
      </c>
      <c r="F18" s="150" t="s">
        <v>136</v>
      </c>
      <c r="G18" s="151">
        <v>15</v>
      </c>
      <c r="H18" s="152">
        <f>I18/G18</f>
        <v>345.66933333333333</v>
      </c>
      <c r="I18" s="153">
        <v>5185.04</v>
      </c>
      <c r="J18" s="154">
        <v>0</v>
      </c>
      <c r="K18" s="155">
        <f t="shared" ref="K18" si="53">SUM(I18:J18)</f>
        <v>5185.04</v>
      </c>
      <c r="L18" s="156">
        <f t="shared" ref="L18" si="54">IF(I18/15&lt;=SMG,0,J18/2)</f>
        <v>0</v>
      </c>
      <c r="M18" s="156">
        <f t="shared" ref="M18" si="55">I18+L18</f>
        <v>5185.04</v>
      </c>
      <c r="N18" s="156">
        <f t="shared" ref="N18" si="56">VLOOKUP(M18,Tarifa1,1)</f>
        <v>3124.36</v>
      </c>
      <c r="O18" s="156">
        <f t="shared" ref="O18" si="57">M18-N18</f>
        <v>2060.6799999999998</v>
      </c>
      <c r="P18" s="157">
        <f t="shared" ref="P18" si="58">VLOOKUP(M18,Tarifa1,3)</f>
        <v>0.10879999999999999</v>
      </c>
      <c r="Q18" s="156">
        <f t="shared" ref="Q18" si="59">O18*P18</f>
        <v>224.20198399999998</v>
      </c>
      <c r="R18" s="158">
        <f t="shared" ref="R18" si="60">VLOOKUP(M18,Tarifa1,2)</f>
        <v>183.45</v>
      </c>
      <c r="S18" s="156">
        <f t="shared" ref="S18" si="61">Q18+R18</f>
        <v>407.65198399999997</v>
      </c>
      <c r="T18" s="156">
        <f t="shared" ref="T18" si="62">VLOOKUP(M18,Credito1,2)</f>
        <v>0</v>
      </c>
      <c r="U18" s="156">
        <f t="shared" ref="U18" si="63">ROUND(S18-T18,2)</f>
        <v>407.65</v>
      </c>
      <c r="V18" s="155">
        <f t="shared" ref="V18" si="64">-IF(U18&gt;0,0,U18)</f>
        <v>0</v>
      </c>
      <c r="W18" s="155">
        <f t="shared" ref="W18" si="65">IF(I18/15&lt;=SMG,0,IF(U18&lt;0,0,U18))</f>
        <v>407.65</v>
      </c>
      <c r="X18" s="155">
        <f t="shared" si="8"/>
        <v>407.65</v>
      </c>
      <c r="Y18" s="155">
        <f t="shared" si="9"/>
        <v>4777.3900000000003</v>
      </c>
      <c r="Z18" s="92"/>
    </row>
    <row r="19" spans="1:26" ht="40.5" customHeight="1" thickBot="1" x14ac:dyDescent="0.35">
      <c r="A19" s="284" t="s">
        <v>44</v>
      </c>
      <c r="B19" s="285"/>
      <c r="C19" s="285"/>
      <c r="D19" s="285"/>
      <c r="E19" s="285"/>
      <c r="F19" s="285"/>
      <c r="G19" s="285"/>
      <c r="H19" s="286"/>
      <c r="I19" s="159">
        <f>SUM(I9:I18)</f>
        <v>56947.040000000008</v>
      </c>
      <c r="J19" s="159">
        <f>SUM(J9:J18)</f>
        <v>1100</v>
      </c>
      <c r="K19" s="159">
        <f t="shared" ref="K19:V19" si="66">SUM(K10:K18)</f>
        <v>48500.04</v>
      </c>
      <c r="L19" s="160">
        <f t="shared" si="66"/>
        <v>550</v>
      </c>
      <c r="M19" s="160">
        <f t="shared" si="66"/>
        <v>47950.04</v>
      </c>
      <c r="N19" s="160">
        <f t="shared" si="66"/>
        <v>30485.640000000003</v>
      </c>
      <c r="O19" s="160">
        <f t="shared" si="66"/>
        <v>17464.399999999998</v>
      </c>
      <c r="P19" s="160">
        <f t="shared" si="66"/>
        <v>1.0304</v>
      </c>
      <c r="Q19" s="160">
        <f t="shared" si="66"/>
        <v>1927.0958079999998</v>
      </c>
      <c r="R19" s="160">
        <f t="shared" si="66"/>
        <v>1908.6000000000004</v>
      </c>
      <c r="S19" s="160">
        <f t="shared" si="66"/>
        <v>3835.6958079999999</v>
      </c>
      <c r="T19" s="160">
        <f t="shared" si="66"/>
        <v>0</v>
      </c>
      <c r="U19" s="160">
        <f t="shared" si="66"/>
        <v>3835.6800000000003</v>
      </c>
      <c r="V19" s="159">
        <f t="shared" si="66"/>
        <v>0</v>
      </c>
      <c r="W19" s="159">
        <f>SUM(W9:W18)</f>
        <v>5051.8599999999988</v>
      </c>
      <c r="X19" s="159">
        <f>SUM(X9:X18)</f>
        <v>5051.8599999999988</v>
      </c>
      <c r="Y19" s="159">
        <f>SUM(Y9:Y18)</f>
        <v>52995.18</v>
      </c>
    </row>
    <row r="20" spans="1:26" ht="18" thickTop="1" x14ac:dyDescent="0.3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</row>
    <row r="21" spans="1:26" ht="17.399999999999999" x14ac:dyDescent="0.3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6" ht="17.399999999999999" x14ac:dyDescent="0.3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</row>
  </sheetData>
  <mergeCells count="7">
    <mergeCell ref="A19:H19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5"/>
  <sheetViews>
    <sheetView tabSelected="1" topLeftCell="B1" zoomScale="78" zoomScaleNormal="78" workbookViewId="0">
      <pane ySplit="1" topLeftCell="A2" activePane="bottomLeft" state="frozen"/>
      <selection activeCell="B1" sqref="B1"/>
      <selection pane="bottomLeft" activeCell="B27" sqref="A27:XFD35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7" t="s">
        <v>76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25.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1" customFormat="1" ht="15.6" x14ac:dyDescent="0.3">
      <c r="A5" s="47"/>
      <c r="B5" s="119"/>
      <c r="C5" s="119"/>
      <c r="D5" s="119"/>
      <c r="E5" s="119"/>
      <c r="F5" s="266"/>
      <c r="G5" s="120" t="s">
        <v>22</v>
      </c>
      <c r="H5" s="269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52</v>
      </c>
      <c r="U5" s="121" t="s">
        <v>9</v>
      </c>
      <c r="V5" s="120" t="s">
        <v>52</v>
      </c>
      <c r="W5" s="295" t="s">
        <v>2</v>
      </c>
      <c r="X5" s="296"/>
      <c r="Y5" s="120" t="s">
        <v>0</v>
      </c>
      <c r="Z5" s="47"/>
    </row>
    <row r="6" spans="1:32" s="51" customFormat="1" ht="29.25" customHeight="1" x14ac:dyDescent="0.3">
      <c r="A6" s="52" t="s">
        <v>20</v>
      </c>
      <c r="B6" s="123" t="s">
        <v>101</v>
      </c>
      <c r="C6" s="123" t="s">
        <v>124</v>
      </c>
      <c r="D6" s="124" t="s">
        <v>21</v>
      </c>
      <c r="E6" s="124"/>
      <c r="F6" s="267"/>
      <c r="G6" s="272" t="s">
        <v>23</v>
      </c>
      <c r="H6" s="270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22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290</v>
      </c>
      <c r="X6" s="120" t="s">
        <v>6</v>
      </c>
      <c r="Y6" s="124" t="s">
        <v>3</v>
      </c>
      <c r="Z6" s="52" t="s">
        <v>56</v>
      </c>
    </row>
    <row r="7" spans="1:32" s="51" customFormat="1" ht="15.6" x14ac:dyDescent="0.3">
      <c r="A7" s="60"/>
      <c r="B7" s="126"/>
      <c r="C7" s="126"/>
      <c r="D7" s="127"/>
      <c r="E7" s="127"/>
      <c r="F7" s="268"/>
      <c r="G7" s="127"/>
      <c r="H7" s="271"/>
      <c r="I7" s="127" t="s">
        <v>46</v>
      </c>
      <c r="J7" s="127" t="s">
        <v>58</v>
      </c>
      <c r="K7" s="127" t="s">
        <v>28</v>
      </c>
      <c r="L7" s="128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121" t="s">
        <v>14</v>
      </c>
      <c r="S7" s="121" t="s">
        <v>38</v>
      </c>
      <c r="T7" s="125" t="s">
        <v>51</v>
      </c>
      <c r="U7" s="129" t="s">
        <v>213</v>
      </c>
      <c r="V7" s="127" t="s">
        <v>51</v>
      </c>
      <c r="W7" s="127"/>
      <c r="X7" s="127" t="s">
        <v>43</v>
      </c>
      <c r="Y7" s="127" t="s">
        <v>4</v>
      </c>
      <c r="Z7" s="57"/>
    </row>
    <row r="8" spans="1:32" s="51" customFormat="1" ht="43.5" customHeight="1" x14ac:dyDescent="0.3">
      <c r="A8" s="208"/>
      <c r="B8" s="226" t="s">
        <v>101</v>
      </c>
      <c r="C8" s="226" t="s">
        <v>124</v>
      </c>
      <c r="D8" s="227" t="s">
        <v>61</v>
      </c>
      <c r="E8" s="226" t="s">
        <v>310</v>
      </c>
      <c r="F8" s="208" t="s">
        <v>60</v>
      </c>
      <c r="G8" s="208"/>
      <c r="H8" s="208"/>
      <c r="I8" s="228">
        <f>SUM(I9:I11)</f>
        <v>47383</v>
      </c>
      <c r="J8" s="228">
        <f>SUM(J9:J11)</f>
        <v>0</v>
      </c>
      <c r="K8" s="228">
        <f>SUM(K9:K11)</f>
        <v>47383</v>
      </c>
      <c r="L8" s="208"/>
      <c r="M8" s="208"/>
      <c r="N8" s="208"/>
      <c r="O8" s="208"/>
      <c r="P8" s="208"/>
      <c r="Q8" s="208"/>
      <c r="R8" s="208"/>
      <c r="S8" s="208"/>
      <c r="T8" s="208"/>
      <c r="U8" s="229"/>
      <c r="V8" s="228">
        <f>SUM(V9:V11)</f>
        <v>2300</v>
      </c>
      <c r="W8" s="228">
        <f>SUM(W9:W11)</f>
        <v>8222.0499999999993</v>
      </c>
      <c r="X8" s="228">
        <f>SUM(X9:X11)</f>
        <v>8222.0499999999993</v>
      </c>
      <c r="Y8" s="228" t="e">
        <f>SUM(Y9:Y11)</f>
        <v>#REF!</v>
      </c>
      <c r="Z8" s="63"/>
    </row>
    <row r="9" spans="1:32" s="51" customFormat="1" ht="102.75" customHeight="1" x14ac:dyDescent="0.35">
      <c r="A9" s="148" t="s">
        <v>83</v>
      </c>
      <c r="B9" s="147" t="s">
        <v>206</v>
      </c>
      <c r="C9" s="148" t="s">
        <v>115</v>
      </c>
      <c r="D9" s="212" t="s">
        <v>207</v>
      </c>
      <c r="E9" s="217">
        <v>43374</v>
      </c>
      <c r="F9" s="150" t="s">
        <v>208</v>
      </c>
      <c r="G9" s="151">
        <v>15</v>
      </c>
      <c r="H9" s="152">
        <v>1677.25</v>
      </c>
      <c r="I9" s="153">
        <v>27705</v>
      </c>
      <c r="J9" s="154">
        <v>0</v>
      </c>
      <c r="K9" s="155">
        <f>SUM(I9:J9)</f>
        <v>27705</v>
      </c>
      <c r="L9" s="156">
        <f>IF(I9/15&lt;=SMG,0,J9/2)</f>
        <v>0</v>
      </c>
      <c r="M9" s="156">
        <f>I9+L9</f>
        <v>27705</v>
      </c>
      <c r="N9" s="156">
        <f>VLOOKUP(M9,Tarifa1,1)</f>
        <v>24292.66</v>
      </c>
      <c r="O9" s="156">
        <f>M9-N9</f>
        <v>3412.34</v>
      </c>
      <c r="P9" s="157">
        <f>VLOOKUP(M9,Tarifa1,3)</f>
        <v>0.3</v>
      </c>
      <c r="Q9" s="156">
        <f>O9*P9</f>
        <v>1023.702</v>
      </c>
      <c r="R9" s="158">
        <f>VLOOKUP(M9,Tarifa1,2)</f>
        <v>4557.75</v>
      </c>
      <c r="S9" s="156">
        <f>Q9+R9</f>
        <v>5581.4520000000002</v>
      </c>
      <c r="T9" s="156">
        <f>VLOOKUP(M9,Credito1,2)</f>
        <v>0</v>
      </c>
      <c r="U9" s="156">
        <f>ROUND(S9-T9,2)</f>
        <v>5581.45</v>
      </c>
      <c r="V9" s="155">
        <f>-IF(U9&gt;0,0,U9)</f>
        <v>0</v>
      </c>
      <c r="W9" s="155">
        <f>IF(I9/15&lt;=SMG,0,IF(U9&lt;0,0,U9))</f>
        <v>5581.45</v>
      </c>
      <c r="X9" s="155">
        <f>SUM(W9:W9)</f>
        <v>5581.45</v>
      </c>
      <c r="Y9" s="155">
        <f>K9+V9-X9</f>
        <v>22123.55</v>
      </c>
      <c r="Z9" s="58"/>
    </row>
    <row r="10" spans="1:32" s="51" customFormat="1" ht="102.75" customHeight="1" x14ac:dyDescent="0.35">
      <c r="A10" s="148" t="s">
        <v>84</v>
      </c>
      <c r="B10" s="147" t="s">
        <v>160</v>
      </c>
      <c r="C10" s="148" t="s">
        <v>115</v>
      </c>
      <c r="D10" s="212" t="s">
        <v>151</v>
      </c>
      <c r="E10" s="217">
        <v>43101</v>
      </c>
      <c r="F10" s="150" t="s">
        <v>209</v>
      </c>
      <c r="G10" s="151">
        <v>15</v>
      </c>
      <c r="H10" s="152">
        <v>850.15</v>
      </c>
      <c r="I10" s="153">
        <v>14043</v>
      </c>
      <c r="J10" s="154">
        <v>0</v>
      </c>
      <c r="K10" s="155">
        <f>SUM(I10:J10)</f>
        <v>14043</v>
      </c>
      <c r="L10" s="156">
        <f>IF(I10/15&lt;=SMG,0,J10/2)</f>
        <v>0</v>
      </c>
      <c r="M10" s="156">
        <f t="shared" ref="M10" si="0">I10+L10</f>
        <v>14043</v>
      </c>
      <c r="N10" s="156">
        <f>VLOOKUP(M10,Tarifa1,1)</f>
        <v>7641.91</v>
      </c>
      <c r="O10" s="156">
        <f t="shared" ref="O10" si="1">M10-N10</f>
        <v>6401.09</v>
      </c>
      <c r="P10" s="157">
        <f>VLOOKUP(M10,Tarifa1,3)</f>
        <v>0.21360000000000001</v>
      </c>
      <c r="Q10" s="156">
        <f t="shared" ref="Q10" si="2">O10*P10</f>
        <v>1367.2728240000001</v>
      </c>
      <c r="R10" s="158">
        <f>VLOOKUP(M10,Tarifa1,2)</f>
        <v>809.25</v>
      </c>
      <c r="S10" s="156">
        <f t="shared" ref="S10" si="3">Q10+R10</f>
        <v>2176.5228240000001</v>
      </c>
      <c r="T10" s="156">
        <f>VLOOKUP(M10,Credito1,2)</f>
        <v>0</v>
      </c>
      <c r="U10" s="156">
        <f t="shared" ref="U10" si="4">ROUND(S10-T10,2)</f>
        <v>2176.52</v>
      </c>
      <c r="V10" s="155">
        <v>1500</v>
      </c>
      <c r="W10" s="155">
        <f>IF(I10/15&lt;=SMG,0,IF(U10&lt;0,0,U10))</f>
        <v>2176.52</v>
      </c>
      <c r="X10" s="155">
        <f>SUM(W10:W10)</f>
        <v>2176.52</v>
      </c>
      <c r="Y10" s="155" t="e">
        <f>K10+V10-X10-#REF!</f>
        <v>#REF!</v>
      </c>
      <c r="Z10" s="58"/>
      <c r="AF10" s="59"/>
    </row>
    <row r="11" spans="1:32" s="51" customFormat="1" ht="102.75" customHeight="1" x14ac:dyDescent="0.35">
      <c r="A11" s="148"/>
      <c r="B11" s="148" t="s">
        <v>107</v>
      </c>
      <c r="C11" s="147" t="s">
        <v>115</v>
      </c>
      <c r="D11" s="212" t="s">
        <v>64</v>
      </c>
      <c r="E11" s="217">
        <v>40026</v>
      </c>
      <c r="F11" s="149" t="s">
        <v>62</v>
      </c>
      <c r="G11" s="151">
        <v>15</v>
      </c>
      <c r="H11" s="152">
        <v>341.11</v>
      </c>
      <c r="I11" s="153">
        <v>5635</v>
      </c>
      <c r="J11" s="154">
        <v>0</v>
      </c>
      <c r="K11" s="155">
        <f>SUM(I11:J11)</f>
        <v>5635</v>
      </c>
      <c r="L11" s="156">
        <f>IF(I11/15&lt;=SMG,0,J11/2)</f>
        <v>0</v>
      </c>
      <c r="M11" s="156">
        <f t="shared" ref="M11" si="5">I11+L11</f>
        <v>5635</v>
      </c>
      <c r="N11" s="156">
        <f>VLOOKUP(M11,Tarifa1,1)</f>
        <v>5490.76</v>
      </c>
      <c r="O11" s="156">
        <f t="shared" ref="O11" si="6">M11-N11</f>
        <v>144.23999999999978</v>
      </c>
      <c r="P11" s="157">
        <f>VLOOKUP(M11,Tarifa1,3)</f>
        <v>0.16</v>
      </c>
      <c r="Q11" s="156">
        <f t="shared" ref="Q11" si="7">O11*P11</f>
        <v>23.078399999999966</v>
      </c>
      <c r="R11" s="158">
        <f>VLOOKUP(M11,Tarifa1,2)</f>
        <v>441</v>
      </c>
      <c r="S11" s="156">
        <f t="shared" ref="S11" si="8">Q11+R11</f>
        <v>464.07839999999999</v>
      </c>
      <c r="T11" s="156">
        <f>VLOOKUP(M11,Credito1,2)</f>
        <v>0</v>
      </c>
      <c r="U11" s="156">
        <f t="shared" ref="U11" si="9">ROUND(S11-T11,2)</f>
        <v>464.08</v>
      </c>
      <c r="V11" s="155">
        <v>800</v>
      </c>
      <c r="W11" s="155">
        <f>IF(I11/15&lt;=SMG,0,IF(U11&lt;0,0,U11))</f>
        <v>464.08</v>
      </c>
      <c r="X11" s="155">
        <f>SUM(W11:W11)</f>
        <v>464.08</v>
      </c>
      <c r="Y11" s="155" t="e">
        <f>K11+V11-X11-#REF!</f>
        <v>#REF!</v>
      </c>
      <c r="Z11" s="58"/>
      <c r="AF11" s="59"/>
    </row>
    <row r="12" spans="1:32" s="51" customFormat="1" ht="44.25" customHeight="1" x14ac:dyDescent="0.3">
      <c r="A12" s="148"/>
      <c r="B12" s="226" t="s">
        <v>101</v>
      </c>
      <c r="C12" s="226" t="s">
        <v>124</v>
      </c>
      <c r="D12" s="241" t="s">
        <v>119</v>
      </c>
      <c r="E12" s="226" t="s">
        <v>310</v>
      </c>
      <c r="F12" s="208" t="s">
        <v>60</v>
      </c>
      <c r="G12" s="208"/>
      <c r="H12" s="208"/>
      <c r="I12" s="228">
        <f>SUM(I13)</f>
        <v>6309</v>
      </c>
      <c r="J12" s="228">
        <f>SUM(J13)</f>
        <v>0</v>
      </c>
      <c r="K12" s="228">
        <f>SUM(K13)</f>
        <v>6309</v>
      </c>
      <c r="L12" s="208"/>
      <c r="M12" s="208"/>
      <c r="N12" s="208"/>
      <c r="O12" s="208"/>
      <c r="P12" s="208"/>
      <c r="Q12" s="208"/>
      <c r="R12" s="230"/>
      <c r="S12" s="208"/>
      <c r="T12" s="208"/>
      <c r="U12" s="229"/>
      <c r="V12" s="228">
        <f>SUM(V13)</f>
        <v>0</v>
      </c>
      <c r="W12" s="228">
        <f>SUM(W13)</f>
        <v>571.91999999999996</v>
      </c>
      <c r="X12" s="228">
        <f>SUM(X13)</f>
        <v>571.91999999999996</v>
      </c>
      <c r="Y12" s="228">
        <f>SUM(Y13)</f>
        <v>5737.08</v>
      </c>
      <c r="Z12" s="63"/>
      <c r="AF12" s="59"/>
    </row>
    <row r="13" spans="1:32" s="51" customFormat="1" ht="102.75" customHeight="1" x14ac:dyDescent="0.35">
      <c r="A13" s="148" t="s">
        <v>85</v>
      </c>
      <c r="B13" s="148" t="s">
        <v>276</v>
      </c>
      <c r="C13" s="147" t="s">
        <v>115</v>
      </c>
      <c r="D13" s="212" t="s">
        <v>270</v>
      </c>
      <c r="E13" s="217">
        <v>44743</v>
      </c>
      <c r="F13" s="150" t="s">
        <v>97</v>
      </c>
      <c r="G13" s="151">
        <v>15</v>
      </c>
      <c r="H13" s="152">
        <v>381.95</v>
      </c>
      <c r="I13" s="153">
        <v>6309</v>
      </c>
      <c r="J13" s="154">
        <v>0</v>
      </c>
      <c r="K13" s="155">
        <f>I13</f>
        <v>6309</v>
      </c>
      <c r="L13" s="156">
        <f>IF(I13/15&lt;=SMG,0,J13/2)</f>
        <v>0</v>
      </c>
      <c r="M13" s="156">
        <f t="shared" ref="M13" si="10">I13+L13</f>
        <v>6309</v>
      </c>
      <c r="N13" s="156">
        <f>VLOOKUP(M13,Tarifa1,1)</f>
        <v>5490.76</v>
      </c>
      <c r="O13" s="156">
        <f t="shared" ref="O13" si="11">M13-N13</f>
        <v>818.23999999999978</v>
      </c>
      <c r="P13" s="157">
        <f>VLOOKUP(M13,Tarifa1,3)</f>
        <v>0.16</v>
      </c>
      <c r="Q13" s="156">
        <f t="shared" ref="Q13" si="12">O13*P13</f>
        <v>130.91839999999996</v>
      </c>
      <c r="R13" s="158">
        <f>VLOOKUP(M13,Tarifa1,2)</f>
        <v>441</v>
      </c>
      <c r="S13" s="156">
        <f t="shared" ref="S13" si="13">Q13+R13</f>
        <v>571.91840000000002</v>
      </c>
      <c r="T13" s="156">
        <f>VLOOKUP(M13,Credito1,2)</f>
        <v>0</v>
      </c>
      <c r="U13" s="156">
        <f t="shared" ref="U13" si="14">ROUND(S13-T13,2)</f>
        <v>571.91999999999996</v>
      </c>
      <c r="V13" s="155">
        <f>-IF(U13&gt;0,0,U13)</f>
        <v>0</v>
      </c>
      <c r="W13" s="155">
        <f>IF(I13/15&lt;=SMG,0,IF(U13&lt;0,0,U13))</f>
        <v>571.91999999999996</v>
      </c>
      <c r="X13" s="155">
        <f>SUM(W13:W13)</f>
        <v>571.91999999999996</v>
      </c>
      <c r="Y13" s="155">
        <f>K13+V13-X13</f>
        <v>5737.08</v>
      </c>
      <c r="Z13" s="58"/>
      <c r="AF13" s="59"/>
    </row>
    <row r="14" spans="1:32" s="51" customFormat="1" ht="44.25" customHeight="1" x14ac:dyDescent="0.3">
      <c r="A14" s="148"/>
      <c r="B14" s="226" t="s">
        <v>101</v>
      </c>
      <c r="C14" s="226" t="s">
        <v>124</v>
      </c>
      <c r="D14" s="227" t="s">
        <v>120</v>
      </c>
      <c r="E14" s="226" t="s">
        <v>310</v>
      </c>
      <c r="F14" s="208" t="s">
        <v>60</v>
      </c>
      <c r="G14" s="208"/>
      <c r="H14" s="208"/>
      <c r="I14" s="228">
        <v>4896.5</v>
      </c>
      <c r="J14" s="228">
        <f>SUM(J15)</f>
        <v>0</v>
      </c>
      <c r="K14" s="228">
        <f>SUM(K15)</f>
        <v>5043</v>
      </c>
      <c r="L14" s="208"/>
      <c r="M14" s="208"/>
      <c r="N14" s="208"/>
      <c r="O14" s="208"/>
      <c r="P14" s="208"/>
      <c r="Q14" s="208"/>
      <c r="R14" s="230"/>
      <c r="S14" s="208"/>
      <c r="T14" s="208"/>
      <c r="U14" s="229"/>
      <c r="V14" s="228">
        <f>SUM(V15)</f>
        <v>0</v>
      </c>
      <c r="W14" s="228">
        <f>SUM(W15)</f>
        <v>392.2</v>
      </c>
      <c r="X14" s="228">
        <f>SUM(X15)</f>
        <v>392.2</v>
      </c>
      <c r="Y14" s="228">
        <f>SUM(Y15)</f>
        <v>4650.8</v>
      </c>
      <c r="Z14" s="63"/>
      <c r="AF14" s="59"/>
    </row>
    <row r="15" spans="1:32" s="51" customFormat="1" ht="102.75" customHeight="1" x14ac:dyDescent="0.35">
      <c r="A15" s="148" t="s">
        <v>87</v>
      </c>
      <c r="B15" s="148" t="s">
        <v>217</v>
      </c>
      <c r="C15" s="148" t="s">
        <v>115</v>
      </c>
      <c r="D15" s="212" t="s">
        <v>233</v>
      </c>
      <c r="E15" s="217">
        <v>44470</v>
      </c>
      <c r="F15" s="150" t="s">
        <v>274</v>
      </c>
      <c r="G15" s="151">
        <v>15</v>
      </c>
      <c r="H15" s="152">
        <v>305.35000000000002</v>
      </c>
      <c r="I15" s="153">
        <v>5043</v>
      </c>
      <c r="J15" s="154">
        <v>0</v>
      </c>
      <c r="K15" s="155">
        <f>SUM(I15:J15)</f>
        <v>5043</v>
      </c>
      <c r="L15" s="156">
        <f>IF(I15/15&lt;=SMG,0,J15/2)</f>
        <v>0</v>
      </c>
      <c r="M15" s="156">
        <f t="shared" ref="M15" si="15">I15+L15</f>
        <v>5043</v>
      </c>
      <c r="N15" s="156">
        <f>VLOOKUP(M15,Tarifa1,1)</f>
        <v>3124.36</v>
      </c>
      <c r="O15" s="156">
        <f t="shared" ref="O15" si="16">M15-N15</f>
        <v>1918.6399999999999</v>
      </c>
      <c r="P15" s="157">
        <f>VLOOKUP(M15,Tarifa1,3)</f>
        <v>0.10879999999999999</v>
      </c>
      <c r="Q15" s="156">
        <f t="shared" ref="Q15" si="17">O15*P15</f>
        <v>208.74803199999997</v>
      </c>
      <c r="R15" s="158">
        <f>VLOOKUP(M15,Tarifa1,2)</f>
        <v>183.45</v>
      </c>
      <c r="S15" s="156">
        <f t="shared" ref="S15" si="18">Q15+R15</f>
        <v>392.19803199999996</v>
      </c>
      <c r="T15" s="156">
        <f>VLOOKUP(M15,Credito1,2)</f>
        <v>0</v>
      </c>
      <c r="U15" s="156">
        <f t="shared" ref="U15" si="19">ROUND(S15-T15,2)</f>
        <v>392.2</v>
      </c>
      <c r="V15" s="155">
        <f t="shared" ref="V15" si="20">-IF(U15&gt;0,0,U15)</f>
        <v>0</v>
      </c>
      <c r="W15" s="155">
        <f>IF(I15/15&lt;=SMG,0,IF(U15&lt;0,0,U15))</f>
        <v>392.2</v>
      </c>
      <c r="X15" s="155">
        <f>SUM(W15:W15)</f>
        <v>392.2</v>
      </c>
      <c r="Y15" s="155">
        <f>K15+V15-X15</f>
        <v>4650.8</v>
      </c>
      <c r="Z15" s="58"/>
      <c r="AF15" s="64"/>
    </row>
    <row r="16" spans="1:32" s="51" customFormat="1" ht="43.5" customHeight="1" x14ac:dyDescent="0.3">
      <c r="A16" s="148"/>
      <c r="B16" s="226" t="s">
        <v>101</v>
      </c>
      <c r="C16" s="226" t="s">
        <v>124</v>
      </c>
      <c r="D16" s="227" t="s">
        <v>121</v>
      </c>
      <c r="E16" s="226" t="s">
        <v>310</v>
      </c>
      <c r="F16" s="208" t="s">
        <v>60</v>
      </c>
      <c r="G16" s="208"/>
      <c r="H16" s="208"/>
      <c r="I16" s="228">
        <f>SUM(I17:I18)</f>
        <v>14516.91</v>
      </c>
      <c r="J16" s="228">
        <f>SUM(J17:J18)</f>
        <v>0</v>
      </c>
      <c r="K16" s="228">
        <f>SUM(K17:K18)</f>
        <v>14516.91</v>
      </c>
      <c r="L16" s="208"/>
      <c r="M16" s="208"/>
      <c r="N16" s="208"/>
      <c r="O16" s="208"/>
      <c r="P16" s="208"/>
      <c r="Q16" s="208"/>
      <c r="R16" s="230"/>
      <c r="S16" s="208"/>
      <c r="T16" s="208"/>
      <c r="U16" s="229"/>
      <c r="V16" s="228">
        <f>SUM(V17:V18)</f>
        <v>0</v>
      </c>
      <c r="W16" s="228">
        <f>SUM(W17:W18)</f>
        <v>1716.3300000000002</v>
      </c>
      <c r="X16" s="228">
        <f>SUM(X17:X18)</f>
        <v>1716.3300000000002</v>
      </c>
      <c r="Y16" s="228">
        <f>SUM(Y17:Y18)</f>
        <v>12800.58</v>
      </c>
      <c r="Z16" s="63"/>
      <c r="AF16" s="64"/>
    </row>
    <row r="17" spans="1:3223" s="51" customFormat="1" ht="102.75" customHeight="1" x14ac:dyDescent="0.35">
      <c r="A17" s="148" t="s">
        <v>88</v>
      </c>
      <c r="B17" s="147" t="s">
        <v>156</v>
      </c>
      <c r="C17" s="148" t="s">
        <v>115</v>
      </c>
      <c r="D17" s="212" t="s">
        <v>141</v>
      </c>
      <c r="E17" s="217">
        <v>43374</v>
      </c>
      <c r="F17" s="150" t="s">
        <v>81</v>
      </c>
      <c r="G17" s="151">
        <v>15</v>
      </c>
      <c r="H17" s="152">
        <v>625.85200000000009</v>
      </c>
      <c r="I17" s="153">
        <v>10653</v>
      </c>
      <c r="J17" s="154">
        <v>0</v>
      </c>
      <c r="K17" s="155">
        <f>I17</f>
        <v>10653</v>
      </c>
      <c r="L17" s="156">
        <f>IF(I17/15&lt;=SMG,0,J17/2)</f>
        <v>0</v>
      </c>
      <c r="M17" s="156">
        <f t="shared" ref="M17:M18" si="21">I17+L17</f>
        <v>10653</v>
      </c>
      <c r="N17" s="156">
        <f>VLOOKUP(M17,Tarifa1,1)</f>
        <v>7641.91</v>
      </c>
      <c r="O17" s="156">
        <f t="shared" ref="O17:O18" si="22">M17-N17</f>
        <v>3011.09</v>
      </c>
      <c r="P17" s="157">
        <f>VLOOKUP(M17,Tarifa1,3)</f>
        <v>0.21360000000000001</v>
      </c>
      <c r="Q17" s="156">
        <f t="shared" ref="Q17:Q18" si="23">O17*P17</f>
        <v>643.16882400000009</v>
      </c>
      <c r="R17" s="158">
        <f>VLOOKUP(M17,Tarifa1,2)</f>
        <v>809.25</v>
      </c>
      <c r="S17" s="156">
        <f t="shared" ref="S17:S18" si="24">Q17+R17</f>
        <v>1452.4188240000001</v>
      </c>
      <c r="T17" s="156">
        <f>VLOOKUP(M17,Credito1,2)</f>
        <v>0</v>
      </c>
      <c r="U17" s="156">
        <f t="shared" ref="U17:U18" si="25">ROUND(S17-T17,2)</f>
        <v>1452.42</v>
      </c>
      <c r="V17" s="155">
        <f t="shared" ref="V17:V18" si="26">-IF(U17&gt;0,0,U17)</f>
        <v>0</v>
      </c>
      <c r="W17" s="155">
        <f>IF(I17/15&lt;=SMG,0,IF(U17&lt;0,0,U17))</f>
        <v>1452.42</v>
      </c>
      <c r="X17" s="155">
        <f>SUM(W17:W17)</f>
        <v>1452.42</v>
      </c>
      <c r="Y17" s="155">
        <f>K17+V17-X17</f>
        <v>9200.58</v>
      </c>
      <c r="Z17" s="58"/>
      <c r="AF17" s="64"/>
    </row>
    <row r="18" spans="1:3223" s="51" customFormat="1" ht="102.75" customHeight="1" x14ac:dyDescent="0.35">
      <c r="A18" s="265"/>
      <c r="B18" s="252" t="s">
        <v>312</v>
      </c>
      <c r="C18" s="161" t="s">
        <v>115</v>
      </c>
      <c r="D18" s="257" t="s">
        <v>314</v>
      </c>
      <c r="E18" s="253">
        <v>44991</v>
      </c>
      <c r="F18" s="254" t="s">
        <v>62</v>
      </c>
      <c r="G18" s="255">
        <v>10</v>
      </c>
      <c r="H18" s="256"/>
      <c r="I18" s="153">
        <v>3863.91</v>
      </c>
      <c r="J18" s="154">
        <v>0</v>
      </c>
      <c r="K18" s="155">
        <f>SUM(I18:J18)</f>
        <v>3863.91</v>
      </c>
      <c r="L18" s="156">
        <f>IF(I18/15&lt;=SMG,0,J18/2)</f>
        <v>0</v>
      </c>
      <c r="M18" s="156">
        <f t="shared" si="21"/>
        <v>3863.91</v>
      </c>
      <c r="N18" s="156">
        <f>VLOOKUP(M18,Tarifa1,1)</f>
        <v>3124.36</v>
      </c>
      <c r="O18" s="156">
        <f t="shared" si="22"/>
        <v>739.54999999999973</v>
      </c>
      <c r="P18" s="157">
        <f>VLOOKUP(M18,Tarifa1,3)</f>
        <v>0.10879999999999999</v>
      </c>
      <c r="Q18" s="156">
        <f t="shared" si="23"/>
        <v>80.463039999999964</v>
      </c>
      <c r="R18" s="158">
        <f>VLOOKUP(M18,Tarifa1,2)</f>
        <v>183.45</v>
      </c>
      <c r="S18" s="156">
        <f t="shared" si="24"/>
        <v>263.91303999999997</v>
      </c>
      <c r="T18" s="156">
        <f>VLOOKUP(M18,Credito1,2)</f>
        <v>0</v>
      </c>
      <c r="U18" s="156">
        <f t="shared" si="25"/>
        <v>263.91000000000003</v>
      </c>
      <c r="V18" s="155">
        <f t="shared" si="26"/>
        <v>0</v>
      </c>
      <c r="W18" s="155">
        <f>IF(I18/15&lt;=SMG,0,IF(U18&lt;0,0,U18))</f>
        <v>263.91000000000003</v>
      </c>
      <c r="X18" s="155">
        <f>SUM(W18:W18)</f>
        <v>263.91000000000003</v>
      </c>
      <c r="Y18" s="155">
        <f>K18+V18-X18</f>
        <v>3600</v>
      </c>
      <c r="Z18" s="56"/>
      <c r="AF18" s="64"/>
    </row>
    <row r="19" spans="1:3223" s="66" customFormat="1" ht="42" customHeight="1" x14ac:dyDescent="0.3">
      <c r="A19" s="148"/>
      <c r="B19" s="192" t="s">
        <v>101</v>
      </c>
      <c r="C19" s="192" t="s">
        <v>124</v>
      </c>
      <c r="D19" s="192" t="s">
        <v>122</v>
      </c>
      <c r="E19" s="192" t="s">
        <v>310</v>
      </c>
      <c r="F19" s="243" t="s">
        <v>60</v>
      </c>
      <c r="G19" s="243"/>
      <c r="H19" s="208"/>
      <c r="I19" s="228">
        <f>SUM(I20:I20)</f>
        <v>2954</v>
      </c>
      <c r="J19" s="228">
        <f>SUM(J20:J20)</f>
        <v>0</v>
      </c>
      <c r="K19" s="228">
        <f>SUM(K20:K20)</f>
        <v>2954</v>
      </c>
      <c r="L19" s="208"/>
      <c r="M19" s="208"/>
      <c r="N19" s="208"/>
      <c r="O19" s="208"/>
      <c r="P19" s="208"/>
      <c r="Q19" s="208"/>
      <c r="R19" s="230"/>
      <c r="S19" s="208"/>
      <c r="T19" s="208"/>
      <c r="U19" s="229"/>
      <c r="V19" s="228">
        <f>SUM(V20:V20)</f>
        <v>0</v>
      </c>
      <c r="W19" s="228">
        <f>SUM(W20:W20)</f>
        <v>0</v>
      </c>
      <c r="X19" s="228">
        <f>SUM(X20:X20)</f>
        <v>0</v>
      </c>
      <c r="Y19" s="228">
        <f>SUM(Y20:Y20)</f>
        <v>2954</v>
      </c>
      <c r="Z19" s="63"/>
      <c r="AA19" s="87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</row>
    <row r="20" spans="1:3223" s="66" customFormat="1" ht="102.75" customHeight="1" x14ac:dyDescent="0.35">
      <c r="A20" s="232"/>
      <c r="B20" s="148" t="s">
        <v>109</v>
      </c>
      <c r="C20" s="148" t="s">
        <v>115</v>
      </c>
      <c r="D20" s="214" t="s">
        <v>92</v>
      </c>
      <c r="E20" s="217">
        <v>42171</v>
      </c>
      <c r="F20" s="165" t="s">
        <v>148</v>
      </c>
      <c r="G20" s="163">
        <v>15</v>
      </c>
      <c r="H20" s="152">
        <v>178.81533333333334</v>
      </c>
      <c r="I20" s="153">
        <v>2954</v>
      </c>
      <c r="J20" s="154">
        <v>0</v>
      </c>
      <c r="K20" s="155">
        <f t="shared" ref="K20" si="27">SUM(I20:J20)</f>
        <v>2954</v>
      </c>
      <c r="L20" s="156">
        <f t="shared" ref="L20" si="28">IF(I20/15&lt;=SMG,0,J20/2)</f>
        <v>0</v>
      </c>
      <c r="M20" s="156">
        <f t="shared" ref="M20" si="29">I20+L20</f>
        <v>2954</v>
      </c>
      <c r="N20" s="156">
        <f>VLOOKUP(M20,Tarifa1,1)</f>
        <v>368.11</v>
      </c>
      <c r="O20" s="156">
        <f t="shared" ref="O20" si="30">M20-N20</f>
        <v>2585.89</v>
      </c>
      <c r="P20" s="157">
        <f>VLOOKUP(M20,Tarifa1,3)</f>
        <v>6.4000000000000001E-2</v>
      </c>
      <c r="Q20" s="156">
        <f t="shared" ref="Q20" si="31">O20*P20</f>
        <v>165.49696</v>
      </c>
      <c r="R20" s="158">
        <f>VLOOKUP(M20,Tarifa1,2)</f>
        <v>7.05</v>
      </c>
      <c r="S20" s="156">
        <f t="shared" ref="S20" si="32">Q20+R20</f>
        <v>172.54696000000001</v>
      </c>
      <c r="T20" s="156">
        <f>VLOOKUP(M20,Credito1,2)</f>
        <v>145.35</v>
      </c>
      <c r="U20" s="156">
        <f t="shared" ref="U20" si="33">ROUND(S20-T20,2)</f>
        <v>27.2</v>
      </c>
      <c r="V20" s="155">
        <f t="shared" ref="V20" si="34">-IF(U20&gt;0,0,U20)</f>
        <v>0</v>
      </c>
      <c r="W20" s="164">
        <f>IF(I20/15&lt;=SMG,0,IF(U20&lt;0,0,U20))</f>
        <v>0</v>
      </c>
      <c r="X20" s="155">
        <f>SUM(W20:W20)</f>
        <v>0</v>
      </c>
      <c r="Y20" s="164">
        <f>K20+V20-X20</f>
        <v>2954</v>
      </c>
      <c r="Z20" s="65"/>
      <c r="AA20" s="87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</row>
    <row r="21" spans="1:3223" s="51" customFormat="1" ht="21.75" customHeight="1" x14ac:dyDescent="0.3">
      <c r="A21" s="232"/>
      <c r="B21" s="233"/>
      <c r="C21" s="233"/>
      <c r="D21" s="234"/>
      <c r="E21" s="234"/>
      <c r="F21" s="234"/>
      <c r="G21" s="191"/>
      <c r="H21" s="235"/>
      <c r="I21" s="236"/>
      <c r="J21" s="237"/>
      <c r="K21" s="238"/>
      <c r="L21" s="239"/>
      <c r="M21" s="239"/>
      <c r="N21" s="239"/>
      <c r="O21" s="239"/>
      <c r="P21" s="240"/>
      <c r="Q21" s="239"/>
      <c r="R21" s="239"/>
      <c r="S21" s="239"/>
      <c r="T21" s="239"/>
      <c r="U21" s="239"/>
      <c r="V21" s="238"/>
      <c r="W21" s="238"/>
      <c r="X21" s="238"/>
      <c r="Y21" s="238"/>
      <c r="Z21" s="58"/>
    </row>
    <row r="22" spans="1:3223" s="51" customFormat="1" ht="41.25" customHeight="1" thickBot="1" x14ac:dyDescent="0.35">
      <c r="A22" s="284" t="s">
        <v>44</v>
      </c>
      <c r="B22" s="285"/>
      <c r="C22" s="285"/>
      <c r="D22" s="285"/>
      <c r="E22" s="285"/>
      <c r="F22" s="285"/>
      <c r="G22" s="285"/>
      <c r="H22" s="286"/>
      <c r="I22" s="159">
        <f>I8+I12+I14+I16+I19</f>
        <v>76059.41</v>
      </c>
      <c r="J22" s="159">
        <f>J8+J12+J14+J16+J19</f>
        <v>0</v>
      </c>
      <c r="K22" s="159">
        <f>K8+K12+K14+K16+K19</f>
        <v>76205.91</v>
      </c>
      <c r="L22" s="160">
        <f t="shared" ref="L22:U22" si="35">SUM(L9:L20)</f>
        <v>0</v>
      </c>
      <c r="M22" s="160">
        <f t="shared" si="35"/>
        <v>76205.91</v>
      </c>
      <c r="N22" s="160">
        <f t="shared" si="35"/>
        <v>57174.83</v>
      </c>
      <c r="O22" s="160">
        <f t="shared" si="35"/>
        <v>19031.079999999998</v>
      </c>
      <c r="P22" s="160">
        <f t="shared" si="35"/>
        <v>1.3288000000000002</v>
      </c>
      <c r="Q22" s="160">
        <f t="shared" si="35"/>
        <v>3642.8484799999997</v>
      </c>
      <c r="R22" s="160">
        <f t="shared" si="35"/>
        <v>7432.2</v>
      </c>
      <c r="S22" s="160">
        <f t="shared" si="35"/>
        <v>11075.048480000001</v>
      </c>
      <c r="T22" s="160">
        <f t="shared" si="35"/>
        <v>145.35</v>
      </c>
      <c r="U22" s="160">
        <f t="shared" si="35"/>
        <v>10929.7</v>
      </c>
      <c r="V22" s="159">
        <f>V8+V12+V14+V16+V19</f>
        <v>2300</v>
      </c>
      <c r="W22" s="159">
        <f>W8+W12+W14+W16+W19</f>
        <v>10902.5</v>
      </c>
      <c r="X22" s="159">
        <f>X8+X12+X14+X16+X19</f>
        <v>10902.5</v>
      </c>
      <c r="Y22" s="159" t="e">
        <f>Y8+Y12+Y14+Y16+Y19</f>
        <v>#REF!</v>
      </c>
    </row>
    <row r="23" spans="1:3223" s="51" customFormat="1" ht="12" customHeight="1" thickTop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3223" s="51" customFormat="1" ht="12" customHeight="1" x14ac:dyDescent="0.2"/>
    <row r="25" spans="1:3223" s="51" customFormat="1" ht="12" customHeight="1" x14ac:dyDescent="0.2"/>
    <row r="26" spans="1:3223" s="51" customFormat="1" ht="12" customHeight="1" x14ac:dyDescent="0.2"/>
    <row r="35" spans="11:11" x14ac:dyDescent="0.25">
      <c r="K35" s="4" t="s">
        <v>246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16"/>
  <sheetViews>
    <sheetView topLeftCell="B14" zoomScale="75" zoomScaleNormal="75" workbookViewId="0">
      <selection activeCell="B22" sqref="A22:XFD29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205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2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7" t="s">
        <v>290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6" ht="34.799999999999997" x14ac:dyDescent="0.3">
      <c r="A9" s="26"/>
      <c r="B9" s="192" t="s">
        <v>101</v>
      </c>
      <c r="C9" s="192" t="s">
        <v>124</v>
      </c>
      <c r="D9" s="241" t="s">
        <v>254</v>
      </c>
      <c r="E9" s="226" t="s">
        <v>310</v>
      </c>
      <c r="F9" s="208" t="s">
        <v>60</v>
      </c>
      <c r="G9" s="243"/>
      <c r="H9" s="208"/>
      <c r="I9" s="244">
        <f>I10</f>
        <v>10653</v>
      </c>
      <c r="J9" s="244">
        <f>J10</f>
        <v>0</v>
      </c>
      <c r="K9" s="244">
        <f>K10</f>
        <v>10653</v>
      </c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4">
        <f>V10</f>
        <v>0</v>
      </c>
      <c r="W9" s="244">
        <f>W10</f>
        <v>1452.42</v>
      </c>
      <c r="X9" s="244">
        <f>X10</f>
        <v>1452.42</v>
      </c>
      <c r="Y9" s="244">
        <f>Y10</f>
        <v>9200.58</v>
      </c>
      <c r="Z9" s="134"/>
    </row>
    <row r="10" spans="1:26" ht="133.5" customHeight="1" x14ac:dyDescent="0.35">
      <c r="A10" s="242"/>
      <c r="B10" s="166">
        <v>161</v>
      </c>
      <c r="C10" s="147" t="s">
        <v>115</v>
      </c>
      <c r="D10" s="212" t="s">
        <v>255</v>
      </c>
      <c r="E10" s="217">
        <v>43374</v>
      </c>
      <c r="F10" s="150" t="s">
        <v>256</v>
      </c>
      <c r="G10" s="167">
        <v>15</v>
      </c>
      <c r="H10" s="168">
        <f>I10/G10</f>
        <v>710.2</v>
      </c>
      <c r="I10" s="153">
        <v>10653</v>
      </c>
      <c r="J10" s="154">
        <v>0</v>
      </c>
      <c r="K10" s="155">
        <f>I10</f>
        <v>10653</v>
      </c>
      <c r="L10" s="156">
        <f>IF(I10/15&lt;=SMG,0,J10/2)</f>
        <v>0</v>
      </c>
      <c r="M10" s="156">
        <f t="shared" ref="M10" si="0">I10+L10</f>
        <v>10653</v>
      </c>
      <c r="N10" s="156">
        <f>VLOOKUP(M10,Tarifa1,1)</f>
        <v>7641.91</v>
      </c>
      <c r="O10" s="156">
        <f t="shared" ref="O10" si="1">M10-N10</f>
        <v>3011.09</v>
      </c>
      <c r="P10" s="157">
        <f>VLOOKUP(M10,Tarifa1,3)</f>
        <v>0.21360000000000001</v>
      </c>
      <c r="Q10" s="156">
        <f t="shared" ref="Q10" si="2">O10*P10</f>
        <v>643.16882400000009</v>
      </c>
      <c r="R10" s="158">
        <f>VLOOKUP(M10,Tarifa1,2)</f>
        <v>809.25</v>
      </c>
      <c r="S10" s="156">
        <f t="shared" ref="S10" si="3">Q10+R10</f>
        <v>1452.4188240000001</v>
      </c>
      <c r="T10" s="156">
        <f>VLOOKUP(M10,Credito1,2)</f>
        <v>0</v>
      </c>
      <c r="U10" s="156">
        <f t="shared" ref="U10" si="4">ROUND(S10-T10,2)</f>
        <v>1452.42</v>
      </c>
      <c r="V10" s="155">
        <f t="shared" ref="V10" si="5">-IF(U10&gt;0,0,U10)</f>
        <v>0</v>
      </c>
      <c r="W10" s="155">
        <f>IF(I10/15&lt;=SMG,0,IF(U10&lt;0,0,U10))</f>
        <v>1452.42</v>
      </c>
      <c r="X10" s="155">
        <f>SUM(W10:W10)</f>
        <v>1452.42</v>
      </c>
      <c r="Y10" s="155">
        <f>K10+V10-X10</f>
        <v>9200.58</v>
      </c>
      <c r="Z10" s="110"/>
    </row>
    <row r="11" spans="1:26" ht="52.5" customHeight="1" x14ac:dyDescent="0.3">
      <c r="A11" s="208"/>
      <c r="B11" s="192" t="s">
        <v>101</v>
      </c>
      <c r="C11" s="192" t="s">
        <v>124</v>
      </c>
      <c r="D11" s="241" t="s">
        <v>126</v>
      </c>
      <c r="E11" s="231"/>
      <c r="F11" s="208" t="s">
        <v>60</v>
      </c>
      <c r="G11" s="243"/>
      <c r="H11" s="208"/>
      <c r="I11" s="244">
        <f>I12</f>
        <v>7823</v>
      </c>
      <c r="J11" s="244">
        <f>J12</f>
        <v>0</v>
      </c>
      <c r="K11" s="244">
        <f>K12</f>
        <v>7823</v>
      </c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>
        <f>V12</f>
        <v>0</v>
      </c>
      <c r="W11" s="244">
        <f>W12</f>
        <v>847.93</v>
      </c>
      <c r="X11" s="244">
        <f>X12</f>
        <v>847.93</v>
      </c>
      <c r="Y11" s="244">
        <f>Y12</f>
        <v>6975.07</v>
      </c>
      <c r="Z11" s="245"/>
    </row>
    <row r="12" spans="1:26" ht="132.75" customHeight="1" x14ac:dyDescent="0.35">
      <c r="A12" s="172"/>
      <c r="B12" s="147" t="s">
        <v>251</v>
      </c>
      <c r="C12" s="148" t="s">
        <v>115</v>
      </c>
      <c r="D12" s="212" t="s">
        <v>252</v>
      </c>
      <c r="E12" s="217">
        <v>44487</v>
      </c>
      <c r="F12" s="150" t="s">
        <v>253</v>
      </c>
      <c r="G12" s="151">
        <v>13</v>
      </c>
      <c r="H12" s="152">
        <f t="shared" ref="H12" si="6">I12/G12</f>
        <v>601.76923076923072</v>
      </c>
      <c r="I12" s="153">
        <v>7823</v>
      </c>
      <c r="J12" s="154">
        <v>0</v>
      </c>
      <c r="K12" s="155">
        <f t="shared" ref="K12" si="7">SUM(I12:J12)</f>
        <v>7823</v>
      </c>
      <c r="L12" s="156">
        <f t="shared" ref="L12" si="8">IF(I12/15&lt;=SMG,0,J12/2)</f>
        <v>0</v>
      </c>
      <c r="M12" s="156">
        <f t="shared" ref="M12" si="9">I12+L12</f>
        <v>7823</v>
      </c>
      <c r="N12" s="156">
        <f t="shared" ref="N12" si="10">VLOOKUP(M12,Tarifa1,1)</f>
        <v>7641.91</v>
      </c>
      <c r="O12" s="156">
        <f t="shared" ref="O12" si="11">M12-N12</f>
        <v>181.09000000000015</v>
      </c>
      <c r="P12" s="157">
        <f t="shared" ref="P12" si="12">VLOOKUP(M12,Tarifa1,3)</f>
        <v>0.21360000000000001</v>
      </c>
      <c r="Q12" s="156">
        <f t="shared" ref="Q12" si="13">O12*P12</f>
        <v>38.680824000000037</v>
      </c>
      <c r="R12" s="158">
        <f t="shared" ref="R12" si="14">VLOOKUP(M12,Tarifa1,2)</f>
        <v>809.25</v>
      </c>
      <c r="S12" s="156">
        <f t="shared" ref="S12" si="15">Q12+R12</f>
        <v>847.93082400000003</v>
      </c>
      <c r="T12" s="156">
        <f t="shared" ref="T12" si="16">VLOOKUP(M12,Credito1,2)</f>
        <v>0</v>
      </c>
      <c r="U12" s="156">
        <f t="shared" ref="U12" si="17">ROUND(S12-T12,2)</f>
        <v>847.93</v>
      </c>
      <c r="V12" s="155">
        <f t="shared" ref="V12" si="18">-IF(U12&gt;0,0,U12)</f>
        <v>0</v>
      </c>
      <c r="W12" s="155">
        <f t="shared" ref="W12" si="19">IF(I12/15&lt;=SMG,0,IF(U12&lt;0,0,U12))</f>
        <v>847.93</v>
      </c>
      <c r="X12" s="155">
        <f>SUM(W12:W12)</f>
        <v>847.93</v>
      </c>
      <c r="Y12" s="155">
        <f>K12+V12-X12</f>
        <v>6975.07</v>
      </c>
      <c r="Z12" s="110"/>
    </row>
    <row r="13" spans="1:26" ht="53.25" customHeight="1" x14ac:dyDescent="0.3">
      <c r="A13" s="172"/>
      <c r="B13" s="192" t="s">
        <v>101</v>
      </c>
      <c r="C13" s="192" t="s">
        <v>124</v>
      </c>
      <c r="D13" s="227" t="s">
        <v>75</v>
      </c>
      <c r="E13" s="231"/>
      <c r="F13" s="208" t="s">
        <v>60</v>
      </c>
      <c r="G13" s="208"/>
      <c r="H13" s="208"/>
      <c r="I13" s="244">
        <f>SUM(I14)</f>
        <v>12093</v>
      </c>
      <c r="J13" s="244">
        <f>SUM(J14)</f>
        <v>0</v>
      </c>
      <c r="K13" s="244">
        <f>SUM(K14)</f>
        <v>12093</v>
      </c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4">
        <f>SUM(V14)</f>
        <v>0</v>
      </c>
      <c r="W13" s="244">
        <f>SUM(W14)</f>
        <v>1760</v>
      </c>
      <c r="X13" s="244">
        <f>SUM(X14)</f>
        <v>1760</v>
      </c>
      <c r="Y13" s="244">
        <f>SUM(Y14)</f>
        <v>10333</v>
      </c>
      <c r="Z13" s="245"/>
    </row>
    <row r="14" spans="1:26" ht="132.75" customHeight="1" x14ac:dyDescent="0.35">
      <c r="A14" s="172"/>
      <c r="B14" s="166">
        <v>290</v>
      </c>
      <c r="C14" s="147" t="s">
        <v>115</v>
      </c>
      <c r="D14" s="212" t="s">
        <v>259</v>
      </c>
      <c r="E14" s="217">
        <v>44593</v>
      </c>
      <c r="F14" s="149" t="s">
        <v>75</v>
      </c>
      <c r="G14" s="167">
        <v>15</v>
      </c>
      <c r="H14" s="168">
        <f>I14/G14</f>
        <v>806.2</v>
      </c>
      <c r="I14" s="169">
        <v>12093</v>
      </c>
      <c r="J14" s="170">
        <v>0</v>
      </c>
      <c r="K14" s="171">
        <f>SUM(I14:J14)</f>
        <v>12093</v>
      </c>
      <c r="L14" s="156">
        <f>IF(I14/15&lt;=SMG,0,J14/2)</f>
        <v>0</v>
      </c>
      <c r="M14" s="156">
        <f>I14+L14</f>
        <v>12093</v>
      </c>
      <c r="N14" s="156">
        <f>VLOOKUP(M14,Tarifa1,1)</f>
        <v>7641.91</v>
      </c>
      <c r="O14" s="156">
        <f>M14-N14</f>
        <v>4451.09</v>
      </c>
      <c r="P14" s="157">
        <f>VLOOKUP(M14,Tarifa1,3)</f>
        <v>0.21360000000000001</v>
      </c>
      <c r="Q14" s="156">
        <f>O14*P14</f>
        <v>950.75282400000003</v>
      </c>
      <c r="R14" s="158">
        <f>VLOOKUP(M14,Tarifa1,2)</f>
        <v>809.25</v>
      </c>
      <c r="S14" s="156">
        <f>Q14+R14</f>
        <v>1760.0028240000001</v>
      </c>
      <c r="T14" s="156">
        <f>VLOOKUP(M14,Credito1,2)</f>
        <v>0</v>
      </c>
      <c r="U14" s="156">
        <f>ROUND(S14-T14,2)</f>
        <v>1760</v>
      </c>
      <c r="V14" s="155">
        <f>-IF(U14&gt;0,0,U14)</f>
        <v>0</v>
      </c>
      <c r="W14" s="155">
        <f>IF(I14/15&lt;=SMG,0,IF(U14&lt;0,0,U14))</f>
        <v>1760</v>
      </c>
      <c r="X14" s="155">
        <f>SUM(W14:W14)</f>
        <v>1760</v>
      </c>
      <c r="Y14" s="155">
        <f>K14+V14-X14</f>
        <v>10333</v>
      </c>
      <c r="Z14" s="110"/>
    </row>
    <row r="15" spans="1:26" ht="40.5" customHeight="1" thickBot="1" x14ac:dyDescent="0.35">
      <c r="A15" s="284" t="s">
        <v>44</v>
      </c>
      <c r="B15" s="285"/>
      <c r="C15" s="285"/>
      <c r="D15" s="285"/>
      <c r="E15" s="285"/>
      <c r="F15" s="285"/>
      <c r="G15" s="285"/>
      <c r="H15" s="286"/>
      <c r="I15" s="206">
        <f>I9+I11+I13</f>
        <v>30569</v>
      </c>
      <c r="J15" s="206">
        <f>J9+J11+J13</f>
        <v>0</v>
      </c>
      <c r="K15" s="206">
        <f>K9+K11+K13</f>
        <v>30569</v>
      </c>
      <c r="L15" s="160">
        <f t="shared" ref="L15:U15" si="20">SUM(L12:L12)</f>
        <v>0</v>
      </c>
      <c r="M15" s="160">
        <f t="shared" si="20"/>
        <v>7823</v>
      </c>
      <c r="N15" s="160">
        <f t="shared" si="20"/>
        <v>7641.91</v>
      </c>
      <c r="O15" s="160">
        <f t="shared" si="20"/>
        <v>181.09000000000015</v>
      </c>
      <c r="P15" s="160">
        <f t="shared" si="20"/>
        <v>0.21360000000000001</v>
      </c>
      <c r="Q15" s="160">
        <f t="shared" si="20"/>
        <v>38.680824000000037</v>
      </c>
      <c r="R15" s="160">
        <f t="shared" si="20"/>
        <v>809.25</v>
      </c>
      <c r="S15" s="160">
        <f t="shared" si="20"/>
        <v>847.93082400000003</v>
      </c>
      <c r="T15" s="160">
        <f t="shared" si="20"/>
        <v>0</v>
      </c>
      <c r="U15" s="160">
        <f t="shared" si="20"/>
        <v>847.93</v>
      </c>
      <c r="V15" s="206">
        <f>V9+V11+V13</f>
        <v>0</v>
      </c>
      <c r="W15" s="206">
        <f>W9+W11+W13</f>
        <v>4060.35</v>
      </c>
      <c r="X15" s="206">
        <f>X9+X11+X13</f>
        <v>4060.35</v>
      </c>
      <c r="Y15" s="206">
        <f>Y9+Y11+Y13</f>
        <v>26508.65</v>
      </c>
      <c r="Z15" s="111"/>
    </row>
    <row r="16" spans="1:26" ht="13.8" thickTop="1" x14ac:dyDescent="0.25"/>
  </sheetData>
  <mergeCells count="7">
    <mergeCell ref="A15:H15"/>
    <mergeCell ref="A1:Z1"/>
    <mergeCell ref="A2:Z2"/>
    <mergeCell ref="A3:Z3"/>
    <mergeCell ref="I6:K6"/>
    <mergeCell ref="N6:S6"/>
    <mergeCell ref="W6:X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B27" zoomScale="66" zoomScaleNormal="66" workbookViewId="0">
      <selection activeCell="B35" sqref="A35:XFD39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12.75" customHeight="1" x14ac:dyDescent="0.25">
      <c r="A5" s="47"/>
      <c r="B5" s="47"/>
      <c r="C5" s="306" t="s">
        <v>116</v>
      </c>
      <c r="D5" s="47"/>
      <c r="E5" s="47"/>
      <c r="F5" s="47"/>
      <c r="G5" s="48" t="s">
        <v>22</v>
      </c>
      <c r="H5" s="48" t="s">
        <v>5</v>
      </c>
      <c r="I5" s="309" t="s">
        <v>1</v>
      </c>
      <c r="J5" s="310"/>
      <c r="K5" s="311"/>
      <c r="L5" s="49" t="s">
        <v>25</v>
      </c>
      <c r="M5" s="50"/>
      <c r="N5" s="312" t="s">
        <v>8</v>
      </c>
      <c r="O5" s="313"/>
      <c r="P5" s="313"/>
      <c r="Q5" s="313"/>
      <c r="R5" s="313"/>
      <c r="S5" s="314"/>
      <c r="T5" s="49" t="s">
        <v>29</v>
      </c>
      <c r="U5" s="49" t="s">
        <v>9</v>
      </c>
      <c r="V5" s="48" t="s">
        <v>52</v>
      </c>
      <c r="W5" s="315" t="s">
        <v>2</v>
      </c>
      <c r="X5" s="316"/>
      <c r="Y5" s="48" t="s">
        <v>0</v>
      </c>
      <c r="Z5" s="47"/>
    </row>
    <row r="6" spans="1:32" s="51" customFormat="1" ht="24" x14ac:dyDescent="0.25">
      <c r="A6" s="52" t="s">
        <v>20</v>
      </c>
      <c r="B6" s="46" t="s">
        <v>101</v>
      </c>
      <c r="C6" s="307"/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50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290</v>
      </c>
      <c r="X6" s="48" t="s">
        <v>6</v>
      </c>
      <c r="Y6" s="52" t="s">
        <v>3</v>
      </c>
      <c r="Z6" s="52" t="s">
        <v>56</v>
      </c>
    </row>
    <row r="7" spans="1:32" s="51" customFormat="1" ht="12" x14ac:dyDescent="0.25">
      <c r="A7" s="60"/>
      <c r="B7" s="60"/>
      <c r="C7" s="308"/>
      <c r="D7" s="60"/>
      <c r="E7" s="60"/>
      <c r="F7" s="60"/>
      <c r="G7" s="60"/>
      <c r="H7" s="60"/>
      <c r="I7" s="60" t="s">
        <v>46</v>
      </c>
      <c r="J7" s="60" t="s">
        <v>58</v>
      </c>
      <c r="K7" s="60" t="s">
        <v>28</v>
      </c>
      <c r="L7" s="61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49" t="s">
        <v>14</v>
      </c>
      <c r="S7" s="49" t="s">
        <v>38</v>
      </c>
      <c r="T7" s="54" t="s">
        <v>18</v>
      </c>
      <c r="U7" s="55" t="s">
        <v>125</v>
      </c>
      <c r="V7" s="60" t="s">
        <v>51</v>
      </c>
      <c r="W7" s="60"/>
      <c r="X7" s="60" t="s">
        <v>43</v>
      </c>
      <c r="Y7" s="60" t="s">
        <v>4</v>
      </c>
      <c r="Z7" s="57"/>
    </row>
    <row r="8" spans="1:32" s="51" customFormat="1" ht="35.25" customHeight="1" x14ac:dyDescent="0.3">
      <c r="A8" s="62"/>
      <c r="B8" s="132"/>
      <c r="C8" s="132"/>
      <c r="D8" s="131" t="s">
        <v>67</v>
      </c>
      <c r="E8" s="130" t="s">
        <v>310</v>
      </c>
      <c r="F8" s="132" t="s">
        <v>60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63"/>
    </row>
    <row r="9" spans="1:32" s="93" customFormat="1" ht="173.25" customHeight="1" x14ac:dyDescent="0.35">
      <c r="A9" s="109" t="s">
        <v>85</v>
      </c>
      <c r="B9" s="147" t="s">
        <v>173</v>
      </c>
      <c r="C9" s="148" t="s">
        <v>115</v>
      </c>
      <c r="D9" s="212" t="s">
        <v>171</v>
      </c>
      <c r="E9" s="217">
        <v>43512</v>
      </c>
      <c r="F9" s="150" t="s">
        <v>311</v>
      </c>
      <c r="G9" s="151">
        <v>15</v>
      </c>
      <c r="H9" s="152">
        <f t="shared" ref="H9:H11" si="0">I9/G9</f>
        <v>757.26666666666665</v>
      </c>
      <c r="I9" s="153">
        <v>11359</v>
      </c>
      <c r="J9" s="154">
        <v>0</v>
      </c>
      <c r="K9" s="155">
        <f>SUM(I9:J9)</f>
        <v>11359</v>
      </c>
      <c r="L9" s="156">
        <f>IF(I9/15&lt;=SMG,0,J9/2)</f>
        <v>0</v>
      </c>
      <c r="M9" s="156">
        <f t="shared" ref="M9:M10" si="1">I9+L9</f>
        <v>11359</v>
      </c>
      <c r="N9" s="156">
        <f t="shared" ref="N9" si="2">VLOOKUP(M9,Tarifa1,1)</f>
        <v>7641.91</v>
      </c>
      <c r="O9" s="156">
        <f t="shared" ref="O9:O10" si="3">M9-N9</f>
        <v>3717.09</v>
      </c>
      <c r="P9" s="157">
        <f t="shared" ref="P9" si="4">VLOOKUP(M9,Tarifa1,3)</f>
        <v>0.21360000000000001</v>
      </c>
      <c r="Q9" s="156">
        <f t="shared" ref="Q9:Q10" si="5">O9*P9</f>
        <v>793.97042400000009</v>
      </c>
      <c r="R9" s="158">
        <f t="shared" ref="R9" si="6">VLOOKUP(M9,Tarifa1,2)</f>
        <v>809.25</v>
      </c>
      <c r="S9" s="156">
        <f t="shared" ref="S9:S10" si="7">Q9+R9</f>
        <v>1603.2204240000001</v>
      </c>
      <c r="T9" s="156">
        <f t="shared" ref="T9" si="8">VLOOKUP(M9,Credito1,2)</f>
        <v>0</v>
      </c>
      <c r="U9" s="156">
        <f t="shared" ref="U9:U10" si="9">ROUND(S9-T9,2)</f>
        <v>1603.22</v>
      </c>
      <c r="V9" s="155">
        <f t="shared" ref="V9:V10" si="10">-IF(U9&gt;0,0,U9)</f>
        <v>0</v>
      </c>
      <c r="W9" s="155">
        <f t="shared" ref="W9" si="11">IF(I9/15&lt;=SMG,0,IF(U9&lt;0,0,U9))</f>
        <v>1603.22</v>
      </c>
      <c r="X9" s="155">
        <f t="shared" ref="X9:X15" si="12">SUM(W9:W9)</f>
        <v>1603.22</v>
      </c>
      <c r="Y9" s="155">
        <f>K9+V9-X9</f>
        <v>9755.7800000000007</v>
      </c>
      <c r="Z9" s="110"/>
      <c r="AA9" s="95"/>
      <c r="AF9" s="96"/>
    </row>
    <row r="10" spans="1:32" s="93" customFormat="1" ht="173.25" customHeight="1" x14ac:dyDescent="0.35">
      <c r="A10" s="109"/>
      <c r="B10" s="147" t="s">
        <v>341</v>
      </c>
      <c r="C10" s="148" t="s">
        <v>115</v>
      </c>
      <c r="D10" s="212" t="s">
        <v>355</v>
      </c>
      <c r="E10" s="217">
        <v>45139</v>
      </c>
      <c r="F10" s="150" t="s">
        <v>356</v>
      </c>
      <c r="G10" s="151"/>
      <c r="H10" s="152"/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1"/>
        <v>4377.7299999999996</v>
      </c>
      <c r="N10" s="156">
        <f>VLOOKUP(M10,Tarifa1,1)</f>
        <v>3124.36</v>
      </c>
      <c r="O10" s="156">
        <f t="shared" si="3"/>
        <v>1253.3699999999994</v>
      </c>
      <c r="P10" s="157">
        <f>VLOOKUP(M10,Tarifa1,3)</f>
        <v>0.10879999999999999</v>
      </c>
      <c r="Q10" s="156">
        <f t="shared" si="5"/>
        <v>136.36665599999992</v>
      </c>
      <c r="R10" s="158">
        <f>VLOOKUP(M10,Tarifa1,2)</f>
        <v>183.45</v>
      </c>
      <c r="S10" s="156">
        <f t="shared" si="7"/>
        <v>319.81665599999991</v>
      </c>
      <c r="T10" s="156">
        <f>VLOOKUP(M10,Credito1,2)</f>
        <v>0</v>
      </c>
      <c r="U10" s="156">
        <f t="shared" si="9"/>
        <v>319.82</v>
      </c>
      <c r="V10" s="155">
        <f t="shared" si="10"/>
        <v>0</v>
      </c>
      <c r="W10" s="155">
        <f>IF(I10/15&lt;=SMG,0,IF(U10&lt;0,0,U10))</f>
        <v>319.82</v>
      </c>
      <c r="X10" s="155">
        <f t="shared" si="12"/>
        <v>319.82</v>
      </c>
      <c r="Y10" s="155">
        <f>K10+V10-X10</f>
        <v>4057.9099999999994</v>
      </c>
      <c r="Z10" s="110"/>
      <c r="AA10" s="95"/>
      <c r="AF10" s="96"/>
    </row>
    <row r="11" spans="1:32" s="93" customFormat="1" ht="173.25" customHeight="1" x14ac:dyDescent="0.35">
      <c r="A11" s="109"/>
      <c r="B11" s="148" t="s">
        <v>197</v>
      </c>
      <c r="C11" s="148" t="s">
        <v>115</v>
      </c>
      <c r="D11" s="212" t="s">
        <v>198</v>
      </c>
      <c r="E11" s="217">
        <v>43983</v>
      </c>
      <c r="F11" s="150" t="s">
        <v>262</v>
      </c>
      <c r="G11" s="151">
        <v>15</v>
      </c>
      <c r="H11" s="152">
        <f t="shared" si="0"/>
        <v>757.26666666666665</v>
      </c>
      <c r="I11" s="153">
        <v>11359</v>
      </c>
      <c r="J11" s="154">
        <v>0</v>
      </c>
      <c r="K11" s="155">
        <f>SUM(I11:J11)</f>
        <v>11359</v>
      </c>
      <c r="L11" s="156">
        <f>IF(I11/15&lt;=SMG,0,J11/2)</f>
        <v>0</v>
      </c>
      <c r="M11" s="156">
        <f t="shared" ref="M11:M14" si="13">I11+L11</f>
        <v>11359</v>
      </c>
      <c r="N11" s="156">
        <f t="shared" ref="N11:N14" si="14">VLOOKUP(M11,Tarifa1,1)</f>
        <v>7641.91</v>
      </c>
      <c r="O11" s="156">
        <f t="shared" ref="O11:O14" si="15">M11-N11</f>
        <v>3717.09</v>
      </c>
      <c r="P11" s="157">
        <f t="shared" ref="P11:P14" si="16">VLOOKUP(M11,Tarifa1,3)</f>
        <v>0.21360000000000001</v>
      </c>
      <c r="Q11" s="156">
        <f t="shared" ref="Q11:Q14" si="17">O11*P11</f>
        <v>793.97042400000009</v>
      </c>
      <c r="R11" s="158">
        <f t="shared" ref="R11:R14" si="18">VLOOKUP(M11,Tarifa1,2)</f>
        <v>809.25</v>
      </c>
      <c r="S11" s="156">
        <f t="shared" ref="S11:S14" si="19">Q11+R11</f>
        <v>1603.2204240000001</v>
      </c>
      <c r="T11" s="156">
        <f t="shared" ref="T11:T14" si="20">VLOOKUP(M11,Credito1,2)</f>
        <v>0</v>
      </c>
      <c r="U11" s="156">
        <f t="shared" ref="U11:U14" si="21">ROUND(S11-T11,2)</f>
        <v>1603.22</v>
      </c>
      <c r="V11" s="155">
        <f t="shared" ref="V11:V14" si="22">-IF(U11&gt;0,0,U11)</f>
        <v>0</v>
      </c>
      <c r="W11" s="155">
        <f t="shared" ref="W11:W14" si="23">IF(I11/15&lt;=SMG,0,IF(U11&lt;0,0,U11))</f>
        <v>1603.22</v>
      </c>
      <c r="X11" s="155">
        <f t="shared" si="12"/>
        <v>1603.22</v>
      </c>
      <c r="Y11" s="155">
        <f>K11+V11-X11</f>
        <v>9755.7800000000007</v>
      </c>
      <c r="Z11" s="110"/>
      <c r="AA11" s="95"/>
      <c r="AF11" s="96"/>
    </row>
    <row r="12" spans="1:32" s="93" customFormat="1" ht="173.25" customHeight="1" x14ac:dyDescent="0.35">
      <c r="A12" s="109"/>
      <c r="B12" s="148" t="s">
        <v>285</v>
      </c>
      <c r="C12" s="148" t="s">
        <v>115</v>
      </c>
      <c r="D12" s="212" t="s">
        <v>287</v>
      </c>
      <c r="E12" s="217">
        <v>44866</v>
      </c>
      <c r="F12" s="150" t="s">
        <v>286</v>
      </c>
      <c r="G12" s="151"/>
      <c r="H12" s="152"/>
      <c r="I12" s="153">
        <v>4467</v>
      </c>
      <c r="J12" s="154">
        <v>0</v>
      </c>
      <c r="K12" s="155">
        <f>SUM(I12:J12)</f>
        <v>4467</v>
      </c>
      <c r="L12" s="156">
        <f>IF(I12/15&lt;=SMG,0,J12/2)</f>
        <v>0</v>
      </c>
      <c r="M12" s="156">
        <f t="shared" si="13"/>
        <v>4467</v>
      </c>
      <c r="N12" s="156">
        <f t="shared" si="14"/>
        <v>3124.36</v>
      </c>
      <c r="O12" s="156">
        <f t="shared" si="15"/>
        <v>1342.6399999999999</v>
      </c>
      <c r="P12" s="157">
        <f t="shared" si="16"/>
        <v>0.10879999999999999</v>
      </c>
      <c r="Q12" s="156">
        <f t="shared" si="17"/>
        <v>146.07923199999999</v>
      </c>
      <c r="R12" s="158">
        <f t="shared" si="18"/>
        <v>183.45</v>
      </c>
      <c r="S12" s="156">
        <f t="shared" si="19"/>
        <v>329.52923199999998</v>
      </c>
      <c r="T12" s="156">
        <f t="shared" si="20"/>
        <v>0</v>
      </c>
      <c r="U12" s="156">
        <f t="shared" si="21"/>
        <v>329.53</v>
      </c>
      <c r="V12" s="155">
        <f t="shared" si="22"/>
        <v>0</v>
      </c>
      <c r="W12" s="155">
        <f t="shared" si="23"/>
        <v>329.53</v>
      </c>
      <c r="X12" s="155">
        <f t="shared" si="12"/>
        <v>329.53</v>
      </c>
      <c r="Y12" s="155">
        <f>K12+V12-X12</f>
        <v>4137.47</v>
      </c>
      <c r="Z12" s="110"/>
      <c r="AA12" s="95"/>
      <c r="AF12" s="96"/>
    </row>
    <row r="13" spans="1:32" s="93" customFormat="1" ht="173.25" customHeight="1" x14ac:dyDescent="0.35">
      <c r="A13" s="109"/>
      <c r="B13" s="147" t="s">
        <v>202</v>
      </c>
      <c r="C13" s="147" t="s">
        <v>115</v>
      </c>
      <c r="D13" s="214" t="s">
        <v>201</v>
      </c>
      <c r="E13" s="221">
        <v>44470</v>
      </c>
      <c r="F13" s="150" t="s">
        <v>66</v>
      </c>
      <c r="G13" s="151">
        <v>15</v>
      </c>
      <c r="H13" s="152"/>
      <c r="I13" s="153">
        <v>6253</v>
      </c>
      <c r="J13" s="154">
        <v>0</v>
      </c>
      <c r="K13" s="153">
        <f>I13</f>
        <v>6253</v>
      </c>
      <c r="L13" s="156">
        <f t="shared" ref="L13" si="24">IF(I13/15&lt;=SMG,0,J13/2)</f>
        <v>0</v>
      </c>
      <c r="M13" s="156">
        <f t="shared" si="13"/>
        <v>6253</v>
      </c>
      <c r="N13" s="156">
        <f t="shared" si="14"/>
        <v>5490.76</v>
      </c>
      <c r="O13" s="156">
        <f t="shared" si="15"/>
        <v>762.23999999999978</v>
      </c>
      <c r="P13" s="157">
        <f t="shared" si="16"/>
        <v>0.16</v>
      </c>
      <c r="Q13" s="156">
        <f t="shared" si="17"/>
        <v>121.95839999999997</v>
      </c>
      <c r="R13" s="158">
        <f t="shared" si="18"/>
        <v>441</v>
      </c>
      <c r="S13" s="156">
        <f t="shared" si="19"/>
        <v>562.95839999999998</v>
      </c>
      <c r="T13" s="156">
        <f t="shared" si="20"/>
        <v>0</v>
      </c>
      <c r="U13" s="156">
        <f t="shared" si="21"/>
        <v>562.96</v>
      </c>
      <c r="V13" s="155">
        <f t="shared" si="22"/>
        <v>0</v>
      </c>
      <c r="W13" s="155">
        <f t="shared" si="23"/>
        <v>562.96</v>
      </c>
      <c r="X13" s="155">
        <f t="shared" si="12"/>
        <v>562.96</v>
      </c>
      <c r="Y13" s="155">
        <f>K13+V13-X13+J13</f>
        <v>5690.04</v>
      </c>
      <c r="Z13" s="110"/>
      <c r="AF13" s="96"/>
    </row>
    <row r="14" spans="1:32" s="93" customFormat="1" ht="173.25" customHeight="1" x14ac:dyDescent="0.35">
      <c r="A14" s="109"/>
      <c r="B14" s="147" t="s">
        <v>288</v>
      </c>
      <c r="C14" s="147" t="s">
        <v>115</v>
      </c>
      <c r="D14" s="214" t="s">
        <v>289</v>
      </c>
      <c r="E14" s="225">
        <v>44866</v>
      </c>
      <c r="F14" s="150" t="s">
        <v>66</v>
      </c>
      <c r="G14" s="151"/>
      <c r="H14" s="152"/>
      <c r="I14" s="153">
        <v>6253</v>
      </c>
      <c r="J14" s="154">
        <v>0</v>
      </c>
      <c r="K14" s="153">
        <f>I14</f>
        <v>6253</v>
      </c>
      <c r="L14" s="156">
        <f t="shared" ref="L14" si="25">IF(I14/15&lt;=SMG,0,J14/2)</f>
        <v>0</v>
      </c>
      <c r="M14" s="156">
        <f t="shared" si="13"/>
        <v>6253</v>
      </c>
      <c r="N14" s="156">
        <f t="shared" si="14"/>
        <v>5490.76</v>
      </c>
      <c r="O14" s="156">
        <f t="shared" si="15"/>
        <v>762.23999999999978</v>
      </c>
      <c r="P14" s="157">
        <f t="shared" si="16"/>
        <v>0.16</v>
      </c>
      <c r="Q14" s="156">
        <f t="shared" si="17"/>
        <v>121.95839999999997</v>
      </c>
      <c r="R14" s="158">
        <f t="shared" si="18"/>
        <v>441</v>
      </c>
      <c r="S14" s="156">
        <f t="shared" si="19"/>
        <v>562.95839999999998</v>
      </c>
      <c r="T14" s="156">
        <f t="shared" si="20"/>
        <v>0</v>
      </c>
      <c r="U14" s="156">
        <f t="shared" si="21"/>
        <v>562.96</v>
      </c>
      <c r="V14" s="155">
        <f t="shared" si="22"/>
        <v>0</v>
      </c>
      <c r="W14" s="155">
        <f t="shared" si="23"/>
        <v>562.96</v>
      </c>
      <c r="X14" s="155">
        <f t="shared" si="12"/>
        <v>562.96</v>
      </c>
      <c r="Y14" s="155">
        <f>K14+V14-X14+J14</f>
        <v>5690.04</v>
      </c>
      <c r="Z14" s="110"/>
      <c r="AF14" s="96"/>
    </row>
    <row r="15" spans="1:32" s="93" customFormat="1" ht="173.25" customHeight="1" x14ac:dyDescent="0.35">
      <c r="A15" s="109"/>
      <c r="B15" s="147" t="s">
        <v>318</v>
      </c>
      <c r="C15" s="147" t="s">
        <v>115</v>
      </c>
      <c r="D15" s="214" t="s">
        <v>317</v>
      </c>
      <c r="E15" s="223">
        <v>45042</v>
      </c>
      <c r="F15" s="150" t="s">
        <v>66</v>
      </c>
      <c r="G15" s="151"/>
      <c r="H15" s="152"/>
      <c r="I15" s="153">
        <v>6253</v>
      </c>
      <c r="J15" s="154">
        <v>0</v>
      </c>
      <c r="K15" s="153">
        <f>I15</f>
        <v>6253</v>
      </c>
      <c r="L15" s="156">
        <f t="shared" ref="L15" si="26">IF(I15/15&lt;=SMG,0,J15/2)</f>
        <v>0</v>
      </c>
      <c r="M15" s="156">
        <f t="shared" ref="M15" si="27">I15+L15</f>
        <v>6253</v>
      </c>
      <c r="N15" s="156">
        <f t="shared" ref="N15" si="28">VLOOKUP(M15,Tarifa1,1)</f>
        <v>5490.76</v>
      </c>
      <c r="O15" s="156">
        <f t="shared" ref="O15" si="29">M15-N15</f>
        <v>762.23999999999978</v>
      </c>
      <c r="P15" s="157">
        <f t="shared" ref="P15" si="30">VLOOKUP(M15,Tarifa1,3)</f>
        <v>0.16</v>
      </c>
      <c r="Q15" s="156">
        <f t="shared" ref="Q15" si="31">O15*P15</f>
        <v>121.95839999999997</v>
      </c>
      <c r="R15" s="158">
        <f t="shared" ref="R15" si="32">VLOOKUP(M15,Tarifa1,2)</f>
        <v>441</v>
      </c>
      <c r="S15" s="156">
        <f t="shared" ref="S15" si="33">Q15+R15</f>
        <v>562.95839999999998</v>
      </c>
      <c r="T15" s="156">
        <f t="shared" ref="T15" si="34">VLOOKUP(M15,Credito1,2)</f>
        <v>0</v>
      </c>
      <c r="U15" s="156">
        <f t="shared" ref="U15" si="35">ROUND(S15-T15,2)</f>
        <v>562.96</v>
      </c>
      <c r="V15" s="155">
        <f t="shared" ref="V15" si="36">-IF(U15&gt;0,0,U15)</f>
        <v>0</v>
      </c>
      <c r="W15" s="155">
        <f t="shared" ref="W15" si="37">IF(I15/15&lt;=SMG,0,IF(U15&lt;0,0,U15))</f>
        <v>562.96</v>
      </c>
      <c r="X15" s="155">
        <f t="shared" si="12"/>
        <v>562.96</v>
      </c>
      <c r="Y15" s="155">
        <f>K15+V15-X15+J15</f>
        <v>5690.04</v>
      </c>
      <c r="Z15" s="110"/>
      <c r="AF15" s="96"/>
    </row>
    <row r="16" spans="1:32" s="93" customFormat="1" ht="57" customHeight="1" x14ac:dyDescent="0.3">
      <c r="A16" s="177"/>
      <c r="B16" s="189"/>
      <c r="C16" s="189"/>
      <c r="D16" s="194"/>
      <c r="E16" s="195"/>
      <c r="F16" s="196"/>
      <c r="G16" s="197"/>
      <c r="H16" s="198"/>
      <c r="I16" s="199"/>
      <c r="J16" s="200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111"/>
      <c r="AF16" s="96"/>
    </row>
    <row r="17" spans="1:32" s="93" customFormat="1" ht="29.25" customHeight="1" x14ac:dyDescent="0.3">
      <c r="A17" s="177"/>
      <c r="B17" s="287" t="s">
        <v>77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F17" s="96"/>
    </row>
    <row r="18" spans="1:32" s="93" customFormat="1" ht="28.5" customHeight="1" x14ac:dyDescent="0.3">
      <c r="A18" s="177"/>
      <c r="B18" s="287" t="s">
        <v>63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F18" s="96"/>
    </row>
    <row r="19" spans="1:32" s="93" customFormat="1" ht="28.5" customHeight="1" x14ac:dyDescent="0.3">
      <c r="A19" s="177"/>
      <c r="B19" s="288" t="s">
        <v>359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F19" s="96"/>
    </row>
    <row r="20" spans="1:32" s="93" customFormat="1" ht="28.5" customHeight="1" x14ac:dyDescent="0.3">
      <c r="A20" s="177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F20" s="96"/>
    </row>
    <row r="21" spans="1:32" s="93" customFormat="1" ht="126" customHeight="1" x14ac:dyDescent="0.35">
      <c r="A21" s="177"/>
      <c r="B21" s="147" t="s">
        <v>323</v>
      </c>
      <c r="C21" s="147" t="s">
        <v>115</v>
      </c>
      <c r="D21" s="214" t="s">
        <v>324</v>
      </c>
      <c r="E21" s="223">
        <v>45078</v>
      </c>
      <c r="F21" s="150" t="s">
        <v>325</v>
      </c>
      <c r="G21" s="151"/>
      <c r="H21" s="152"/>
      <c r="I21" s="153">
        <v>9126.32</v>
      </c>
      <c r="J21" s="154">
        <v>0</v>
      </c>
      <c r="K21" s="155">
        <f t="shared" ref="K21" si="38">SUM(I21:J21)</f>
        <v>9126.32</v>
      </c>
      <c r="L21" s="156">
        <f t="shared" ref="L21" si="39">IF(I21/15&lt;=SMG,0,J21/2)</f>
        <v>0</v>
      </c>
      <c r="M21" s="156">
        <f t="shared" ref="M21" si="40">I21+L21</f>
        <v>9126.32</v>
      </c>
      <c r="N21" s="156">
        <f t="shared" ref="N21" si="41">VLOOKUP(M21,Tarifa1,1)</f>
        <v>7641.91</v>
      </c>
      <c r="O21" s="156">
        <f t="shared" ref="O21" si="42">M21-N21</f>
        <v>1484.4099999999999</v>
      </c>
      <c r="P21" s="157">
        <f t="shared" ref="P21" si="43">VLOOKUP(M21,Tarifa1,3)</f>
        <v>0.21360000000000001</v>
      </c>
      <c r="Q21" s="156">
        <f t="shared" ref="Q21" si="44">O21*P21</f>
        <v>317.069976</v>
      </c>
      <c r="R21" s="158">
        <f t="shared" ref="R21" si="45">VLOOKUP(M21,Tarifa1,2)</f>
        <v>809.25</v>
      </c>
      <c r="S21" s="156">
        <f t="shared" ref="S21" si="46">Q21+R21</f>
        <v>1126.319976</v>
      </c>
      <c r="T21" s="156">
        <f t="shared" ref="T21" si="47">VLOOKUP(M21,Credito1,2)</f>
        <v>0</v>
      </c>
      <c r="U21" s="156">
        <f t="shared" ref="U21" si="48">ROUND(S21-T21,2)</f>
        <v>1126.32</v>
      </c>
      <c r="V21" s="155">
        <f t="shared" ref="V21" si="49">-IF(U21&gt;0,0,U21)</f>
        <v>0</v>
      </c>
      <c r="W21" s="155">
        <f t="shared" ref="W21" si="50">IF(I21/15&lt;=SMG,0,IF(U21&lt;0,0,U21))</f>
        <v>1126.32</v>
      </c>
      <c r="X21" s="155">
        <f t="shared" ref="X21:X29" si="51">SUM(W21:W21)</f>
        <v>1126.32</v>
      </c>
      <c r="Y21" s="155">
        <f t="shared" ref="Y21:Y27" si="52">K21+V21-X21</f>
        <v>8000</v>
      </c>
      <c r="Z21" s="110"/>
      <c r="AA21" s="193"/>
      <c r="AF21" s="96"/>
    </row>
    <row r="22" spans="1:32" s="93" customFormat="1" ht="126" customHeight="1" x14ac:dyDescent="0.35">
      <c r="A22" s="177"/>
      <c r="B22" s="148" t="s">
        <v>190</v>
      </c>
      <c r="C22" s="148" t="s">
        <v>115</v>
      </c>
      <c r="D22" s="210" t="s">
        <v>191</v>
      </c>
      <c r="E22" s="217">
        <v>43877</v>
      </c>
      <c r="F22" s="150" t="s">
        <v>163</v>
      </c>
      <c r="G22" s="151">
        <v>15</v>
      </c>
      <c r="H22" s="152"/>
      <c r="I22" s="153">
        <v>6843</v>
      </c>
      <c r="J22" s="154">
        <v>0</v>
      </c>
      <c r="K22" s="155">
        <f>SUM(I22:J22)</f>
        <v>6843</v>
      </c>
      <c r="L22" s="156">
        <f t="shared" ref="L22" si="53">IF(I22/15&lt;=SMG,0,J22/2)</f>
        <v>0</v>
      </c>
      <c r="M22" s="156">
        <f t="shared" ref="M22" si="54">I22+L22</f>
        <v>6843</v>
      </c>
      <c r="N22" s="156">
        <f t="shared" ref="N22" si="55">VLOOKUP(M22,Tarifa1,1)</f>
        <v>6382.81</v>
      </c>
      <c r="O22" s="156">
        <f t="shared" ref="O22" si="56">M22-N22</f>
        <v>460.1899999999996</v>
      </c>
      <c r="P22" s="157">
        <f t="shared" ref="P22" si="57">VLOOKUP(M22,Tarifa1,3)</f>
        <v>0.1792</v>
      </c>
      <c r="Q22" s="156">
        <f t="shared" ref="Q22" si="58">O22*P22</f>
        <v>82.46604799999993</v>
      </c>
      <c r="R22" s="158">
        <f t="shared" ref="R22" si="59">VLOOKUP(M22,Tarifa1,2)</f>
        <v>583.65</v>
      </c>
      <c r="S22" s="156">
        <f t="shared" ref="S22" si="60">Q22+R22</f>
        <v>666.11604799999986</v>
      </c>
      <c r="T22" s="156">
        <f t="shared" ref="T22" si="61">VLOOKUP(M22,Credito1,2)</f>
        <v>0</v>
      </c>
      <c r="U22" s="156">
        <f t="shared" ref="U22" si="62">ROUND(S22-T22,2)</f>
        <v>666.12</v>
      </c>
      <c r="V22" s="155">
        <f t="shared" ref="V22" si="63">-IF(U22&gt;0,0,U22)</f>
        <v>0</v>
      </c>
      <c r="W22" s="155">
        <f t="shared" ref="W22" si="64">IF(I22/15&lt;=SMG,0,IF(U22&lt;0,0,U22))</f>
        <v>666.12</v>
      </c>
      <c r="X22" s="155">
        <f t="shared" si="51"/>
        <v>666.12</v>
      </c>
      <c r="Y22" s="155">
        <f t="shared" si="52"/>
        <v>6176.88</v>
      </c>
      <c r="Z22" s="193"/>
      <c r="AA22" s="193"/>
      <c r="AF22" s="96"/>
    </row>
    <row r="23" spans="1:32" s="93" customFormat="1" ht="126" customHeight="1" x14ac:dyDescent="0.35">
      <c r="A23" s="177"/>
      <c r="B23" s="148" t="s">
        <v>172</v>
      </c>
      <c r="C23" s="148" t="s">
        <v>115</v>
      </c>
      <c r="D23" s="210" t="s">
        <v>165</v>
      </c>
      <c r="E23" s="216">
        <v>43512</v>
      </c>
      <c r="F23" s="150" t="s">
        <v>163</v>
      </c>
      <c r="G23" s="151">
        <v>15</v>
      </c>
      <c r="H23" s="152"/>
      <c r="I23" s="153">
        <v>8552</v>
      </c>
      <c r="J23" s="154">
        <v>0</v>
      </c>
      <c r="K23" s="155">
        <f t="shared" ref="K23" si="65">SUM(I23:J23)</f>
        <v>8552</v>
      </c>
      <c r="L23" s="156">
        <f t="shared" ref="L23" si="66">IF(I23/15&lt;=SMG,0,J23/2)</f>
        <v>0</v>
      </c>
      <c r="M23" s="156">
        <f t="shared" ref="M23" si="67">I23+L23</f>
        <v>8552</v>
      </c>
      <c r="N23" s="156">
        <f t="shared" ref="N23:N29" si="68">VLOOKUP(M23,Tarifa1,1)</f>
        <v>7641.91</v>
      </c>
      <c r="O23" s="156">
        <f t="shared" ref="O23" si="69">M23-N23</f>
        <v>910.09000000000015</v>
      </c>
      <c r="P23" s="157">
        <f t="shared" ref="P23:P29" si="70">VLOOKUP(M23,Tarifa1,3)</f>
        <v>0.21360000000000001</v>
      </c>
      <c r="Q23" s="156">
        <f t="shared" ref="Q23" si="71">O23*P23</f>
        <v>194.39522400000004</v>
      </c>
      <c r="R23" s="158">
        <f t="shared" ref="R23:R29" si="72">VLOOKUP(M23,Tarifa1,2)</f>
        <v>809.25</v>
      </c>
      <c r="S23" s="156">
        <f t="shared" ref="S23" si="73">Q23+R23</f>
        <v>1003.6452240000001</v>
      </c>
      <c r="T23" s="156">
        <f t="shared" ref="T23:T29" si="74">VLOOKUP(M23,Credito1,2)</f>
        <v>0</v>
      </c>
      <c r="U23" s="156">
        <f t="shared" ref="U23" si="75">ROUND(S23-T23,2)</f>
        <v>1003.65</v>
      </c>
      <c r="V23" s="155">
        <f t="shared" ref="V23:V29" si="76">-IF(U23&gt;0,0,U23)</f>
        <v>0</v>
      </c>
      <c r="W23" s="155">
        <f t="shared" ref="W23:W29" si="77">IF(I23/15&lt;=SMG,0,IF(U23&lt;0,0,U23))</f>
        <v>1003.65</v>
      </c>
      <c r="X23" s="155">
        <f t="shared" si="51"/>
        <v>1003.65</v>
      </c>
      <c r="Y23" s="155">
        <f t="shared" si="52"/>
        <v>7548.35</v>
      </c>
      <c r="Z23" s="110"/>
      <c r="AA23" s="193"/>
      <c r="AF23" s="96"/>
    </row>
    <row r="24" spans="1:32" s="93" customFormat="1" ht="126" customHeight="1" x14ac:dyDescent="0.35">
      <c r="A24" s="109"/>
      <c r="B24" s="148" t="s">
        <v>179</v>
      </c>
      <c r="C24" s="148" t="s">
        <v>115</v>
      </c>
      <c r="D24" s="210" t="s">
        <v>180</v>
      </c>
      <c r="E24" s="216">
        <v>43632</v>
      </c>
      <c r="F24" s="150" t="s">
        <v>163</v>
      </c>
      <c r="G24" s="151">
        <v>15</v>
      </c>
      <c r="H24" s="152"/>
      <c r="I24" s="153">
        <v>8552</v>
      </c>
      <c r="J24" s="154">
        <v>0</v>
      </c>
      <c r="K24" s="155">
        <f t="shared" ref="K24" si="78">SUM(I24:J24)</f>
        <v>8552</v>
      </c>
      <c r="L24" s="156">
        <f t="shared" ref="L24:L28" si="79">IF(I24/15&lt;=SMG,0,J24/2)</f>
        <v>0</v>
      </c>
      <c r="M24" s="156">
        <f t="shared" ref="M24:M29" si="80">I24+L24</f>
        <v>8552</v>
      </c>
      <c r="N24" s="156">
        <f t="shared" si="68"/>
        <v>7641.91</v>
      </c>
      <c r="O24" s="156">
        <f t="shared" ref="O24:O29" si="81">M24-N24</f>
        <v>910.09000000000015</v>
      </c>
      <c r="P24" s="157">
        <f t="shared" si="70"/>
        <v>0.21360000000000001</v>
      </c>
      <c r="Q24" s="156">
        <f t="shared" ref="Q24:Q29" si="82">O24*P24</f>
        <v>194.39522400000004</v>
      </c>
      <c r="R24" s="158">
        <f t="shared" si="72"/>
        <v>809.25</v>
      </c>
      <c r="S24" s="156">
        <f t="shared" ref="S24:S29" si="83">Q24+R24</f>
        <v>1003.6452240000001</v>
      </c>
      <c r="T24" s="156">
        <f t="shared" si="74"/>
        <v>0</v>
      </c>
      <c r="U24" s="156">
        <f t="shared" ref="U24:U29" si="84">ROUND(S24-T24,2)</f>
        <v>1003.65</v>
      </c>
      <c r="V24" s="155">
        <f t="shared" si="76"/>
        <v>0</v>
      </c>
      <c r="W24" s="155">
        <f t="shared" si="77"/>
        <v>1003.65</v>
      </c>
      <c r="X24" s="155">
        <f t="shared" si="51"/>
        <v>1003.65</v>
      </c>
      <c r="Y24" s="155">
        <f t="shared" si="52"/>
        <v>7548.35</v>
      </c>
      <c r="Z24" s="110"/>
      <c r="AF24" s="96"/>
    </row>
    <row r="25" spans="1:32" s="93" customFormat="1" ht="126" customHeight="1" x14ac:dyDescent="0.35">
      <c r="A25" s="109"/>
      <c r="B25" s="148" t="s">
        <v>265</v>
      </c>
      <c r="C25" s="148" t="s">
        <v>115</v>
      </c>
      <c r="D25" s="210" t="s">
        <v>266</v>
      </c>
      <c r="E25" s="216">
        <v>44728</v>
      </c>
      <c r="F25" s="150" t="s">
        <v>163</v>
      </c>
      <c r="G25" s="151"/>
      <c r="H25" s="152"/>
      <c r="I25" s="153">
        <v>8552</v>
      </c>
      <c r="J25" s="154">
        <v>0</v>
      </c>
      <c r="K25" s="155">
        <f>SUM(I25:J25)</f>
        <v>8552</v>
      </c>
      <c r="L25" s="156">
        <f t="shared" si="79"/>
        <v>0</v>
      </c>
      <c r="M25" s="156">
        <f t="shared" si="80"/>
        <v>8552</v>
      </c>
      <c r="N25" s="156">
        <f t="shared" si="68"/>
        <v>7641.91</v>
      </c>
      <c r="O25" s="156">
        <f t="shared" si="81"/>
        <v>910.09000000000015</v>
      </c>
      <c r="P25" s="157">
        <f t="shared" si="70"/>
        <v>0.21360000000000001</v>
      </c>
      <c r="Q25" s="156">
        <f t="shared" si="82"/>
        <v>194.39522400000004</v>
      </c>
      <c r="R25" s="158">
        <f t="shared" si="72"/>
        <v>809.25</v>
      </c>
      <c r="S25" s="156">
        <f t="shared" si="83"/>
        <v>1003.6452240000001</v>
      </c>
      <c r="T25" s="156">
        <f t="shared" si="74"/>
        <v>0</v>
      </c>
      <c r="U25" s="156">
        <f t="shared" si="84"/>
        <v>1003.65</v>
      </c>
      <c r="V25" s="155">
        <f t="shared" si="76"/>
        <v>0</v>
      </c>
      <c r="W25" s="155">
        <f t="shared" si="77"/>
        <v>1003.65</v>
      </c>
      <c r="X25" s="155">
        <f t="shared" si="51"/>
        <v>1003.65</v>
      </c>
      <c r="Y25" s="155">
        <f t="shared" si="52"/>
        <v>7548.35</v>
      </c>
      <c r="Z25" s="110"/>
      <c r="AF25" s="96"/>
    </row>
    <row r="26" spans="1:32" s="93" customFormat="1" ht="126" customHeight="1" x14ac:dyDescent="0.35">
      <c r="A26" s="109"/>
      <c r="B26" s="148" t="s">
        <v>195</v>
      </c>
      <c r="C26" s="148" t="s">
        <v>115</v>
      </c>
      <c r="D26" s="212" t="s">
        <v>196</v>
      </c>
      <c r="E26" s="217">
        <v>43967</v>
      </c>
      <c r="F26" s="150" t="s">
        <v>163</v>
      </c>
      <c r="G26" s="151"/>
      <c r="H26" s="152"/>
      <c r="I26" s="153">
        <v>6843</v>
      </c>
      <c r="J26" s="154">
        <v>0</v>
      </c>
      <c r="K26" s="155">
        <f>SUM(I26:J26)</f>
        <v>6843</v>
      </c>
      <c r="L26" s="156">
        <f t="shared" si="79"/>
        <v>0</v>
      </c>
      <c r="M26" s="156">
        <f t="shared" si="80"/>
        <v>6843</v>
      </c>
      <c r="N26" s="156">
        <f t="shared" si="68"/>
        <v>6382.81</v>
      </c>
      <c r="O26" s="156">
        <f t="shared" si="81"/>
        <v>460.1899999999996</v>
      </c>
      <c r="P26" s="157">
        <f t="shared" si="70"/>
        <v>0.1792</v>
      </c>
      <c r="Q26" s="156">
        <f t="shared" si="82"/>
        <v>82.46604799999993</v>
      </c>
      <c r="R26" s="158">
        <f t="shared" si="72"/>
        <v>583.65</v>
      </c>
      <c r="S26" s="156">
        <f t="shared" si="83"/>
        <v>666.11604799999986</v>
      </c>
      <c r="T26" s="156">
        <f t="shared" si="74"/>
        <v>0</v>
      </c>
      <c r="U26" s="156">
        <f t="shared" si="84"/>
        <v>666.12</v>
      </c>
      <c r="V26" s="155">
        <f t="shared" si="76"/>
        <v>0</v>
      </c>
      <c r="W26" s="155">
        <f t="shared" si="77"/>
        <v>666.12</v>
      </c>
      <c r="X26" s="155">
        <f t="shared" si="51"/>
        <v>666.12</v>
      </c>
      <c r="Y26" s="155">
        <f t="shared" si="52"/>
        <v>6176.88</v>
      </c>
      <c r="Z26" s="110"/>
      <c r="AF26" s="96"/>
    </row>
    <row r="27" spans="1:32" s="93" customFormat="1" ht="126" customHeight="1" x14ac:dyDescent="0.35">
      <c r="A27" s="109"/>
      <c r="B27" s="148" t="s">
        <v>316</v>
      </c>
      <c r="C27" s="148" t="s">
        <v>115</v>
      </c>
      <c r="D27" s="212" t="s">
        <v>319</v>
      </c>
      <c r="E27" s="217">
        <v>45033</v>
      </c>
      <c r="F27" s="150" t="s">
        <v>163</v>
      </c>
      <c r="G27" s="151"/>
      <c r="H27" s="152"/>
      <c r="I27" s="153">
        <v>6843</v>
      </c>
      <c r="J27" s="154">
        <v>0</v>
      </c>
      <c r="K27" s="155">
        <f>SUM(I27:J27)</f>
        <v>6843</v>
      </c>
      <c r="L27" s="156">
        <f t="shared" ref="L27" si="85">IF(I27/15&lt;=SMG,0,J27/2)</f>
        <v>0</v>
      </c>
      <c r="M27" s="156">
        <f t="shared" ref="M27" si="86">I27+L27</f>
        <v>6843</v>
      </c>
      <c r="N27" s="156">
        <f t="shared" ref="N27" si="87">VLOOKUP(M27,Tarifa1,1)</f>
        <v>6382.81</v>
      </c>
      <c r="O27" s="156">
        <f t="shared" ref="O27" si="88">M27-N27</f>
        <v>460.1899999999996</v>
      </c>
      <c r="P27" s="157">
        <f t="shared" ref="P27" si="89">VLOOKUP(M27,Tarifa1,3)</f>
        <v>0.1792</v>
      </c>
      <c r="Q27" s="156">
        <f t="shared" ref="Q27" si="90">O27*P27</f>
        <v>82.46604799999993</v>
      </c>
      <c r="R27" s="158">
        <f t="shared" ref="R27" si="91">VLOOKUP(M27,Tarifa1,2)</f>
        <v>583.65</v>
      </c>
      <c r="S27" s="156">
        <f t="shared" ref="S27" si="92">Q27+R27</f>
        <v>666.11604799999986</v>
      </c>
      <c r="T27" s="156">
        <f t="shared" ref="T27" si="93">VLOOKUP(M27,Credito1,2)</f>
        <v>0</v>
      </c>
      <c r="U27" s="156">
        <f t="shared" ref="U27" si="94">ROUND(S27-T27,2)</f>
        <v>666.12</v>
      </c>
      <c r="V27" s="155">
        <f t="shared" ref="V27" si="95">-IF(U27&gt;0,0,U27)</f>
        <v>0</v>
      </c>
      <c r="W27" s="155">
        <f t="shared" ref="W27" si="96">IF(I27/15&lt;=SMG,0,IF(U27&lt;0,0,U27))</f>
        <v>666.12</v>
      </c>
      <c r="X27" s="155">
        <f t="shared" si="51"/>
        <v>666.12</v>
      </c>
      <c r="Y27" s="155">
        <f t="shared" si="52"/>
        <v>6176.88</v>
      </c>
      <c r="Z27" s="110"/>
      <c r="AF27" s="96"/>
    </row>
    <row r="28" spans="1:32" s="93" customFormat="1" ht="126" customHeight="1" x14ac:dyDescent="0.35">
      <c r="A28" s="109"/>
      <c r="B28" s="148" t="s">
        <v>269</v>
      </c>
      <c r="C28" s="148" t="s">
        <v>115</v>
      </c>
      <c r="D28" s="210" t="s">
        <v>267</v>
      </c>
      <c r="E28" s="217">
        <v>44728</v>
      </c>
      <c r="F28" s="150" t="s">
        <v>268</v>
      </c>
      <c r="G28" s="151"/>
      <c r="H28" s="152"/>
      <c r="I28" s="153">
        <v>6253</v>
      </c>
      <c r="J28" s="154">
        <v>0</v>
      </c>
      <c r="K28" s="153">
        <f>I28</f>
        <v>6253</v>
      </c>
      <c r="L28" s="156">
        <f t="shared" si="79"/>
        <v>0</v>
      </c>
      <c r="M28" s="156">
        <f t="shared" si="80"/>
        <v>6253</v>
      </c>
      <c r="N28" s="156">
        <f t="shared" si="68"/>
        <v>5490.76</v>
      </c>
      <c r="O28" s="156">
        <f t="shared" si="81"/>
        <v>762.23999999999978</v>
      </c>
      <c r="P28" s="157">
        <f t="shared" si="70"/>
        <v>0.16</v>
      </c>
      <c r="Q28" s="156">
        <f t="shared" si="82"/>
        <v>121.95839999999997</v>
      </c>
      <c r="R28" s="158">
        <f t="shared" si="72"/>
        <v>441</v>
      </c>
      <c r="S28" s="156">
        <f t="shared" si="83"/>
        <v>562.95839999999998</v>
      </c>
      <c r="T28" s="156">
        <f t="shared" si="74"/>
        <v>0</v>
      </c>
      <c r="U28" s="156">
        <f t="shared" si="84"/>
        <v>562.96</v>
      </c>
      <c r="V28" s="155">
        <f t="shared" si="76"/>
        <v>0</v>
      </c>
      <c r="W28" s="155">
        <f t="shared" si="77"/>
        <v>562.96</v>
      </c>
      <c r="X28" s="155">
        <f t="shared" si="51"/>
        <v>562.96</v>
      </c>
      <c r="Y28" s="155">
        <f>K28+V28-X28+J28</f>
        <v>5690.04</v>
      </c>
      <c r="Z28" s="110"/>
      <c r="AF28" s="96"/>
    </row>
    <row r="29" spans="1:32" s="93" customFormat="1" ht="126" customHeight="1" x14ac:dyDescent="0.35">
      <c r="A29" s="109"/>
      <c r="B29" s="148" t="s">
        <v>174</v>
      </c>
      <c r="C29" s="148" t="s">
        <v>115</v>
      </c>
      <c r="D29" s="210" t="s">
        <v>164</v>
      </c>
      <c r="E29" s="216">
        <v>43512</v>
      </c>
      <c r="F29" s="150" t="s">
        <v>263</v>
      </c>
      <c r="G29" s="151">
        <v>15</v>
      </c>
      <c r="H29" s="152">
        <f t="shared" ref="H29" si="97">I29/G29</f>
        <v>310.2</v>
      </c>
      <c r="I29" s="153">
        <v>4653</v>
      </c>
      <c r="J29" s="154">
        <v>0</v>
      </c>
      <c r="K29" s="155">
        <f t="shared" ref="K29" si="98">SUM(I29:J29)</f>
        <v>4653</v>
      </c>
      <c r="L29" s="156">
        <f t="shared" ref="L29" si="99">IF(I29/15&lt;=SMG,0,J29/2)</f>
        <v>0</v>
      </c>
      <c r="M29" s="156">
        <f t="shared" si="80"/>
        <v>4653</v>
      </c>
      <c r="N29" s="156">
        <f t="shared" si="68"/>
        <v>3124.36</v>
      </c>
      <c r="O29" s="156">
        <f t="shared" si="81"/>
        <v>1528.6399999999999</v>
      </c>
      <c r="P29" s="157">
        <f t="shared" si="70"/>
        <v>0.10879999999999999</v>
      </c>
      <c r="Q29" s="156">
        <f t="shared" si="82"/>
        <v>166.31603199999998</v>
      </c>
      <c r="R29" s="158">
        <f t="shared" si="72"/>
        <v>183.45</v>
      </c>
      <c r="S29" s="156">
        <f t="shared" si="83"/>
        <v>349.766032</v>
      </c>
      <c r="T29" s="156">
        <f t="shared" si="74"/>
        <v>0</v>
      </c>
      <c r="U29" s="156">
        <f t="shared" si="84"/>
        <v>349.77</v>
      </c>
      <c r="V29" s="155">
        <f t="shared" si="76"/>
        <v>0</v>
      </c>
      <c r="W29" s="155">
        <f t="shared" si="77"/>
        <v>349.77</v>
      </c>
      <c r="X29" s="155">
        <f t="shared" si="51"/>
        <v>349.77</v>
      </c>
      <c r="Y29" s="155">
        <f>K29+V29-X29</f>
        <v>4303.2299999999996</v>
      </c>
      <c r="Z29" s="110"/>
      <c r="AF29" s="96"/>
    </row>
    <row r="30" spans="1:32" s="51" customFormat="1" ht="39" customHeight="1" thickBot="1" x14ac:dyDescent="0.35">
      <c r="A30" s="284" t="s">
        <v>44</v>
      </c>
      <c r="B30" s="285"/>
      <c r="C30" s="285"/>
      <c r="D30" s="285"/>
      <c r="E30" s="285"/>
      <c r="F30" s="285"/>
      <c r="G30" s="285"/>
      <c r="H30" s="286"/>
      <c r="I30" s="159">
        <f t="shared" ref="I30:Y30" si="100">SUM(I9:I29)</f>
        <v>116539.04999999999</v>
      </c>
      <c r="J30" s="159">
        <f t="shared" si="100"/>
        <v>0</v>
      </c>
      <c r="K30" s="159">
        <f t="shared" si="100"/>
        <v>116539.04999999999</v>
      </c>
      <c r="L30" s="160">
        <f t="shared" si="100"/>
        <v>0</v>
      </c>
      <c r="M30" s="160">
        <f t="shared" si="100"/>
        <v>116539.04999999999</v>
      </c>
      <c r="N30" s="160">
        <f t="shared" si="100"/>
        <v>96336.010000000009</v>
      </c>
      <c r="O30" s="160">
        <f t="shared" si="100"/>
        <v>20203.039999999994</v>
      </c>
      <c r="P30" s="160">
        <f t="shared" si="100"/>
        <v>2.7856000000000001</v>
      </c>
      <c r="Q30" s="160">
        <f t="shared" si="100"/>
        <v>3672.1901599999987</v>
      </c>
      <c r="R30" s="160">
        <f t="shared" si="100"/>
        <v>8920.7999999999993</v>
      </c>
      <c r="S30" s="160">
        <f t="shared" si="100"/>
        <v>12592.990159999998</v>
      </c>
      <c r="T30" s="160">
        <f t="shared" si="100"/>
        <v>0</v>
      </c>
      <c r="U30" s="160">
        <f t="shared" si="100"/>
        <v>12593.030000000002</v>
      </c>
      <c r="V30" s="159">
        <f t="shared" si="100"/>
        <v>0</v>
      </c>
      <c r="W30" s="159">
        <f t="shared" si="100"/>
        <v>12593.030000000002</v>
      </c>
      <c r="X30" s="159">
        <f t="shared" si="100"/>
        <v>12593.030000000002</v>
      </c>
      <c r="Y30" s="159">
        <f t="shared" si="100"/>
        <v>103946.02000000002</v>
      </c>
      <c r="Z30" s="111"/>
    </row>
    <row r="31" spans="1:32" s="51" customFormat="1" ht="39" customHeight="1" thickTop="1" x14ac:dyDescent="0.25">
      <c r="A31" s="105"/>
      <c r="B31" s="105"/>
      <c r="C31" s="105"/>
      <c r="D31" s="105"/>
      <c r="E31" s="105"/>
      <c r="F31" s="105"/>
      <c r="G31" s="105"/>
      <c r="H31" s="105"/>
      <c r="I31" s="106"/>
      <c r="J31" s="106"/>
      <c r="K31" s="106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6"/>
      <c r="W31" s="106"/>
      <c r="X31" s="106"/>
      <c r="Y31" s="106"/>
    </row>
    <row r="32" spans="1:32" s="51" customFormat="1" ht="11.4" x14ac:dyDescent="0.2"/>
    <row r="33" s="51" customFormat="1" ht="11.4" x14ac:dyDescent="0.2"/>
    <row r="34" s="51" customFormat="1" ht="11.4" x14ac:dyDescent="0.2"/>
  </sheetData>
  <mergeCells count="11">
    <mergeCell ref="A30:H30"/>
    <mergeCell ref="C5:C7"/>
    <mergeCell ref="A1:Z1"/>
    <mergeCell ref="A2:Z2"/>
    <mergeCell ref="A3:Z3"/>
    <mergeCell ref="I5:K5"/>
    <mergeCell ref="N5:S5"/>
    <mergeCell ref="W5:X5"/>
    <mergeCell ref="B17:AA17"/>
    <mergeCell ref="B18:AA18"/>
    <mergeCell ref="B19:AA19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29 E23:E27 D22:D29 D16:E16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opLeftCell="B31" zoomScale="69" zoomScaleNormal="69" workbookViewId="0">
      <selection activeCell="B39" sqref="A39:XFD47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1" customFormat="1" ht="12" x14ac:dyDescent="0.25">
      <c r="A5" s="47"/>
      <c r="B5" s="47"/>
      <c r="C5" s="47"/>
      <c r="D5" s="47"/>
      <c r="E5" s="47"/>
      <c r="F5" s="47"/>
      <c r="G5" s="48" t="s">
        <v>22</v>
      </c>
      <c r="H5" s="48" t="s">
        <v>5</v>
      </c>
      <c r="I5" s="309" t="s">
        <v>1</v>
      </c>
      <c r="J5" s="310"/>
      <c r="K5" s="311"/>
      <c r="L5" s="49" t="s">
        <v>25</v>
      </c>
      <c r="M5" s="50"/>
      <c r="N5" s="312" t="s">
        <v>8</v>
      </c>
      <c r="O5" s="313"/>
      <c r="P5" s="313"/>
      <c r="Q5" s="313"/>
      <c r="R5" s="313"/>
      <c r="S5" s="314"/>
      <c r="T5" s="49" t="s">
        <v>29</v>
      </c>
      <c r="U5" s="49" t="s">
        <v>9</v>
      </c>
      <c r="V5" s="48" t="s">
        <v>52</v>
      </c>
      <c r="W5" s="315" t="s">
        <v>2</v>
      </c>
      <c r="X5" s="316"/>
      <c r="Y5" s="48" t="s">
        <v>0</v>
      </c>
      <c r="Z5" s="47"/>
    </row>
    <row r="6" spans="1:26" s="51" customFormat="1" ht="24" x14ac:dyDescent="0.25">
      <c r="A6" s="52" t="s">
        <v>106</v>
      </c>
      <c r="B6" s="46" t="s">
        <v>101</v>
      </c>
      <c r="C6" s="46" t="s">
        <v>124</v>
      </c>
      <c r="D6" s="52" t="s">
        <v>21</v>
      </c>
      <c r="E6" s="52"/>
      <c r="F6" s="52"/>
      <c r="G6" s="53" t="s">
        <v>23</v>
      </c>
      <c r="H6" s="52" t="s">
        <v>24</v>
      </c>
      <c r="I6" s="48" t="s">
        <v>5</v>
      </c>
      <c r="J6" s="48" t="s">
        <v>57</v>
      </c>
      <c r="K6" s="48" t="s">
        <v>27</v>
      </c>
      <c r="L6" s="54" t="s">
        <v>26</v>
      </c>
      <c r="M6" s="50" t="s">
        <v>31</v>
      </c>
      <c r="N6" s="50" t="s">
        <v>11</v>
      </c>
      <c r="O6" s="50" t="s">
        <v>33</v>
      </c>
      <c r="P6" s="50" t="s">
        <v>35</v>
      </c>
      <c r="Q6" s="50" t="s">
        <v>36</v>
      </c>
      <c r="R6" s="85" t="s">
        <v>13</v>
      </c>
      <c r="S6" s="50" t="s">
        <v>9</v>
      </c>
      <c r="T6" s="54" t="s">
        <v>39</v>
      </c>
      <c r="U6" s="54" t="s">
        <v>40</v>
      </c>
      <c r="V6" s="52" t="s">
        <v>30</v>
      </c>
      <c r="W6" s="48" t="s">
        <v>290</v>
      </c>
      <c r="X6" s="48" t="s">
        <v>6</v>
      </c>
      <c r="Y6" s="52" t="s">
        <v>3</v>
      </c>
      <c r="Z6" s="52" t="s">
        <v>56</v>
      </c>
    </row>
    <row r="7" spans="1:26" s="51" customFormat="1" ht="12" x14ac:dyDescent="0.25">
      <c r="A7" s="52"/>
      <c r="B7" s="52"/>
      <c r="C7" s="52"/>
      <c r="D7" s="52"/>
      <c r="E7" s="52"/>
      <c r="F7" s="52"/>
      <c r="G7" s="52"/>
      <c r="H7" s="52"/>
      <c r="I7" s="52" t="s">
        <v>46</v>
      </c>
      <c r="J7" s="52" t="s">
        <v>58</v>
      </c>
      <c r="K7" s="52" t="s">
        <v>28</v>
      </c>
      <c r="L7" s="54" t="s">
        <v>42</v>
      </c>
      <c r="M7" s="49" t="s">
        <v>32</v>
      </c>
      <c r="N7" s="49" t="s">
        <v>12</v>
      </c>
      <c r="O7" s="49" t="s">
        <v>34</v>
      </c>
      <c r="P7" s="49" t="s">
        <v>34</v>
      </c>
      <c r="Q7" s="49" t="s">
        <v>37</v>
      </c>
      <c r="R7" s="86" t="s">
        <v>14</v>
      </c>
      <c r="S7" s="49" t="s">
        <v>38</v>
      </c>
      <c r="T7" s="54" t="s">
        <v>18</v>
      </c>
      <c r="U7" s="55" t="s">
        <v>125</v>
      </c>
      <c r="V7" s="52" t="s">
        <v>51</v>
      </c>
      <c r="W7" s="52"/>
      <c r="X7" s="52" t="s">
        <v>43</v>
      </c>
      <c r="Y7" s="52" t="s">
        <v>4</v>
      </c>
      <c r="Z7" s="56"/>
    </row>
    <row r="8" spans="1:26" s="4" customFormat="1" ht="39.75" customHeight="1" x14ac:dyDescent="0.3">
      <c r="A8" s="97"/>
      <c r="B8" s="116"/>
      <c r="C8" s="116"/>
      <c r="D8" s="116" t="s">
        <v>68</v>
      </c>
      <c r="E8" s="135" t="s">
        <v>310</v>
      </c>
      <c r="F8" s="116" t="s">
        <v>60</v>
      </c>
      <c r="G8" s="116"/>
      <c r="H8" s="116"/>
      <c r="I8" s="117">
        <f>SUM(I9:I20)</f>
        <v>51010.369999999995</v>
      </c>
      <c r="J8" s="117">
        <f>SUM(J9:J20)</f>
        <v>297.8</v>
      </c>
      <c r="K8" s="117">
        <f>SUM(K9:K20)</f>
        <v>51308.17</v>
      </c>
      <c r="L8" s="116"/>
      <c r="M8" s="116"/>
      <c r="N8" s="116"/>
      <c r="O8" s="116"/>
      <c r="P8" s="116"/>
      <c r="Q8" s="116"/>
      <c r="R8" s="118"/>
      <c r="S8" s="116"/>
      <c r="T8" s="116"/>
      <c r="U8" s="116"/>
      <c r="V8" s="117">
        <f>SUM(V9:V20)</f>
        <v>0</v>
      </c>
      <c r="W8" s="117">
        <f>SUM(W9:W20)</f>
        <v>3309.7700000000004</v>
      </c>
      <c r="X8" s="117">
        <f>SUM(X9:X20)</f>
        <v>3309.7700000000004</v>
      </c>
      <c r="Y8" s="117">
        <f>SUM(Y9:Y20)</f>
        <v>47998.399999999994</v>
      </c>
      <c r="Z8" s="98"/>
    </row>
    <row r="9" spans="1:26" s="4" customFormat="1" ht="77.25" customHeight="1" x14ac:dyDescent="0.35">
      <c r="A9" s="43"/>
      <c r="B9" s="148" t="s">
        <v>175</v>
      </c>
      <c r="C9" s="148" t="s">
        <v>115</v>
      </c>
      <c r="D9" s="212" t="s">
        <v>170</v>
      </c>
      <c r="E9" s="217">
        <v>43512</v>
      </c>
      <c r="F9" s="150" t="s">
        <v>169</v>
      </c>
      <c r="G9" s="151">
        <v>15</v>
      </c>
      <c r="H9" s="152">
        <f>I9/G9</f>
        <v>291.84866666666665</v>
      </c>
      <c r="I9" s="153">
        <v>4377.7299999999996</v>
      </c>
      <c r="J9" s="154">
        <v>0</v>
      </c>
      <c r="K9" s="155">
        <f>SUM(I9:J9)</f>
        <v>4377.7299999999996</v>
      </c>
      <c r="L9" s="156">
        <f>IF(I9/15&lt;=SMG,0,J9/2)</f>
        <v>0</v>
      </c>
      <c r="M9" s="156">
        <f t="shared" ref="M9:M10" si="0">I9+L9</f>
        <v>4377.7299999999996</v>
      </c>
      <c r="N9" s="156">
        <f>VLOOKUP(M9,Tarifa1,1)</f>
        <v>3124.36</v>
      </c>
      <c r="O9" s="156">
        <f t="shared" ref="O9:O10" si="1">M9-N9</f>
        <v>1253.3699999999994</v>
      </c>
      <c r="P9" s="157">
        <f>VLOOKUP(M9,Tarifa1,3)</f>
        <v>0.10879999999999999</v>
      </c>
      <c r="Q9" s="156">
        <f t="shared" ref="Q9:Q10" si="2">O9*P9</f>
        <v>136.36665599999992</v>
      </c>
      <c r="R9" s="158">
        <f>VLOOKUP(M9,Tarifa1,2)</f>
        <v>183.45</v>
      </c>
      <c r="S9" s="156">
        <f t="shared" ref="S9:S10" si="3">Q9+R9</f>
        <v>319.81665599999991</v>
      </c>
      <c r="T9" s="156">
        <f>VLOOKUP(M9,Credito1,2)</f>
        <v>0</v>
      </c>
      <c r="U9" s="156">
        <f t="shared" ref="U9:U10" si="4">ROUND(S9-T9,2)</f>
        <v>319.82</v>
      </c>
      <c r="V9" s="155">
        <f t="shared" ref="V9:V10" si="5">-IF(U9&gt;0,0,U9)</f>
        <v>0</v>
      </c>
      <c r="W9" s="155">
        <f>IF(I9/15&lt;=SMG,0,IF(U9&lt;0,0,U9))</f>
        <v>319.82</v>
      </c>
      <c r="X9" s="155">
        <f t="shared" ref="X9:X20" si="6">SUM(W9:W9)</f>
        <v>319.82</v>
      </c>
      <c r="Y9" s="155">
        <f t="shared" ref="Y9:Y20" si="7">K9+V9-X9</f>
        <v>4057.9099999999994</v>
      </c>
      <c r="Z9" s="89"/>
    </row>
    <row r="10" spans="1:26" s="4" customFormat="1" ht="77.25" customHeight="1" x14ac:dyDescent="0.35">
      <c r="A10" s="43"/>
      <c r="B10" s="148" t="s">
        <v>103</v>
      </c>
      <c r="C10" s="148" t="s">
        <v>115</v>
      </c>
      <c r="D10" s="212" t="s">
        <v>69</v>
      </c>
      <c r="E10" s="217">
        <v>39448</v>
      </c>
      <c r="F10" s="150" t="s">
        <v>70</v>
      </c>
      <c r="G10" s="151">
        <v>15</v>
      </c>
      <c r="H10" s="152">
        <f>I10/G10</f>
        <v>291.84866666666665</v>
      </c>
      <c r="I10" s="153">
        <v>4377.7299999999996</v>
      </c>
      <c r="J10" s="154">
        <v>0</v>
      </c>
      <c r="K10" s="155">
        <f>SUM(I10:J10)</f>
        <v>4377.7299999999996</v>
      </c>
      <c r="L10" s="156">
        <f>IF(I10/15&lt;=SMG,0,J10/2)</f>
        <v>0</v>
      </c>
      <c r="M10" s="156">
        <f t="shared" si="0"/>
        <v>4377.7299999999996</v>
      </c>
      <c r="N10" s="156">
        <f>VLOOKUP(M10,Tarifa1,1)</f>
        <v>3124.36</v>
      </c>
      <c r="O10" s="156">
        <f t="shared" si="1"/>
        <v>1253.3699999999994</v>
      </c>
      <c r="P10" s="157">
        <f>VLOOKUP(M10,Tarifa1,3)</f>
        <v>0.10879999999999999</v>
      </c>
      <c r="Q10" s="156">
        <f t="shared" si="2"/>
        <v>136.36665599999992</v>
      </c>
      <c r="R10" s="158">
        <f>VLOOKUP(M10,Tarifa1,2)</f>
        <v>183.45</v>
      </c>
      <c r="S10" s="156">
        <f t="shared" si="3"/>
        <v>319.81665599999991</v>
      </c>
      <c r="T10" s="156">
        <f>VLOOKUP(M10,Credito1,2)</f>
        <v>0</v>
      </c>
      <c r="U10" s="156">
        <f t="shared" si="4"/>
        <v>319.82</v>
      </c>
      <c r="V10" s="155">
        <f t="shared" si="5"/>
        <v>0</v>
      </c>
      <c r="W10" s="155">
        <f>IF(I10/15&lt;=SMG,0,IF(U10&lt;0,0,U10))</f>
        <v>319.82</v>
      </c>
      <c r="X10" s="155">
        <f t="shared" si="6"/>
        <v>319.82</v>
      </c>
      <c r="Y10" s="155">
        <f t="shared" si="7"/>
        <v>4057.9099999999994</v>
      </c>
      <c r="Z10" s="89"/>
    </row>
    <row r="11" spans="1:26" s="4" customFormat="1" ht="77.25" customHeight="1" x14ac:dyDescent="0.35">
      <c r="A11" s="43"/>
      <c r="B11" s="148" t="s">
        <v>271</v>
      </c>
      <c r="C11" s="148" t="s">
        <v>115</v>
      </c>
      <c r="D11" s="212" t="s">
        <v>275</v>
      </c>
      <c r="E11" s="223">
        <v>44743</v>
      </c>
      <c r="F11" s="150" t="s">
        <v>169</v>
      </c>
      <c r="G11" s="151">
        <v>15</v>
      </c>
      <c r="H11" s="152"/>
      <c r="I11" s="153">
        <v>4489.93</v>
      </c>
      <c r="J11" s="154">
        <v>0</v>
      </c>
      <c r="K11" s="155">
        <f>SUM(I11:J11)</f>
        <v>4489.93</v>
      </c>
      <c r="L11" s="156">
        <f>IF(I11/15&lt;=SMG,0,J11/2)</f>
        <v>0</v>
      </c>
      <c r="M11" s="156">
        <f t="shared" ref="M11:M20" si="8">I11+L11</f>
        <v>4489.93</v>
      </c>
      <c r="N11" s="156">
        <f>VLOOKUP(M11,Tarifa1,1)</f>
        <v>3124.36</v>
      </c>
      <c r="O11" s="156">
        <f t="shared" ref="O11:O20" si="9">M11-N11</f>
        <v>1365.5700000000002</v>
      </c>
      <c r="P11" s="157">
        <f>VLOOKUP(M11,Tarifa1,3)</f>
        <v>0.10879999999999999</v>
      </c>
      <c r="Q11" s="156">
        <f t="shared" ref="Q11:Q20" si="10">O11*P11</f>
        <v>148.574016</v>
      </c>
      <c r="R11" s="158">
        <f>VLOOKUP(M11,Tarifa1,2)</f>
        <v>183.45</v>
      </c>
      <c r="S11" s="156">
        <f t="shared" ref="S11:S20" si="11">Q11+R11</f>
        <v>332.02401599999996</v>
      </c>
      <c r="T11" s="156">
        <f>VLOOKUP(M11,Credito1,2)</f>
        <v>0</v>
      </c>
      <c r="U11" s="156">
        <f t="shared" ref="U11:U20" si="12">ROUND(S11-T11,2)</f>
        <v>332.02</v>
      </c>
      <c r="V11" s="155">
        <f t="shared" ref="V11:V20" si="13">-IF(U11&gt;0,0,U11)</f>
        <v>0</v>
      </c>
      <c r="W11" s="155">
        <f>IF(I11/15&lt;=SMG,0,IF(U11&lt;0,0,U11))</f>
        <v>332.02</v>
      </c>
      <c r="X11" s="155">
        <f t="shared" si="6"/>
        <v>332.02</v>
      </c>
      <c r="Y11" s="155">
        <f t="shared" si="7"/>
        <v>4157.91</v>
      </c>
      <c r="Z11" s="89"/>
    </row>
    <row r="12" spans="1:26" s="4" customFormat="1" ht="77.25" customHeight="1" x14ac:dyDescent="0.35">
      <c r="A12" s="43"/>
      <c r="B12" s="148" t="s">
        <v>132</v>
      </c>
      <c r="C12" s="148" t="s">
        <v>115</v>
      </c>
      <c r="D12" s="214" t="s">
        <v>131</v>
      </c>
      <c r="E12" s="221">
        <v>42948</v>
      </c>
      <c r="F12" s="150" t="s">
        <v>320</v>
      </c>
      <c r="G12" s="151">
        <v>15</v>
      </c>
      <c r="H12" s="152">
        <f>I12/G12</f>
        <v>297.8</v>
      </c>
      <c r="I12" s="153">
        <v>4467</v>
      </c>
      <c r="J12" s="154">
        <v>297.8</v>
      </c>
      <c r="K12" s="155">
        <f>SUM(I12:J12)</f>
        <v>4764.8</v>
      </c>
      <c r="L12" s="156">
        <f t="shared" ref="L12:L15" si="14">IF(I12/15&lt;=SMG,0,J12/2)</f>
        <v>148.9</v>
      </c>
      <c r="M12" s="156">
        <f t="shared" si="8"/>
        <v>4615.8999999999996</v>
      </c>
      <c r="N12" s="156">
        <f t="shared" ref="N12:N20" si="15">VLOOKUP(M12,Tarifa1,1)</f>
        <v>3124.36</v>
      </c>
      <c r="O12" s="156">
        <f t="shared" si="9"/>
        <v>1491.5399999999995</v>
      </c>
      <c r="P12" s="157">
        <f t="shared" ref="P12:P20" si="16">VLOOKUP(M12,Tarifa1,3)</f>
        <v>0.10879999999999999</v>
      </c>
      <c r="Q12" s="156">
        <f t="shared" si="10"/>
        <v>162.27955199999994</v>
      </c>
      <c r="R12" s="158">
        <f t="shared" ref="R12:R20" si="17">VLOOKUP(M12,Tarifa1,2)</f>
        <v>183.45</v>
      </c>
      <c r="S12" s="156">
        <f t="shared" si="11"/>
        <v>345.7295519999999</v>
      </c>
      <c r="T12" s="156">
        <f t="shared" ref="T12:T20" si="18">VLOOKUP(M12,Credito1,2)</f>
        <v>0</v>
      </c>
      <c r="U12" s="156">
        <f t="shared" si="12"/>
        <v>345.73</v>
      </c>
      <c r="V12" s="155">
        <f t="shared" si="13"/>
        <v>0</v>
      </c>
      <c r="W12" s="155">
        <f t="shared" ref="W12:W20" si="19">IF(I12/15&lt;=SMG,0,IF(U12&lt;0,0,U12))</f>
        <v>345.73</v>
      </c>
      <c r="X12" s="155">
        <f t="shared" si="6"/>
        <v>345.73</v>
      </c>
      <c r="Y12" s="155">
        <f t="shared" si="7"/>
        <v>4419.07</v>
      </c>
      <c r="Z12" s="89"/>
    </row>
    <row r="13" spans="1:26" s="4" customFormat="1" ht="77.25" customHeight="1" x14ac:dyDescent="0.35">
      <c r="A13" s="43"/>
      <c r="B13" s="148" t="s">
        <v>330</v>
      </c>
      <c r="C13" s="148" t="s">
        <v>115</v>
      </c>
      <c r="D13" s="214" t="s">
        <v>331</v>
      </c>
      <c r="E13" s="221">
        <v>45078</v>
      </c>
      <c r="F13" s="150" t="s">
        <v>102</v>
      </c>
      <c r="G13" s="151"/>
      <c r="H13" s="152"/>
      <c r="I13" s="153">
        <v>4032.23</v>
      </c>
      <c r="J13" s="154">
        <v>0</v>
      </c>
      <c r="K13" s="155">
        <f t="shared" ref="K13" si="20">SUM(I13:J13)</f>
        <v>4032.23</v>
      </c>
      <c r="L13" s="156">
        <f t="shared" ref="L13" si="21">IF(I13/15&lt;=SMG,0,J13/2)</f>
        <v>0</v>
      </c>
      <c r="M13" s="156">
        <f t="shared" ref="M13" si="22">I13+L13</f>
        <v>4032.23</v>
      </c>
      <c r="N13" s="156">
        <f t="shared" ref="N13" si="23">VLOOKUP(M13,Tarifa1,1)</f>
        <v>3124.36</v>
      </c>
      <c r="O13" s="156">
        <f t="shared" ref="O13" si="24">M13-N13</f>
        <v>907.86999999999989</v>
      </c>
      <c r="P13" s="157">
        <f t="shared" ref="P13" si="25">VLOOKUP(M13,Tarifa1,3)</f>
        <v>0.10879999999999999</v>
      </c>
      <c r="Q13" s="156">
        <f t="shared" ref="Q13" si="26">O13*P13</f>
        <v>98.776255999999989</v>
      </c>
      <c r="R13" s="158">
        <f t="shared" ref="R13" si="27">VLOOKUP(M13,Tarifa1,2)</f>
        <v>183.45</v>
      </c>
      <c r="S13" s="156">
        <f t="shared" ref="S13" si="28">Q13+R13</f>
        <v>282.22625599999998</v>
      </c>
      <c r="T13" s="156">
        <f t="shared" ref="T13" si="29">VLOOKUP(M13,Credito1,2)</f>
        <v>0</v>
      </c>
      <c r="U13" s="156">
        <f t="shared" ref="U13" si="30">ROUND(S13-T13,2)</f>
        <v>282.23</v>
      </c>
      <c r="V13" s="155">
        <f t="shared" ref="V13" si="31">-IF(U13&gt;0,0,U13)</f>
        <v>0</v>
      </c>
      <c r="W13" s="155">
        <f t="shared" ref="W13" si="32">IF(I13/15&lt;=SMG,0,IF(U13&lt;0,0,U13))</f>
        <v>282.23</v>
      </c>
      <c r="X13" s="155">
        <f t="shared" si="6"/>
        <v>282.23</v>
      </c>
      <c r="Y13" s="155">
        <f t="shared" si="7"/>
        <v>3750</v>
      </c>
      <c r="Z13" s="89"/>
    </row>
    <row r="14" spans="1:26" s="4" customFormat="1" ht="77.25" customHeight="1" x14ac:dyDescent="0.35">
      <c r="A14" s="43"/>
      <c r="B14" s="148" t="s">
        <v>185</v>
      </c>
      <c r="C14" s="148" t="s">
        <v>115</v>
      </c>
      <c r="D14" s="214" t="s">
        <v>186</v>
      </c>
      <c r="E14" s="221">
        <v>43709</v>
      </c>
      <c r="F14" s="150" t="s">
        <v>248</v>
      </c>
      <c r="G14" s="151">
        <v>15</v>
      </c>
      <c r="H14" s="152"/>
      <c r="I14" s="153">
        <v>3403</v>
      </c>
      <c r="J14" s="154">
        <v>0</v>
      </c>
      <c r="K14" s="155">
        <f t="shared" ref="K14" si="33">SUM(I14:J14)</f>
        <v>3403</v>
      </c>
      <c r="L14" s="156">
        <f t="shared" si="14"/>
        <v>0</v>
      </c>
      <c r="M14" s="156">
        <f t="shared" si="8"/>
        <v>3403</v>
      </c>
      <c r="N14" s="156">
        <f t="shared" si="15"/>
        <v>3124.36</v>
      </c>
      <c r="O14" s="156">
        <f t="shared" si="9"/>
        <v>278.63999999999987</v>
      </c>
      <c r="P14" s="157">
        <f t="shared" si="16"/>
        <v>0.10879999999999999</v>
      </c>
      <c r="Q14" s="156">
        <f t="shared" si="10"/>
        <v>30.316031999999986</v>
      </c>
      <c r="R14" s="158">
        <f t="shared" si="17"/>
        <v>183.45</v>
      </c>
      <c r="S14" s="156">
        <f t="shared" si="11"/>
        <v>213.76603199999997</v>
      </c>
      <c r="T14" s="156">
        <f t="shared" si="18"/>
        <v>125.1</v>
      </c>
      <c r="U14" s="156">
        <f t="shared" si="12"/>
        <v>88.67</v>
      </c>
      <c r="V14" s="155">
        <f t="shared" si="13"/>
        <v>0</v>
      </c>
      <c r="W14" s="155">
        <f t="shared" si="19"/>
        <v>88.67</v>
      </c>
      <c r="X14" s="155">
        <f t="shared" si="6"/>
        <v>88.67</v>
      </c>
      <c r="Y14" s="155">
        <f t="shared" si="7"/>
        <v>3314.33</v>
      </c>
      <c r="Z14" s="89"/>
    </row>
    <row r="15" spans="1:26" s="4" customFormat="1" ht="77.25" customHeight="1" x14ac:dyDescent="0.35">
      <c r="A15" s="43"/>
      <c r="B15" s="148" t="s">
        <v>354</v>
      </c>
      <c r="C15" s="148" t="s">
        <v>115</v>
      </c>
      <c r="D15" s="214" t="s">
        <v>351</v>
      </c>
      <c r="E15" s="221">
        <v>45123</v>
      </c>
      <c r="F15" s="150" t="s">
        <v>350</v>
      </c>
      <c r="G15" s="151">
        <v>15</v>
      </c>
      <c r="H15" s="152"/>
      <c r="I15" s="153">
        <v>4312.75</v>
      </c>
      <c r="J15" s="154">
        <v>0</v>
      </c>
      <c r="K15" s="155">
        <f>SUM(I15:J15)</f>
        <v>4312.75</v>
      </c>
      <c r="L15" s="156">
        <f t="shared" si="14"/>
        <v>0</v>
      </c>
      <c r="M15" s="156">
        <f t="shared" si="8"/>
        <v>4312.75</v>
      </c>
      <c r="N15" s="156">
        <f t="shared" si="15"/>
        <v>3124.36</v>
      </c>
      <c r="O15" s="156">
        <f t="shared" si="9"/>
        <v>1188.3899999999999</v>
      </c>
      <c r="P15" s="157">
        <f t="shared" si="16"/>
        <v>0.10879999999999999</v>
      </c>
      <c r="Q15" s="156">
        <f t="shared" si="10"/>
        <v>129.29683199999997</v>
      </c>
      <c r="R15" s="158">
        <f t="shared" si="17"/>
        <v>183.45</v>
      </c>
      <c r="S15" s="156">
        <f t="shared" si="11"/>
        <v>312.74683199999993</v>
      </c>
      <c r="T15" s="156">
        <f t="shared" si="18"/>
        <v>0</v>
      </c>
      <c r="U15" s="156">
        <f t="shared" si="12"/>
        <v>312.75</v>
      </c>
      <c r="V15" s="155">
        <f t="shared" si="13"/>
        <v>0</v>
      </c>
      <c r="W15" s="155">
        <f t="shared" si="19"/>
        <v>312.75</v>
      </c>
      <c r="X15" s="155">
        <f t="shared" si="6"/>
        <v>312.75</v>
      </c>
      <c r="Y15" s="155">
        <f t="shared" si="7"/>
        <v>4000</v>
      </c>
      <c r="Z15" s="89"/>
    </row>
    <row r="16" spans="1:26" s="4" customFormat="1" ht="77.25" customHeight="1" x14ac:dyDescent="0.35">
      <c r="A16" s="43"/>
      <c r="B16" s="148" t="s">
        <v>296</v>
      </c>
      <c r="C16" s="148" t="s">
        <v>115</v>
      </c>
      <c r="D16" s="214" t="s">
        <v>297</v>
      </c>
      <c r="E16" s="221">
        <v>44973</v>
      </c>
      <c r="F16" s="150" t="s">
        <v>298</v>
      </c>
      <c r="G16" s="151"/>
      <c r="H16" s="152"/>
      <c r="I16" s="153">
        <v>3403</v>
      </c>
      <c r="J16" s="154">
        <v>0</v>
      </c>
      <c r="K16" s="155">
        <f t="shared" ref="K16" si="34">SUM(I16:J16)</f>
        <v>3403</v>
      </c>
      <c r="L16" s="156">
        <f t="shared" ref="L16" si="35">IF(I16/15&lt;=SMG,0,J16/2)</f>
        <v>0</v>
      </c>
      <c r="M16" s="156">
        <f t="shared" ref="M16:M17" si="36">I16+L16</f>
        <v>3403</v>
      </c>
      <c r="N16" s="156">
        <f t="shared" ref="N16:N17" si="37">VLOOKUP(M16,Tarifa1,1)</f>
        <v>3124.36</v>
      </c>
      <c r="O16" s="156">
        <f t="shared" ref="O16:O17" si="38">M16-N16</f>
        <v>278.63999999999987</v>
      </c>
      <c r="P16" s="157">
        <f t="shared" ref="P16:P17" si="39">VLOOKUP(M16,Tarifa1,3)</f>
        <v>0.10879999999999999</v>
      </c>
      <c r="Q16" s="156">
        <f t="shared" ref="Q16:Q17" si="40">O16*P16</f>
        <v>30.316031999999986</v>
      </c>
      <c r="R16" s="158">
        <f t="shared" ref="R16:R17" si="41">VLOOKUP(M16,Tarifa1,2)</f>
        <v>183.45</v>
      </c>
      <c r="S16" s="156">
        <f t="shared" ref="S16:S17" si="42">Q16+R16</f>
        <v>213.76603199999997</v>
      </c>
      <c r="T16" s="156">
        <f t="shared" ref="T16:T17" si="43">VLOOKUP(M16,Credito1,2)</f>
        <v>125.1</v>
      </c>
      <c r="U16" s="156">
        <f t="shared" ref="U16:U17" si="44">ROUND(S16-T16,2)</f>
        <v>88.67</v>
      </c>
      <c r="V16" s="155">
        <f t="shared" ref="V16:V17" si="45">-IF(U16&gt;0,0,U16)</f>
        <v>0</v>
      </c>
      <c r="W16" s="155">
        <f t="shared" ref="W16:W17" si="46">IF(I16/15&lt;=SMG,0,IF(U16&lt;0,0,U16))</f>
        <v>88.67</v>
      </c>
      <c r="X16" s="155">
        <f t="shared" si="6"/>
        <v>88.67</v>
      </c>
      <c r="Y16" s="155">
        <f t="shared" si="7"/>
        <v>3314.33</v>
      </c>
      <c r="Z16" s="89"/>
    </row>
    <row r="17" spans="1:32" s="4" customFormat="1" ht="77.25" customHeight="1" x14ac:dyDescent="0.35">
      <c r="A17" s="43"/>
      <c r="B17" s="148" t="s">
        <v>327</v>
      </c>
      <c r="C17" s="148" t="s">
        <v>115</v>
      </c>
      <c r="D17" s="214" t="s">
        <v>328</v>
      </c>
      <c r="E17" s="221">
        <v>45078</v>
      </c>
      <c r="F17" s="150" t="s">
        <v>329</v>
      </c>
      <c r="G17" s="151"/>
      <c r="H17" s="152"/>
      <c r="I17" s="153">
        <v>3221</v>
      </c>
      <c r="J17" s="154">
        <v>0</v>
      </c>
      <c r="K17" s="155">
        <f>SUM(I17:J17)</f>
        <v>3221</v>
      </c>
      <c r="L17" s="156">
        <f>IF(I17/15&lt;=SMG,0,J17/2)</f>
        <v>0</v>
      </c>
      <c r="M17" s="156">
        <f t="shared" si="36"/>
        <v>3221</v>
      </c>
      <c r="N17" s="156">
        <f t="shared" si="37"/>
        <v>3124.36</v>
      </c>
      <c r="O17" s="156">
        <f t="shared" si="38"/>
        <v>96.639999999999873</v>
      </c>
      <c r="P17" s="157">
        <f t="shared" si="39"/>
        <v>0.10879999999999999</v>
      </c>
      <c r="Q17" s="156">
        <f t="shared" si="40"/>
        <v>10.514431999999985</v>
      </c>
      <c r="R17" s="158">
        <f t="shared" si="41"/>
        <v>183.45</v>
      </c>
      <c r="S17" s="156">
        <f t="shared" si="42"/>
        <v>193.96443199999999</v>
      </c>
      <c r="T17" s="156">
        <f t="shared" si="43"/>
        <v>125.1</v>
      </c>
      <c r="U17" s="156">
        <f t="shared" si="44"/>
        <v>68.86</v>
      </c>
      <c r="V17" s="155">
        <f t="shared" si="45"/>
        <v>0</v>
      </c>
      <c r="W17" s="155">
        <f t="shared" si="46"/>
        <v>68.86</v>
      </c>
      <c r="X17" s="155">
        <f t="shared" si="6"/>
        <v>68.86</v>
      </c>
      <c r="Y17" s="155">
        <f t="shared" si="7"/>
        <v>3152.14</v>
      </c>
      <c r="Z17" s="89"/>
    </row>
    <row r="18" spans="1:32" s="4" customFormat="1" ht="77.25" customHeight="1" x14ac:dyDescent="0.35">
      <c r="A18" s="43"/>
      <c r="B18" s="147" t="s">
        <v>218</v>
      </c>
      <c r="C18" s="148" t="s">
        <v>115</v>
      </c>
      <c r="D18" s="212" t="s">
        <v>237</v>
      </c>
      <c r="E18" s="217">
        <v>44470</v>
      </c>
      <c r="F18" s="149" t="s">
        <v>71</v>
      </c>
      <c r="G18" s="151">
        <v>15</v>
      </c>
      <c r="H18" s="152">
        <f>I18/G18</f>
        <v>497.6</v>
      </c>
      <c r="I18" s="153">
        <v>7464</v>
      </c>
      <c r="J18" s="154">
        <v>0</v>
      </c>
      <c r="K18" s="155">
        <f t="shared" ref="K18" si="47">SUM(I18:J18)</f>
        <v>7464</v>
      </c>
      <c r="L18" s="156">
        <f t="shared" ref="L18" si="48">IF(I18/15&lt;=SMG,0,J18/2)</f>
        <v>0</v>
      </c>
      <c r="M18" s="156">
        <f t="shared" si="8"/>
        <v>7464</v>
      </c>
      <c r="N18" s="156">
        <f t="shared" si="15"/>
        <v>6382.81</v>
      </c>
      <c r="O18" s="156">
        <f t="shared" si="9"/>
        <v>1081.1899999999996</v>
      </c>
      <c r="P18" s="157">
        <f t="shared" si="16"/>
        <v>0.1792</v>
      </c>
      <c r="Q18" s="156">
        <f t="shared" si="10"/>
        <v>193.74924799999994</v>
      </c>
      <c r="R18" s="158">
        <f t="shared" si="17"/>
        <v>583.65</v>
      </c>
      <c r="S18" s="156">
        <f t="shared" si="11"/>
        <v>777.39924799999994</v>
      </c>
      <c r="T18" s="156">
        <f t="shared" si="18"/>
        <v>0</v>
      </c>
      <c r="U18" s="156">
        <f t="shared" si="12"/>
        <v>777.4</v>
      </c>
      <c r="V18" s="155">
        <f t="shared" si="13"/>
        <v>0</v>
      </c>
      <c r="W18" s="155">
        <f t="shared" si="19"/>
        <v>777.4</v>
      </c>
      <c r="X18" s="155">
        <f t="shared" si="6"/>
        <v>777.4</v>
      </c>
      <c r="Y18" s="155">
        <f t="shared" si="7"/>
        <v>6686.6</v>
      </c>
      <c r="Z18" s="89"/>
    </row>
    <row r="19" spans="1:32" s="4" customFormat="1" ht="77.25" customHeight="1" x14ac:dyDescent="0.35">
      <c r="A19" s="43"/>
      <c r="B19" s="147" t="s">
        <v>219</v>
      </c>
      <c r="C19" s="148" t="s">
        <v>115</v>
      </c>
      <c r="D19" s="212" t="s">
        <v>236</v>
      </c>
      <c r="E19" s="217">
        <v>44473</v>
      </c>
      <c r="F19" s="150" t="s">
        <v>168</v>
      </c>
      <c r="G19" s="151">
        <v>15</v>
      </c>
      <c r="H19" s="152"/>
      <c r="I19" s="153">
        <v>4241</v>
      </c>
      <c r="J19" s="154">
        <v>0</v>
      </c>
      <c r="K19" s="155">
        <f>SUM(I19:J19)</f>
        <v>4241</v>
      </c>
      <c r="L19" s="156">
        <f>IF(I19/15&lt;=SMG,0,J19/2)</f>
        <v>0</v>
      </c>
      <c r="M19" s="156">
        <f t="shared" si="8"/>
        <v>4241</v>
      </c>
      <c r="N19" s="156">
        <f t="shared" si="15"/>
        <v>3124.36</v>
      </c>
      <c r="O19" s="156">
        <f t="shared" si="9"/>
        <v>1116.6399999999999</v>
      </c>
      <c r="P19" s="157">
        <f t="shared" si="16"/>
        <v>0.10879999999999999</v>
      </c>
      <c r="Q19" s="156">
        <f t="shared" si="10"/>
        <v>121.49043199999998</v>
      </c>
      <c r="R19" s="158">
        <f t="shared" si="17"/>
        <v>183.45</v>
      </c>
      <c r="S19" s="156">
        <f t="shared" si="11"/>
        <v>304.94043199999999</v>
      </c>
      <c r="T19" s="156">
        <f t="shared" si="18"/>
        <v>0</v>
      </c>
      <c r="U19" s="156">
        <f t="shared" si="12"/>
        <v>304.94</v>
      </c>
      <c r="V19" s="155">
        <f t="shared" si="13"/>
        <v>0</v>
      </c>
      <c r="W19" s="155">
        <f t="shared" si="19"/>
        <v>304.94</v>
      </c>
      <c r="X19" s="155">
        <f t="shared" si="6"/>
        <v>304.94</v>
      </c>
      <c r="Y19" s="155">
        <f t="shared" si="7"/>
        <v>3936.06</v>
      </c>
      <c r="Z19" s="89"/>
    </row>
    <row r="20" spans="1:32" s="4" customFormat="1" ht="77.25" customHeight="1" x14ac:dyDescent="0.35">
      <c r="A20" s="112"/>
      <c r="B20" s="147" t="s">
        <v>192</v>
      </c>
      <c r="C20" s="148" t="s">
        <v>115</v>
      </c>
      <c r="D20" s="212" t="s">
        <v>80</v>
      </c>
      <c r="E20" s="217">
        <v>41410</v>
      </c>
      <c r="F20" s="150" t="s">
        <v>181</v>
      </c>
      <c r="G20" s="151">
        <v>15</v>
      </c>
      <c r="H20" s="152">
        <f>I20/G20</f>
        <v>214.73333333333332</v>
      </c>
      <c r="I20" s="153">
        <v>3221</v>
      </c>
      <c r="J20" s="154">
        <v>0</v>
      </c>
      <c r="K20" s="155">
        <f>SUM(I20:J20)</f>
        <v>3221</v>
      </c>
      <c r="L20" s="156">
        <f>IF(I20/15&lt;=SMG,0,J20/2)</f>
        <v>0</v>
      </c>
      <c r="M20" s="156">
        <f t="shared" si="8"/>
        <v>3221</v>
      </c>
      <c r="N20" s="156">
        <f t="shared" si="15"/>
        <v>3124.36</v>
      </c>
      <c r="O20" s="156">
        <f t="shared" si="9"/>
        <v>96.639999999999873</v>
      </c>
      <c r="P20" s="157">
        <f t="shared" si="16"/>
        <v>0.10879999999999999</v>
      </c>
      <c r="Q20" s="156">
        <f t="shared" si="10"/>
        <v>10.514431999999985</v>
      </c>
      <c r="R20" s="158">
        <f t="shared" si="17"/>
        <v>183.45</v>
      </c>
      <c r="S20" s="156">
        <f t="shared" si="11"/>
        <v>193.96443199999999</v>
      </c>
      <c r="T20" s="156">
        <f t="shared" si="18"/>
        <v>125.1</v>
      </c>
      <c r="U20" s="156">
        <f t="shared" si="12"/>
        <v>68.86</v>
      </c>
      <c r="V20" s="155">
        <f t="shared" si="13"/>
        <v>0</v>
      </c>
      <c r="W20" s="155">
        <f t="shared" si="19"/>
        <v>68.86</v>
      </c>
      <c r="X20" s="155">
        <f t="shared" si="6"/>
        <v>68.86</v>
      </c>
      <c r="Y20" s="155">
        <f t="shared" si="7"/>
        <v>3152.14</v>
      </c>
      <c r="Z20" s="89"/>
      <c r="AA20" s="87"/>
    </row>
    <row r="21" spans="1:32" s="4" customFormat="1" ht="52.5" customHeight="1" x14ac:dyDescent="0.3">
      <c r="A21" s="112"/>
      <c r="B21" s="136"/>
      <c r="C21" s="112"/>
      <c r="D21" s="143"/>
      <c r="E21" s="143"/>
      <c r="F21" s="143"/>
      <c r="G21" s="137"/>
      <c r="H21" s="138"/>
      <c r="I21" s="139"/>
      <c r="J21" s="140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AA21" s="87"/>
    </row>
    <row r="22" spans="1:32" s="4" customFormat="1" ht="24" customHeight="1" x14ac:dyDescent="0.3">
      <c r="A22" s="112"/>
      <c r="B22" s="297" t="s">
        <v>77</v>
      </c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</row>
    <row r="23" spans="1:32" s="4" customFormat="1" ht="24" customHeight="1" x14ac:dyDescent="0.3">
      <c r="A23" s="112"/>
      <c r="B23" s="297" t="s">
        <v>63</v>
      </c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</row>
    <row r="24" spans="1:32" s="4" customFormat="1" ht="25.5" customHeight="1" x14ac:dyDescent="0.3">
      <c r="A24" s="112"/>
      <c r="B24" s="288" t="s">
        <v>359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</row>
    <row r="25" spans="1:32" s="4" customFormat="1" ht="25.5" customHeight="1" x14ac:dyDescent="0.3">
      <c r="A25" s="112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</row>
    <row r="26" spans="1:32" s="4" customFormat="1" ht="57.75" customHeight="1" x14ac:dyDescent="0.3">
      <c r="A26" s="112"/>
      <c r="B26" s="115" t="s">
        <v>101</v>
      </c>
      <c r="C26" s="115" t="s">
        <v>124</v>
      </c>
      <c r="D26" s="116" t="s">
        <v>68</v>
      </c>
      <c r="E26" s="135" t="s">
        <v>310</v>
      </c>
      <c r="F26" s="116" t="s">
        <v>60</v>
      </c>
      <c r="G26" s="116"/>
      <c r="H26" s="116"/>
      <c r="I26" s="117">
        <f>SUM(I27:I28)</f>
        <v>7238</v>
      </c>
      <c r="J26" s="117">
        <f>SUM(J27:J28)</f>
        <v>0</v>
      </c>
      <c r="K26" s="117">
        <f>SUM(K27:K28)</f>
        <v>7238</v>
      </c>
      <c r="L26" s="116"/>
      <c r="M26" s="116"/>
      <c r="N26" s="116"/>
      <c r="O26" s="116"/>
      <c r="P26" s="116"/>
      <c r="Q26" s="116"/>
      <c r="R26" s="118"/>
      <c r="S26" s="116"/>
      <c r="T26" s="116"/>
      <c r="U26" s="116"/>
      <c r="V26" s="117">
        <f>SUM(V27:V28)</f>
        <v>0</v>
      </c>
      <c r="W26" s="117">
        <f>SUM(W27:W28)</f>
        <v>259.74</v>
      </c>
      <c r="X26" s="117">
        <f>SUM(X27:X28)</f>
        <v>259.74</v>
      </c>
      <c r="Y26" s="117">
        <f>SUM(Y27:Y28)</f>
        <v>6978.26</v>
      </c>
      <c r="Z26" s="98"/>
      <c r="AA26" s="193"/>
    </row>
    <row r="27" spans="1:32" s="4" customFormat="1" ht="99.75" customHeight="1" x14ac:dyDescent="0.35">
      <c r="A27" s="112"/>
      <c r="B27" s="147" t="s">
        <v>220</v>
      </c>
      <c r="C27" s="148" t="s">
        <v>115</v>
      </c>
      <c r="D27" s="212" t="s">
        <v>232</v>
      </c>
      <c r="E27" s="217">
        <v>44470</v>
      </c>
      <c r="F27" s="150" t="s">
        <v>142</v>
      </c>
      <c r="G27" s="151">
        <v>15</v>
      </c>
      <c r="H27" s="152"/>
      <c r="I27" s="153">
        <v>3619</v>
      </c>
      <c r="J27" s="154">
        <v>0</v>
      </c>
      <c r="K27" s="155">
        <f t="shared" ref="K27" si="49">SUM(I27:J27)</f>
        <v>3619</v>
      </c>
      <c r="L27" s="156">
        <f t="shared" ref="L27" si="50">IF(I27/15&lt;=SMG,0,J27/2)</f>
        <v>0</v>
      </c>
      <c r="M27" s="156">
        <f t="shared" ref="M27:M28" si="51">I27+L27</f>
        <v>3619</v>
      </c>
      <c r="N27" s="156">
        <f t="shared" ref="N27:N28" si="52">VLOOKUP(M27,Tarifa1,1)</f>
        <v>3124.36</v>
      </c>
      <c r="O27" s="156">
        <f t="shared" ref="O27:O28" si="53">M27-N27</f>
        <v>494.63999999999987</v>
      </c>
      <c r="P27" s="157">
        <f t="shared" ref="P27:P28" si="54">VLOOKUP(M27,Tarifa1,3)</f>
        <v>0.10879999999999999</v>
      </c>
      <c r="Q27" s="156">
        <f t="shared" ref="Q27:Q28" si="55">O27*P27</f>
        <v>53.816831999999984</v>
      </c>
      <c r="R27" s="158">
        <f t="shared" ref="R27:R28" si="56">VLOOKUP(M27,Tarifa1,2)</f>
        <v>183.45</v>
      </c>
      <c r="S27" s="156">
        <f t="shared" ref="S27:S28" si="57">Q27+R27</f>
        <v>237.26683199999997</v>
      </c>
      <c r="T27" s="156">
        <f t="shared" ref="T27:T28" si="58">VLOOKUP(M27,Credito1,2)</f>
        <v>107.4</v>
      </c>
      <c r="U27" s="156">
        <f t="shared" ref="U27:U28" si="59">ROUND(S27-T27,2)</f>
        <v>129.87</v>
      </c>
      <c r="V27" s="155">
        <f t="shared" ref="V27:V28" si="60">-IF(U27&gt;0,0,U27)</f>
        <v>0</v>
      </c>
      <c r="W27" s="155">
        <f t="shared" ref="W27:W28" si="61">IF(I27/15&lt;=SMG,0,IF(U27&lt;0,0,U27))</f>
        <v>129.87</v>
      </c>
      <c r="X27" s="155">
        <f>SUM(W27:W27)</f>
        <v>129.87</v>
      </c>
      <c r="Y27" s="155">
        <f>K27+V27-X27</f>
        <v>3489.13</v>
      </c>
      <c r="Z27" s="89"/>
      <c r="AA27" s="87"/>
    </row>
    <row r="28" spans="1:32" s="4" customFormat="1" ht="99.75" customHeight="1" x14ac:dyDescent="0.35">
      <c r="A28" s="112"/>
      <c r="B28" s="147" t="s">
        <v>250</v>
      </c>
      <c r="C28" s="148" t="s">
        <v>115</v>
      </c>
      <c r="D28" s="212" t="s">
        <v>234</v>
      </c>
      <c r="E28" s="217">
        <v>44473</v>
      </c>
      <c r="F28" s="150" t="s">
        <v>142</v>
      </c>
      <c r="G28" s="151">
        <v>15</v>
      </c>
      <c r="H28" s="152"/>
      <c r="I28" s="153">
        <v>3619</v>
      </c>
      <c r="J28" s="154">
        <v>0</v>
      </c>
      <c r="K28" s="155">
        <f>SUM(I28:J28)</f>
        <v>3619</v>
      </c>
      <c r="L28" s="156">
        <f>IF(I28/15&lt;=SMG,0,J28/2)</f>
        <v>0</v>
      </c>
      <c r="M28" s="156">
        <f t="shared" si="51"/>
        <v>3619</v>
      </c>
      <c r="N28" s="156">
        <f t="shared" si="52"/>
        <v>3124.36</v>
      </c>
      <c r="O28" s="156">
        <f t="shared" si="53"/>
        <v>494.63999999999987</v>
      </c>
      <c r="P28" s="157">
        <f t="shared" si="54"/>
        <v>0.10879999999999999</v>
      </c>
      <c r="Q28" s="156">
        <f t="shared" si="55"/>
        <v>53.816831999999984</v>
      </c>
      <c r="R28" s="158">
        <f t="shared" si="56"/>
        <v>183.45</v>
      </c>
      <c r="S28" s="156">
        <f t="shared" si="57"/>
        <v>237.26683199999997</v>
      </c>
      <c r="T28" s="156">
        <f t="shared" si="58"/>
        <v>107.4</v>
      </c>
      <c r="U28" s="156">
        <f t="shared" si="59"/>
        <v>129.87</v>
      </c>
      <c r="V28" s="155">
        <f t="shared" si="60"/>
        <v>0</v>
      </c>
      <c r="W28" s="155">
        <f t="shared" si="61"/>
        <v>129.87</v>
      </c>
      <c r="X28" s="155">
        <f>SUM(W28:W28)</f>
        <v>129.87</v>
      </c>
      <c r="Y28" s="155">
        <f>K28+V28-X28</f>
        <v>3489.13</v>
      </c>
      <c r="Z28" s="89"/>
      <c r="AA28" s="87"/>
    </row>
    <row r="29" spans="1:32" s="4" customFormat="1" ht="57.75" customHeight="1" x14ac:dyDescent="0.3">
      <c r="A29" s="108"/>
      <c r="B29" s="115" t="s">
        <v>101</v>
      </c>
      <c r="C29" s="115" t="s">
        <v>124</v>
      </c>
      <c r="D29" s="116" t="s">
        <v>123</v>
      </c>
      <c r="E29" s="135" t="s">
        <v>310</v>
      </c>
      <c r="F29" s="116" t="s">
        <v>60</v>
      </c>
      <c r="G29" s="116"/>
      <c r="H29" s="116"/>
      <c r="I29" s="117">
        <f>SUM(I30:I32)</f>
        <v>15897.77</v>
      </c>
      <c r="J29" s="117">
        <f>SUM(J30:J32)</f>
        <v>0</v>
      </c>
      <c r="K29" s="117">
        <f>SUM(K30:K32)</f>
        <v>15897.77</v>
      </c>
      <c r="L29" s="116"/>
      <c r="M29" s="116"/>
      <c r="N29" s="116"/>
      <c r="O29" s="116"/>
      <c r="P29" s="116"/>
      <c r="Q29" s="116"/>
      <c r="R29" s="118"/>
      <c r="S29" s="116"/>
      <c r="T29" s="116"/>
      <c r="U29" s="116"/>
      <c r="V29" s="117">
        <f>SUM(V30:V32)</f>
        <v>0</v>
      </c>
      <c r="W29" s="117">
        <f>SUM(W30:W32)</f>
        <v>1291.31</v>
      </c>
      <c r="X29" s="117">
        <f>SUM(X30:X32)</f>
        <v>1291.31</v>
      </c>
      <c r="Y29" s="117">
        <f>SUM(Y30:Y32)</f>
        <v>14606.460000000001</v>
      </c>
      <c r="Z29" s="98"/>
    </row>
    <row r="30" spans="1:32" s="4" customFormat="1" ht="99.75" customHeight="1" x14ac:dyDescent="0.35">
      <c r="A30" s="109" t="s">
        <v>84</v>
      </c>
      <c r="B30" s="147" t="s">
        <v>157</v>
      </c>
      <c r="C30" s="148" t="s">
        <v>115</v>
      </c>
      <c r="D30" s="212" t="s">
        <v>144</v>
      </c>
      <c r="E30" s="217">
        <v>43374</v>
      </c>
      <c r="F30" s="150" t="s">
        <v>143</v>
      </c>
      <c r="G30" s="151">
        <v>15</v>
      </c>
      <c r="H30" s="152">
        <f>I30/G30</f>
        <v>386.16733333333337</v>
      </c>
      <c r="I30" s="153">
        <v>5792.51</v>
      </c>
      <c r="J30" s="154">
        <v>0</v>
      </c>
      <c r="K30" s="153">
        <f>I30</f>
        <v>5792.51</v>
      </c>
      <c r="L30" s="156">
        <f t="shared" ref="L30" si="62">IF(I30/15&lt;=SMG,0,J30/2)</f>
        <v>0</v>
      </c>
      <c r="M30" s="156">
        <f t="shared" ref="M30" si="63">I30+L30</f>
        <v>5792.51</v>
      </c>
      <c r="N30" s="156">
        <f t="shared" ref="N30" si="64">VLOOKUP(M30,Tarifa1,1)</f>
        <v>5490.76</v>
      </c>
      <c r="O30" s="156">
        <f t="shared" ref="O30" si="65">M30-N30</f>
        <v>301.75</v>
      </c>
      <c r="P30" s="157">
        <f t="shared" ref="P30" si="66">VLOOKUP(M30,Tarifa1,3)</f>
        <v>0.16</v>
      </c>
      <c r="Q30" s="156">
        <f t="shared" ref="Q30" si="67">O30*P30</f>
        <v>48.28</v>
      </c>
      <c r="R30" s="158">
        <f t="shared" ref="R30" si="68">VLOOKUP(M30,Tarifa1,2)</f>
        <v>441</v>
      </c>
      <c r="S30" s="156">
        <f t="shared" ref="S30" si="69">Q30+R30</f>
        <v>489.28</v>
      </c>
      <c r="T30" s="156">
        <f t="shared" ref="T30" si="70">VLOOKUP(M30,Credito1,2)</f>
        <v>0</v>
      </c>
      <c r="U30" s="156">
        <f t="shared" ref="U30" si="71">ROUND(S30-T30,2)</f>
        <v>489.28</v>
      </c>
      <c r="V30" s="155">
        <f t="shared" ref="V30" si="72">-IF(U30&gt;0,0,U30)</f>
        <v>0</v>
      </c>
      <c r="W30" s="155">
        <f t="shared" ref="W30" si="73">IF(I30/15&lt;=SMG,0,IF(U30&lt;0,0,U30))</f>
        <v>489.28</v>
      </c>
      <c r="X30" s="155">
        <f>SUM(W30:W30)</f>
        <v>489.28</v>
      </c>
      <c r="Y30" s="155">
        <f>K30+V30-X30+J30</f>
        <v>5303.2300000000005</v>
      </c>
      <c r="Z30" s="89"/>
      <c r="AF30" s="94"/>
    </row>
    <row r="31" spans="1:32" s="4" customFormat="1" ht="99.75" customHeight="1" x14ac:dyDescent="0.35">
      <c r="A31" s="109"/>
      <c r="B31" s="147" t="s">
        <v>176</v>
      </c>
      <c r="C31" s="148" t="s">
        <v>115</v>
      </c>
      <c r="D31" s="212" t="s">
        <v>166</v>
      </c>
      <c r="E31" s="217">
        <v>43512</v>
      </c>
      <c r="F31" s="150" t="s">
        <v>167</v>
      </c>
      <c r="G31" s="151">
        <v>15</v>
      </c>
      <c r="H31" s="152"/>
      <c r="I31" s="153">
        <v>5792.51</v>
      </c>
      <c r="J31" s="154">
        <v>0</v>
      </c>
      <c r="K31" s="153">
        <f>I31</f>
        <v>5792.51</v>
      </c>
      <c r="L31" s="156">
        <f t="shared" ref="L31:L32" si="74">IF(I31/15&lt;=SMG,0,J31/2)</f>
        <v>0</v>
      </c>
      <c r="M31" s="156">
        <f t="shared" ref="M31:M32" si="75">I31+L31</f>
        <v>5792.51</v>
      </c>
      <c r="N31" s="156">
        <f t="shared" ref="N31:N32" si="76">VLOOKUP(M31,Tarifa1,1)</f>
        <v>5490.76</v>
      </c>
      <c r="O31" s="156">
        <f t="shared" ref="O31:O32" si="77">M31-N31</f>
        <v>301.75</v>
      </c>
      <c r="P31" s="157">
        <f t="shared" ref="P31:P32" si="78">VLOOKUP(M31,Tarifa1,3)</f>
        <v>0.16</v>
      </c>
      <c r="Q31" s="156">
        <f t="shared" ref="Q31:Q32" si="79">O31*P31</f>
        <v>48.28</v>
      </c>
      <c r="R31" s="158">
        <f t="shared" ref="R31:R32" si="80">VLOOKUP(M31,Tarifa1,2)</f>
        <v>441</v>
      </c>
      <c r="S31" s="156">
        <f t="shared" ref="S31:S32" si="81">Q31+R31</f>
        <v>489.28</v>
      </c>
      <c r="T31" s="156">
        <f t="shared" ref="T31:T32" si="82">VLOOKUP(M31,Credito1,2)</f>
        <v>0</v>
      </c>
      <c r="U31" s="156">
        <f t="shared" ref="U31:U32" si="83">ROUND(S31-T31,2)</f>
        <v>489.28</v>
      </c>
      <c r="V31" s="155">
        <f t="shared" ref="V31:V32" si="84">-IF(U31&gt;0,0,U31)</f>
        <v>0</v>
      </c>
      <c r="W31" s="155">
        <f t="shared" ref="W31:W32" si="85">IF(I31/15&lt;=SMG,0,IF(U31&lt;0,0,U31))</f>
        <v>489.28</v>
      </c>
      <c r="X31" s="155">
        <f>SUM(W31:W31)</f>
        <v>489.28</v>
      </c>
      <c r="Y31" s="155">
        <f>K31+V31-X31+J31</f>
        <v>5303.2300000000005</v>
      </c>
      <c r="Z31" s="89"/>
      <c r="AF31" s="94"/>
    </row>
    <row r="32" spans="1:32" s="4" customFormat="1" ht="99.75" customHeight="1" x14ac:dyDescent="0.35">
      <c r="A32" s="109"/>
      <c r="B32" s="147" t="s">
        <v>321</v>
      </c>
      <c r="C32" s="148" t="s">
        <v>115</v>
      </c>
      <c r="D32" s="212" t="s">
        <v>322</v>
      </c>
      <c r="E32" s="217">
        <v>45078</v>
      </c>
      <c r="F32" s="150" t="s">
        <v>167</v>
      </c>
      <c r="G32" s="151">
        <v>15</v>
      </c>
      <c r="H32" s="152"/>
      <c r="I32" s="153">
        <v>4312.75</v>
      </c>
      <c r="J32" s="154">
        <v>0</v>
      </c>
      <c r="K32" s="155">
        <f>SUM(I32:J32)</f>
        <v>4312.75</v>
      </c>
      <c r="L32" s="156">
        <f t="shared" si="74"/>
        <v>0</v>
      </c>
      <c r="M32" s="156">
        <f t="shared" si="75"/>
        <v>4312.75</v>
      </c>
      <c r="N32" s="156">
        <f t="shared" si="76"/>
        <v>3124.36</v>
      </c>
      <c r="O32" s="156">
        <f t="shared" si="77"/>
        <v>1188.3899999999999</v>
      </c>
      <c r="P32" s="157">
        <f t="shared" si="78"/>
        <v>0.10879999999999999</v>
      </c>
      <c r="Q32" s="156">
        <f t="shared" si="79"/>
        <v>129.29683199999997</v>
      </c>
      <c r="R32" s="158">
        <f t="shared" si="80"/>
        <v>183.45</v>
      </c>
      <c r="S32" s="156">
        <f t="shared" si="81"/>
        <v>312.74683199999993</v>
      </c>
      <c r="T32" s="156">
        <f t="shared" si="82"/>
        <v>0</v>
      </c>
      <c r="U32" s="156">
        <f t="shared" si="83"/>
        <v>312.75</v>
      </c>
      <c r="V32" s="155">
        <f t="shared" si="84"/>
        <v>0</v>
      </c>
      <c r="W32" s="155">
        <f t="shared" si="85"/>
        <v>312.75</v>
      </c>
      <c r="X32" s="155">
        <f>SUM(W32:W32)</f>
        <v>312.75</v>
      </c>
      <c r="Y32" s="155">
        <f>K32+V32-X32</f>
        <v>4000</v>
      </c>
      <c r="Z32" s="89"/>
      <c r="AF32" s="94"/>
    </row>
    <row r="33" spans="1:25" s="4" customFormat="1" ht="27.75" customHeight="1" x14ac:dyDescent="0.3">
      <c r="A33" s="172"/>
      <c r="B33" s="172"/>
      <c r="C33" s="172"/>
      <c r="D33" s="172"/>
      <c r="E33" s="172"/>
      <c r="F33" s="172"/>
      <c r="G33" s="172"/>
      <c r="H33" s="172"/>
      <c r="I33" s="178"/>
      <c r="J33" s="178"/>
      <c r="K33" s="178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</row>
    <row r="34" spans="1:25" s="4" customFormat="1" ht="75" customHeight="1" thickBot="1" x14ac:dyDescent="0.35">
      <c r="A34" s="284" t="s">
        <v>44</v>
      </c>
      <c r="B34" s="285"/>
      <c r="C34" s="285"/>
      <c r="D34" s="285"/>
      <c r="E34" s="285"/>
      <c r="F34" s="285"/>
      <c r="G34" s="285"/>
      <c r="H34" s="286"/>
      <c r="I34" s="159">
        <f>I8+I29+I26</f>
        <v>74146.14</v>
      </c>
      <c r="J34" s="159">
        <f>J8+J29+J26</f>
        <v>297.8</v>
      </c>
      <c r="K34" s="159">
        <f>K8+K29+K26</f>
        <v>74443.94</v>
      </c>
      <c r="L34" s="160">
        <f t="shared" ref="L34:U34" si="86">SUM(L9:L33)</f>
        <v>148.9</v>
      </c>
      <c r="M34" s="160">
        <f t="shared" si="86"/>
        <v>74295.040000000008</v>
      </c>
      <c r="N34" s="160">
        <f t="shared" si="86"/>
        <v>61105.37000000001</v>
      </c>
      <c r="O34" s="160">
        <f t="shared" si="86"/>
        <v>13189.669999999995</v>
      </c>
      <c r="P34" s="160">
        <f t="shared" si="86"/>
        <v>2.0223999999999998</v>
      </c>
      <c r="Q34" s="160">
        <f t="shared" si="86"/>
        <v>1542.0510719999995</v>
      </c>
      <c r="R34" s="160">
        <f t="shared" si="86"/>
        <v>4033.9499999999994</v>
      </c>
      <c r="S34" s="160">
        <f t="shared" si="86"/>
        <v>5576.0010719999982</v>
      </c>
      <c r="T34" s="160">
        <f t="shared" si="86"/>
        <v>715.19999999999993</v>
      </c>
      <c r="U34" s="160">
        <f t="shared" si="86"/>
        <v>4860.82</v>
      </c>
      <c r="V34" s="159">
        <f>V8+V29+V26</f>
        <v>0</v>
      </c>
      <c r="W34" s="159">
        <f>W8+W29+W26</f>
        <v>4860.82</v>
      </c>
      <c r="X34" s="159">
        <f>X8+X29+X26</f>
        <v>4860.82</v>
      </c>
      <c r="Y34" s="159">
        <f>Y8+Y29+Y26</f>
        <v>69583.12</v>
      </c>
    </row>
    <row r="35" spans="1:25" s="4" customFormat="1" ht="18" customHeight="1" thickTop="1" x14ac:dyDescent="0.3">
      <c r="A35" s="144"/>
      <c r="B35" s="144"/>
      <c r="C35" s="144"/>
      <c r="D35" s="144"/>
      <c r="E35" s="144"/>
      <c r="F35" s="144"/>
      <c r="G35" s="144"/>
      <c r="H35" s="144"/>
      <c r="I35" s="145"/>
      <c r="J35" s="145"/>
      <c r="K35" s="145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5"/>
      <c r="W35" s="145"/>
      <c r="X35" s="145"/>
      <c r="Y35" s="145"/>
    </row>
    <row r="36" spans="1:25" s="4" customFormat="1" ht="18" customHeight="1" x14ac:dyDescent="0.3">
      <c r="A36" s="144"/>
      <c r="B36" s="144"/>
      <c r="C36" s="144"/>
      <c r="D36" s="144"/>
      <c r="E36" s="144"/>
      <c r="F36" s="144"/>
      <c r="G36" s="144"/>
      <c r="H36" s="144"/>
      <c r="I36" s="145"/>
      <c r="J36" s="145"/>
      <c r="K36" s="145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5"/>
      <c r="W36" s="145"/>
      <c r="X36" s="145"/>
      <c r="Y36" s="145"/>
    </row>
    <row r="37" spans="1:25" s="4" customFormat="1" ht="18" customHeight="1" x14ac:dyDescent="0.3">
      <c r="A37" s="144"/>
      <c r="B37" s="144"/>
      <c r="C37" s="144"/>
      <c r="D37" s="144"/>
      <c r="E37" s="144"/>
      <c r="F37" s="144"/>
      <c r="G37" s="144"/>
      <c r="H37" s="144"/>
      <c r="I37" s="145"/>
      <c r="J37" s="145"/>
      <c r="K37" s="145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5"/>
      <c r="W37" s="145"/>
      <c r="X37" s="145"/>
      <c r="Y37" s="145"/>
    </row>
    <row r="38" spans="1:25" s="4" customFormat="1" ht="18" customHeight="1" x14ac:dyDescent="0.3">
      <c r="A38" s="144"/>
      <c r="B38" s="144"/>
      <c r="C38" s="144"/>
      <c r="D38" s="144"/>
      <c r="E38" s="144"/>
      <c r="F38" s="144"/>
      <c r="G38" s="144"/>
      <c r="H38" s="144"/>
      <c r="I38" s="145"/>
      <c r="J38" s="145"/>
      <c r="K38" s="145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5"/>
      <c r="W38" s="145"/>
      <c r="X38" s="145"/>
      <c r="Y38" s="145"/>
    </row>
  </sheetData>
  <mergeCells count="10">
    <mergeCell ref="A34:H34"/>
    <mergeCell ref="A1:Z1"/>
    <mergeCell ref="A2:Z2"/>
    <mergeCell ref="A3:Z3"/>
    <mergeCell ref="I5:K5"/>
    <mergeCell ref="N5:S5"/>
    <mergeCell ref="W5:X5"/>
    <mergeCell ref="B22:AA22"/>
    <mergeCell ref="B23:AA23"/>
    <mergeCell ref="B24:AA24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opLeftCell="B38" zoomScale="55" zoomScaleNormal="55" workbookViewId="0">
      <selection activeCell="B48" sqref="A48:XFD61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6.10937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7" t="s">
        <v>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</row>
    <row r="2" spans="1:32" ht="19.8" x14ac:dyDescent="0.3">
      <c r="A2" s="287" t="s">
        <v>63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32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1" customFormat="1" ht="21" customHeight="1" x14ac:dyDescent="0.3">
      <c r="A5" s="47"/>
      <c r="B5" s="47"/>
      <c r="C5" s="318" t="s">
        <v>124</v>
      </c>
      <c r="D5" s="47"/>
      <c r="E5" s="47"/>
      <c r="F5" s="47"/>
      <c r="G5" s="48" t="s">
        <v>22</v>
      </c>
      <c r="H5" s="48" t="s">
        <v>5</v>
      </c>
      <c r="I5" s="289" t="s">
        <v>1</v>
      </c>
      <c r="J5" s="290"/>
      <c r="K5" s="291"/>
      <c r="L5" s="121" t="s">
        <v>25</v>
      </c>
      <c r="M5" s="122"/>
      <c r="N5" s="292" t="s">
        <v>8</v>
      </c>
      <c r="O5" s="293"/>
      <c r="P5" s="293"/>
      <c r="Q5" s="293"/>
      <c r="R5" s="293"/>
      <c r="S5" s="294"/>
      <c r="T5" s="121" t="s">
        <v>29</v>
      </c>
      <c r="U5" s="121" t="s">
        <v>9</v>
      </c>
      <c r="V5" s="120" t="s">
        <v>52</v>
      </c>
      <c r="W5" s="295" t="s">
        <v>2</v>
      </c>
      <c r="X5" s="296"/>
      <c r="Y5" s="120" t="s">
        <v>0</v>
      </c>
      <c r="Z5" s="47"/>
    </row>
    <row r="6" spans="1:32" s="51" customFormat="1" ht="31.2" x14ac:dyDescent="0.3">
      <c r="A6" s="52" t="s">
        <v>20</v>
      </c>
      <c r="B6" s="123" t="s">
        <v>101</v>
      </c>
      <c r="C6" s="319"/>
      <c r="D6" s="124" t="s">
        <v>21</v>
      </c>
      <c r="E6" s="52"/>
      <c r="F6" s="52"/>
      <c r="G6" s="53" t="s">
        <v>23</v>
      </c>
      <c r="H6" s="52" t="s">
        <v>24</v>
      </c>
      <c r="I6" s="120" t="s">
        <v>5</v>
      </c>
      <c r="J6" s="120" t="s">
        <v>57</v>
      </c>
      <c r="K6" s="120" t="s">
        <v>27</v>
      </c>
      <c r="L6" s="125" t="s">
        <v>26</v>
      </c>
      <c r="M6" s="122" t="s">
        <v>31</v>
      </c>
      <c r="N6" s="122" t="s">
        <v>11</v>
      </c>
      <c r="O6" s="122" t="s">
        <v>33</v>
      </c>
      <c r="P6" s="122" t="s">
        <v>35</v>
      </c>
      <c r="Q6" s="122" t="s">
        <v>36</v>
      </c>
      <c r="R6" s="118" t="s">
        <v>13</v>
      </c>
      <c r="S6" s="122" t="s">
        <v>9</v>
      </c>
      <c r="T6" s="125" t="s">
        <v>39</v>
      </c>
      <c r="U6" s="125" t="s">
        <v>40</v>
      </c>
      <c r="V6" s="124" t="s">
        <v>30</v>
      </c>
      <c r="W6" s="120" t="s">
        <v>290</v>
      </c>
      <c r="X6" s="120" t="s">
        <v>6</v>
      </c>
      <c r="Y6" s="124" t="s">
        <v>3</v>
      </c>
      <c r="Z6" s="124" t="s">
        <v>56</v>
      </c>
    </row>
    <row r="7" spans="1:32" s="51" customFormat="1" ht="15.6" x14ac:dyDescent="0.3">
      <c r="A7" s="52"/>
      <c r="B7" s="52"/>
      <c r="C7" s="320"/>
      <c r="D7" s="52"/>
      <c r="E7" s="52"/>
      <c r="F7" s="52"/>
      <c r="G7" s="52"/>
      <c r="H7" s="52"/>
      <c r="I7" s="124" t="s">
        <v>46</v>
      </c>
      <c r="J7" s="124" t="s">
        <v>58</v>
      </c>
      <c r="K7" s="124" t="s">
        <v>28</v>
      </c>
      <c r="L7" s="125" t="s">
        <v>42</v>
      </c>
      <c r="M7" s="121" t="s">
        <v>32</v>
      </c>
      <c r="N7" s="121" t="s">
        <v>12</v>
      </c>
      <c r="O7" s="121" t="s">
        <v>34</v>
      </c>
      <c r="P7" s="121" t="s">
        <v>34</v>
      </c>
      <c r="Q7" s="121" t="s">
        <v>37</v>
      </c>
      <c r="R7" s="251" t="s">
        <v>14</v>
      </c>
      <c r="S7" s="121" t="s">
        <v>38</v>
      </c>
      <c r="T7" s="125" t="s">
        <v>18</v>
      </c>
      <c r="U7" s="129" t="s">
        <v>213</v>
      </c>
      <c r="V7" s="124" t="s">
        <v>51</v>
      </c>
      <c r="W7" s="124"/>
      <c r="X7" s="124" t="s">
        <v>43</v>
      </c>
      <c r="Y7" s="124" t="s">
        <v>4</v>
      </c>
      <c r="Z7" s="56"/>
    </row>
    <row r="8" spans="1:32" s="51" customFormat="1" ht="84.9" customHeight="1" x14ac:dyDescent="0.3">
      <c r="A8" s="37"/>
      <c r="B8" s="192" t="s">
        <v>101</v>
      </c>
      <c r="C8" s="192" t="s">
        <v>124</v>
      </c>
      <c r="D8" s="192" t="s">
        <v>147</v>
      </c>
      <c r="E8" s="192" t="s">
        <v>310</v>
      </c>
      <c r="F8" s="243" t="s">
        <v>60</v>
      </c>
      <c r="G8" s="243"/>
      <c r="H8" s="243"/>
      <c r="I8" s="244">
        <f>SUM(I9:I9)</f>
        <v>7013</v>
      </c>
      <c r="J8" s="244">
        <f>SUM(J9:J9)</f>
        <v>0</v>
      </c>
      <c r="K8" s="244">
        <f>SUM(K9:K9)</f>
        <v>7013</v>
      </c>
      <c r="L8" s="243"/>
      <c r="M8" s="243"/>
      <c r="N8" s="243"/>
      <c r="O8" s="243"/>
      <c r="P8" s="243"/>
      <c r="Q8" s="243"/>
      <c r="R8" s="246"/>
      <c r="S8" s="243"/>
      <c r="T8" s="243"/>
      <c r="U8" s="243"/>
      <c r="V8" s="244">
        <f>SUM(V9:V9)</f>
        <v>0</v>
      </c>
      <c r="W8" s="244">
        <f>SUM(W9:W9)</f>
        <v>696.58</v>
      </c>
      <c r="X8" s="244">
        <f>SUM(X9:X9)</f>
        <v>696.58</v>
      </c>
      <c r="Y8" s="244">
        <f>SUM(Y9:Y9)</f>
        <v>6316.42</v>
      </c>
      <c r="Z8" s="99"/>
    </row>
    <row r="9" spans="1:32" s="51" customFormat="1" ht="150" customHeight="1" x14ac:dyDescent="0.35">
      <c r="A9" s="37"/>
      <c r="B9" s="179">
        <v>275</v>
      </c>
      <c r="C9" s="180" t="s">
        <v>115</v>
      </c>
      <c r="D9" s="258" t="s">
        <v>247</v>
      </c>
      <c r="E9" s="222">
        <v>44476</v>
      </c>
      <c r="F9" s="181" t="s">
        <v>216</v>
      </c>
      <c r="G9" s="166">
        <v>15</v>
      </c>
      <c r="H9" s="166"/>
      <c r="I9" s="153">
        <v>7013</v>
      </c>
      <c r="J9" s="154">
        <v>0</v>
      </c>
      <c r="K9" s="155">
        <f>SUM(I9:J9)</f>
        <v>7013</v>
      </c>
      <c r="L9" s="156">
        <f>IF(I9/15&lt;=SMG,0,J9/2)</f>
        <v>0</v>
      </c>
      <c r="M9" s="156">
        <f>I9+L9</f>
        <v>7013</v>
      </c>
      <c r="N9" s="156">
        <f>VLOOKUP(M9,Tarifa1,1)</f>
        <v>6382.81</v>
      </c>
      <c r="O9" s="156">
        <f>M9-N9</f>
        <v>630.1899999999996</v>
      </c>
      <c r="P9" s="157">
        <f>VLOOKUP(M9,Tarifa1,3)</f>
        <v>0.1792</v>
      </c>
      <c r="Q9" s="156">
        <f>O9*P9</f>
        <v>112.93004799999993</v>
      </c>
      <c r="R9" s="158">
        <f>VLOOKUP(M9,Tarifa1,2)</f>
        <v>583.65</v>
      </c>
      <c r="S9" s="156">
        <f>Q9+R9</f>
        <v>696.58004799999992</v>
      </c>
      <c r="T9" s="156">
        <f>VLOOKUP(M9,Credito1,2)</f>
        <v>0</v>
      </c>
      <c r="U9" s="156">
        <f>ROUND(S9-T9,2)</f>
        <v>696.58</v>
      </c>
      <c r="V9" s="155">
        <f>-IF(U9&gt;0,0,U9)</f>
        <v>0</v>
      </c>
      <c r="W9" s="155">
        <f>IF(I9/15&lt;=SMG,0,IF(U9&lt;0,0,U9))</f>
        <v>696.58</v>
      </c>
      <c r="X9" s="155">
        <f>SUM(W9:W9)</f>
        <v>696.58</v>
      </c>
      <c r="Y9" s="155">
        <f>K9+V9-X9</f>
        <v>6316.42</v>
      </c>
      <c r="Z9" s="142"/>
    </row>
    <row r="10" spans="1:32" s="51" customFormat="1" ht="150" customHeight="1" x14ac:dyDescent="0.3">
      <c r="A10" s="37"/>
      <c r="B10" s="147" t="s">
        <v>155</v>
      </c>
      <c r="C10" s="148" t="s">
        <v>115</v>
      </c>
      <c r="D10" s="259" t="s">
        <v>140</v>
      </c>
      <c r="E10" s="217">
        <v>43374</v>
      </c>
      <c r="F10" s="150" t="s">
        <v>272</v>
      </c>
      <c r="G10" s="151">
        <v>15</v>
      </c>
      <c r="H10" s="152">
        <v>341.11</v>
      </c>
      <c r="I10" s="153">
        <v>4814</v>
      </c>
      <c r="J10" s="154">
        <v>0</v>
      </c>
      <c r="K10" s="155">
        <f>SUM(I10:J10)</f>
        <v>4814</v>
      </c>
      <c r="L10" s="156">
        <f>IF(I10/15&lt;=SMG,0,J10/2)</f>
        <v>0</v>
      </c>
      <c r="M10" s="156">
        <f>I10+L10</f>
        <v>4814</v>
      </c>
      <c r="N10" s="156">
        <f>VLOOKUP(M10,Tarifa1,1)</f>
        <v>3124.36</v>
      </c>
      <c r="O10" s="156">
        <f>M10-N10</f>
        <v>1689.6399999999999</v>
      </c>
      <c r="P10" s="157">
        <f>VLOOKUP(M10,Tarifa1,3)</f>
        <v>0.10879999999999999</v>
      </c>
      <c r="Q10" s="156">
        <f>O10*P10</f>
        <v>183.83283199999997</v>
      </c>
      <c r="R10" s="158">
        <f>VLOOKUP(M10,Tarifa1,2)</f>
        <v>183.45</v>
      </c>
      <c r="S10" s="156">
        <f>Q10+R10</f>
        <v>367.28283199999998</v>
      </c>
      <c r="T10" s="156">
        <f>VLOOKUP(M10,Credito1,2)</f>
        <v>0</v>
      </c>
      <c r="U10" s="156">
        <f>ROUND(S10-T10,2)</f>
        <v>367.28</v>
      </c>
      <c r="V10" s="155">
        <f>-IF(U10&gt;0,0,U10)</f>
        <v>0</v>
      </c>
      <c r="W10" s="155">
        <f>IF(I10/15&lt;=SMG,0,IF(U10&lt;0,0,U10))</f>
        <v>367.28</v>
      </c>
      <c r="X10" s="155">
        <f>SUM(W10:W10)</f>
        <v>367.28</v>
      </c>
      <c r="Y10" s="155">
        <f>K10+V10-X10</f>
        <v>4446.72</v>
      </c>
      <c r="Z10" s="142"/>
    </row>
    <row r="11" spans="1:32" s="51" customFormat="1" ht="84.75" customHeight="1" x14ac:dyDescent="0.3">
      <c r="A11" s="45"/>
      <c r="B11" s="192" t="s">
        <v>101</v>
      </c>
      <c r="C11" s="192" t="s">
        <v>124</v>
      </c>
      <c r="D11" s="243" t="s">
        <v>127</v>
      </c>
      <c r="E11" s="192" t="s">
        <v>310</v>
      </c>
      <c r="F11" s="243" t="s">
        <v>60</v>
      </c>
      <c r="G11" s="243"/>
      <c r="H11" s="243"/>
      <c r="I11" s="244">
        <f>SUM(I12:I12)</f>
        <v>6873</v>
      </c>
      <c r="J11" s="244">
        <f>SUM(J12:J12)</f>
        <v>0</v>
      </c>
      <c r="K11" s="244">
        <f>SUM(K12:K12)</f>
        <v>6873</v>
      </c>
      <c r="L11" s="243"/>
      <c r="M11" s="243"/>
      <c r="N11" s="243"/>
      <c r="O11" s="243"/>
      <c r="P11" s="243"/>
      <c r="Q11" s="243"/>
      <c r="R11" s="246"/>
      <c r="S11" s="243"/>
      <c r="T11" s="243"/>
      <c r="U11" s="243"/>
      <c r="V11" s="244">
        <f>SUM(V12:V12)</f>
        <v>0</v>
      </c>
      <c r="W11" s="244">
        <f>SUM(W12:W12)</f>
        <v>671.49</v>
      </c>
      <c r="X11" s="244">
        <f>SUM(X12:X12)</f>
        <v>671.49</v>
      </c>
      <c r="Y11" s="244">
        <f>SUM(Y12:Y12)</f>
        <v>6201.51</v>
      </c>
      <c r="Z11" s="99"/>
      <c r="AF11" s="59"/>
    </row>
    <row r="12" spans="1:32" s="51" customFormat="1" ht="149.25" customHeight="1" x14ac:dyDescent="0.3">
      <c r="A12" s="45" t="s">
        <v>87</v>
      </c>
      <c r="B12" s="148" t="s">
        <v>113</v>
      </c>
      <c r="C12" s="148" t="s">
        <v>115</v>
      </c>
      <c r="D12" s="259" t="s">
        <v>93</v>
      </c>
      <c r="E12" s="220">
        <v>42278</v>
      </c>
      <c r="F12" s="150" t="s">
        <v>94</v>
      </c>
      <c r="G12" s="151">
        <v>15</v>
      </c>
      <c r="H12" s="152">
        <f t="shared" ref="H12:H35" si="0">I12/G12</f>
        <v>458.2</v>
      </c>
      <c r="I12" s="153">
        <v>6873</v>
      </c>
      <c r="J12" s="154">
        <v>0</v>
      </c>
      <c r="K12" s="155">
        <f>SUM(I12:J12)</f>
        <v>6873</v>
      </c>
      <c r="L12" s="156">
        <f>IF(I12/15&lt;=SMG,0,J12/2)</f>
        <v>0</v>
      </c>
      <c r="M12" s="156">
        <f>I12+L12</f>
        <v>6873</v>
      </c>
      <c r="N12" s="156">
        <f>VLOOKUP(M12,Tarifa1,1)</f>
        <v>6382.81</v>
      </c>
      <c r="O12" s="156">
        <f>M12-N12</f>
        <v>490.1899999999996</v>
      </c>
      <c r="P12" s="157">
        <f>VLOOKUP(M12,Tarifa1,3)</f>
        <v>0.1792</v>
      </c>
      <c r="Q12" s="156">
        <f>O12*P12</f>
        <v>87.842047999999934</v>
      </c>
      <c r="R12" s="158">
        <f>VLOOKUP(M12,Tarifa1,2)</f>
        <v>583.65</v>
      </c>
      <c r="S12" s="156">
        <f>Q12+R12</f>
        <v>671.49204799999995</v>
      </c>
      <c r="T12" s="156">
        <f>VLOOKUP(M12,Credito1,2)</f>
        <v>0</v>
      </c>
      <c r="U12" s="156">
        <f>ROUND(S12-T12,2)</f>
        <v>671.49</v>
      </c>
      <c r="V12" s="155">
        <f>-IF(U12&gt;0,0,U12)</f>
        <v>0</v>
      </c>
      <c r="W12" s="155">
        <f>IF(I12/15&lt;=SMG,0,IF(U12&lt;0,0,U12))</f>
        <v>671.49</v>
      </c>
      <c r="X12" s="155">
        <f>SUM(W12:W12)</f>
        <v>671.49</v>
      </c>
      <c r="Y12" s="155">
        <f>K12+V12-X12</f>
        <v>6201.51</v>
      </c>
      <c r="Z12" s="92"/>
      <c r="AF12" s="64"/>
    </row>
    <row r="13" spans="1:32" s="51" customFormat="1" ht="51.75" customHeight="1" x14ac:dyDescent="0.3">
      <c r="A13" s="45"/>
      <c r="B13" s="192" t="s">
        <v>101</v>
      </c>
      <c r="C13" s="192" t="s">
        <v>124</v>
      </c>
      <c r="D13" s="192" t="s">
        <v>128</v>
      </c>
      <c r="E13" s="192" t="s">
        <v>310</v>
      </c>
      <c r="F13" s="243" t="s">
        <v>60</v>
      </c>
      <c r="G13" s="243"/>
      <c r="H13" s="243"/>
      <c r="I13" s="244">
        <f>SUM(I14:I16)</f>
        <v>17332.93</v>
      </c>
      <c r="J13" s="244">
        <f>SUM(J14:J16)</f>
        <v>0</v>
      </c>
      <c r="K13" s="244">
        <f>SUM(K14:K16)</f>
        <v>17332.93</v>
      </c>
      <c r="L13" s="243"/>
      <c r="M13" s="243"/>
      <c r="N13" s="243"/>
      <c r="O13" s="243"/>
      <c r="P13" s="243"/>
      <c r="Q13" s="243"/>
      <c r="R13" s="246"/>
      <c r="S13" s="243"/>
      <c r="T13" s="243"/>
      <c r="U13" s="243"/>
      <c r="V13" s="244">
        <f>SUM(V14:V16)</f>
        <v>0</v>
      </c>
      <c r="W13" s="244">
        <f>SUM(W14:W16)</f>
        <v>1538.17</v>
      </c>
      <c r="X13" s="244">
        <f>SUM(X14:X16)</f>
        <v>1538.17</v>
      </c>
      <c r="Y13" s="244">
        <f>SUM(Y14:Y16)</f>
        <v>15794.76</v>
      </c>
      <c r="Z13" s="99"/>
      <c r="AF13" s="64"/>
    </row>
    <row r="14" spans="1:32" s="51" customFormat="1" ht="149.25" customHeight="1" x14ac:dyDescent="0.35">
      <c r="A14" s="45" t="s">
        <v>88</v>
      </c>
      <c r="B14" s="182">
        <v>185</v>
      </c>
      <c r="C14" s="148" t="s">
        <v>115</v>
      </c>
      <c r="D14" s="260" t="s">
        <v>152</v>
      </c>
      <c r="E14" s="219">
        <v>43374</v>
      </c>
      <c r="F14" s="150" t="s">
        <v>95</v>
      </c>
      <c r="G14" s="151">
        <v>15</v>
      </c>
      <c r="H14" s="152">
        <f t="shared" si="0"/>
        <v>497.6</v>
      </c>
      <c r="I14" s="153">
        <v>7464</v>
      </c>
      <c r="J14" s="154">
        <v>0</v>
      </c>
      <c r="K14" s="155">
        <f t="shared" ref="K14" si="1">SUM(I14:J14)</f>
        <v>7464</v>
      </c>
      <c r="L14" s="156">
        <f>IF(I14/15&lt;=SMG,0,J14/2)</f>
        <v>0</v>
      </c>
      <c r="M14" s="156">
        <f>I14+L14</f>
        <v>7464</v>
      </c>
      <c r="N14" s="156">
        <f>VLOOKUP(M14,Tarifa1,1)</f>
        <v>6382.81</v>
      </c>
      <c r="O14" s="156">
        <f>M14-N14</f>
        <v>1081.1899999999996</v>
      </c>
      <c r="P14" s="157">
        <f>VLOOKUP(M14,Tarifa1,3)</f>
        <v>0.1792</v>
      </c>
      <c r="Q14" s="156">
        <f>O14*P14</f>
        <v>193.74924799999994</v>
      </c>
      <c r="R14" s="158">
        <f>VLOOKUP(M14,Tarifa1,2)</f>
        <v>583.65</v>
      </c>
      <c r="S14" s="156">
        <f>Q14+R14</f>
        <v>777.39924799999994</v>
      </c>
      <c r="T14" s="156">
        <f>VLOOKUP(M14,Credito1,2)</f>
        <v>0</v>
      </c>
      <c r="U14" s="156">
        <f>ROUND(S14-T14,2)</f>
        <v>777.4</v>
      </c>
      <c r="V14" s="155">
        <f>-IF(U14&gt;0,0,U14)</f>
        <v>0</v>
      </c>
      <c r="W14" s="155">
        <f>IF(I14/15&lt;=SMG,0,IF(U14&lt;0,0,U14))</f>
        <v>777.4</v>
      </c>
      <c r="X14" s="155">
        <f>SUM(W14:W14)</f>
        <v>777.4</v>
      </c>
      <c r="Y14" s="155">
        <f>K14+V14-X14</f>
        <v>6686.6</v>
      </c>
      <c r="Z14" s="92"/>
      <c r="AF14" s="64"/>
    </row>
    <row r="15" spans="1:32" s="51" customFormat="1" ht="149.25" customHeight="1" x14ac:dyDescent="0.35">
      <c r="A15" s="45"/>
      <c r="B15" s="147" t="s">
        <v>295</v>
      </c>
      <c r="C15" s="148" t="s">
        <v>115</v>
      </c>
      <c r="D15" s="214" t="s">
        <v>294</v>
      </c>
      <c r="E15" s="221">
        <v>44958</v>
      </c>
      <c r="F15" s="150" t="s">
        <v>145</v>
      </c>
      <c r="G15" s="151">
        <v>15</v>
      </c>
      <c r="H15" s="152">
        <f>I15/G15</f>
        <v>358.6</v>
      </c>
      <c r="I15" s="153">
        <v>5379</v>
      </c>
      <c r="J15" s="154">
        <v>0</v>
      </c>
      <c r="K15" s="155">
        <f>SUM(I15:J15)</f>
        <v>5379</v>
      </c>
      <c r="L15" s="156">
        <f>IF(I15/15&lt;=SMG,0,J15/2)</f>
        <v>0</v>
      </c>
      <c r="M15" s="156">
        <f t="shared" ref="M15:M16" si="2">I15+L15</f>
        <v>5379</v>
      </c>
      <c r="N15" s="156">
        <f>VLOOKUP(M15,Tarifa1,1)</f>
        <v>3124.36</v>
      </c>
      <c r="O15" s="156">
        <f t="shared" ref="O15:O16" si="3">M15-N15</f>
        <v>2254.64</v>
      </c>
      <c r="P15" s="157">
        <f>VLOOKUP(M15,Tarifa1,3)</f>
        <v>0.10879999999999999</v>
      </c>
      <c r="Q15" s="156">
        <f t="shared" ref="Q15:Q16" si="4">O15*P15</f>
        <v>245.30483199999998</v>
      </c>
      <c r="R15" s="158">
        <f>VLOOKUP(M15,Tarifa1,2)</f>
        <v>183.45</v>
      </c>
      <c r="S15" s="156">
        <f t="shared" ref="S15:S16" si="5">Q15+R15</f>
        <v>428.75483199999996</v>
      </c>
      <c r="T15" s="156">
        <f>VLOOKUP(M15,Credito1,2)</f>
        <v>0</v>
      </c>
      <c r="U15" s="156">
        <f t="shared" ref="U15:U16" si="6">ROUND(S15-T15,2)</f>
        <v>428.75</v>
      </c>
      <c r="V15" s="155">
        <f t="shared" ref="V15:V16" si="7">-IF(U15&gt;0,0,U15)</f>
        <v>0</v>
      </c>
      <c r="W15" s="155">
        <f>IF(I15/15&lt;=SMG,0,IF(U15&lt;0,0,U15))</f>
        <v>428.75</v>
      </c>
      <c r="X15" s="155">
        <f>SUM(W15:W15)</f>
        <v>428.75</v>
      </c>
      <c r="Y15" s="155">
        <f>K15+V15-X15</f>
        <v>4950.25</v>
      </c>
      <c r="Z15" s="92"/>
      <c r="AF15" s="64"/>
    </row>
    <row r="16" spans="1:32" s="51" customFormat="1" ht="149.25" customHeight="1" x14ac:dyDescent="0.35">
      <c r="A16" s="45"/>
      <c r="B16" s="147" t="s">
        <v>184</v>
      </c>
      <c r="C16" s="148" t="s">
        <v>115</v>
      </c>
      <c r="D16" s="261" t="s">
        <v>182</v>
      </c>
      <c r="E16" s="221">
        <v>43617</v>
      </c>
      <c r="F16" s="150" t="s">
        <v>183</v>
      </c>
      <c r="G16" s="151">
        <v>15</v>
      </c>
      <c r="H16" s="152"/>
      <c r="I16" s="153">
        <v>4489.93</v>
      </c>
      <c r="J16" s="154">
        <v>0</v>
      </c>
      <c r="K16" s="155">
        <f>SUM(I16:J16)</f>
        <v>4489.93</v>
      </c>
      <c r="L16" s="156">
        <f>IF(I16/15&lt;=SMG,0,J16/2)</f>
        <v>0</v>
      </c>
      <c r="M16" s="156">
        <f t="shared" si="2"/>
        <v>4489.93</v>
      </c>
      <c r="N16" s="156">
        <f>VLOOKUP(M16,Tarifa1,1)</f>
        <v>3124.36</v>
      </c>
      <c r="O16" s="156">
        <f t="shared" si="3"/>
        <v>1365.5700000000002</v>
      </c>
      <c r="P16" s="157">
        <f>VLOOKUP(M16,Tarifa1,3)</f>
        <v>0.10879999999999999</v>
      </c>
      <c r="Q16" s="156">
        <f t="shared" si="4"/>
        <v>148.574016</v>
      </c>
      <c r="R16" s="158">
        <f>VLOOKUP(M16,Tarifa1,2)</f>
        <v>183.45</v>
      </c>
      <c r="S16" s="156">
        <f t="shared" si="5"/>
        <v>332.02401599999996</v>
      </c>
      <c r="T16" s="156">
        <f>VLOOKUP(M16,Credito1,2)</f>
        <v>0</v>
      </c>
      <c r="U16" s="156">
        <f t="shared" si="6"/>
        <v>332.02</v>
      </c>
      <c r="V16" s="155">
        <f t="shared" si="7"/>
        <v>0</v>
      </c>
      <c r="W16" s="155">
        <f>IF(I16/15&lt;=SMG,0,IF(U16&lt;0,0,U16))</f>
        <v>332.02</v>
      </c>
      <c r="X16" s="155">
        <f>SUM(W16:W16)</f>
        <v>332.02</v>
      </c>
      <c r="Y16" s="155">
        <f>K16+V16-X16</f>
        <v>4157.91</v>
      </c>
      <c r="Z16" s="92"/>
      <c r="AF16" s="64"/>
    </row>
    <row r="17" spans="1:32" s="51" customFormat="1" ht="24" customHeight="1" x14ac:dyDescent="0.3">
      <c r="A17" s="45"/>
      <c r="B17" s="203"/>
      <c r="C17" s="189"/>
      <c r="D17" s="204"/>
      <c r="E17" s="204"/>
      <c r="F17" s="196"/>
      <c r="G17" s="197"/>
      <c r="H17" s="198"/>
      <c r="I17" s="199"/>
      <c r="J17" s="200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93"/>
      <c r="AF17" s="64"/>
    </row>
    <row r="18" spans="1:32" s="51" customFormat="1" ht="24" customHeight="1" x14ac:dyDescent="0.3">
      <c r="A18" s="45"/>
      <c r="B18" s="203"/>
      <c r="C18" s="189"/>
      <c r="D18" s="204"/>
      <c r="E18" s="204"/>
      <c r="F18" s="196"/>
      <c r="G18" s="197"/>
      <c r="H18" s="198"/>
      <c r="I18" s="199"/>
      <c r="J18" s="200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93"/>
      <c r="AF18" s="64"/>
    </row>
    <row r="19" spans="1:32" s="51" customFormat="1" ht="24" customHeight="1" x14ac:dyDescent="0.3">
      <c r="A19" s="45"/>
      <c r="B19" s="203"/>
      <c r="C19" s="189"/>
      <c r="D19" s="204"/>
      <c r="E19" s="204"/>
      <c r="F19" s="196"/>
      <c r="G19" s="197"/>
      <c r="H19" s="198"/>
      <c r="I19" s="199"/>
      <c r="J19" s="200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93"/>
      <c r="AF19" s="64"/>
    </row>
    <row r="20" spans="1:32" s="51" customFormat="1" ht="24" customHeight="1" x14ac:dyDescent="0.3">
      <c r="A20" s="45"/>
      <c r="B20" s="203"/>
      <c r="C20" s="189"/>
      <c r="D20" s="204"/>
      <c r="E20" s="204"/>
      <c r="F20" s="196"/>
      <c r="G20" s="197"/>
      <c r="H20" s="198"/>
      <c r="I20" s="199"/>
      <c r="J20" s="200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93"/>
      <c r="AF20" s="64"/>
    </row>
    <row r="21" spans="1:32" s="51" customFormat="1" ht="24" customHeight="1" x14ac:dyDescent="0.3">
      <c r="A21" s="45"/>
      <c r="B21" s="203"/>
      <c r="C21" s="189"/>
      <c r="D21" s="204"/>
      <c r="E21" s="204"/>
      <c r="F21" s="196"/>
      <c r="G21" s="197"/>
      <c r="H21" s="198"/>
      <c r="I21" s="199"/>
      <c r="J21" s="200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93"/>
      <c r="AF21" s="64"/>
    </row>
    <row r="22" spans="1:32" s="51" customFormat="1" ht="24" customHeight="1" x14ac:dyDescent="0.3">
      <c r="A22" s="45"/>
      <c r="B22" s="203"/>
      <c r="C22" s="189"/>
      <c r="D22" s="204"/>
      <c r="E22" s="204"/>
      <c r="F22" s="196"/>
      <c r="G22" s="197"/>
      <c r="H22" s="198"/>
      <c r="I22" s="199"/>
      <c r="J22" s="200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93"/>
      <c r="AF22" s="64"/>
    </row>
    <row r="23" spans="1:32" s="51" customFormat="1" ht="24" customHeight="1" x14ac:dyDescent="0.3">
      <c r="A23" s="45"/>
      <c r="B23" s="203"/>
      <c r="C23" s="189"/>
      <c r="D23" s="204"/>
      <c r="E23" s="204"/>
      <c r="F23" s="196"/>
      <c r="G23" s="197"/>
      <c r="H23" s="198"/>
      <c r="I23" s="199"/>
      <c r="J23" s="200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93"/>
      <c r="AF23" s="64"/>
    </row>
    <row r="24" spans="1:32" s="51" customFormat="1" ht="24" customHeight="1" x14ac:dyDescent="0.3">
      <c r="A24" s="45"/>
      <c r="B24" s="203"/>
      <c r="C24" s="189"/>
      <c r="D24" s="204"/>
      <c r="E24" s="204"/>
      <c r="F24" s="196"/>
      <c r="G24" s="197"/>
      <c r="H24" s="198"/>
      <c r="I24" s="199"/>
      <c r="J24" s="200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93"/>
      <c r="AF24" s="64"/>
    </row>
    <row r="25" spans="1:32" s="51" customFormat="1" ht="24" customHeight="1" x14ac:dyDescent="0.3">
      <c r="A25" s="45"/>
      <c r="B25" s="203"/>
      <c r="C25" s="189"/>
      <c r="D25" s="204"/>
      <c r="E25" s="204"/>
      <c r="F25" s="196"/>
      <c r="G25" s="197"/>
      <c r="H25" s="198"/>
      <c r="I25" s="199"/>
      <c r="J25" s="200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93"/>
      <c r="AF25" s="64"/>
    </row>
    <row r="26" spans="1:32" s="51" customFormat="1" ht="26.25" customHeight="1" x14ac:dyDescent="0.3">
      <c r="A26" s="45"/>
      <c r="B26" s="297" t="s">
        <v>77</v>
      </c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F26" s="64"/>
    </row>
    <row r="27" spans="1:32" s="51" customFormat="1" ht="21.75" customHeight="1" x14ac:dyDescent="0.3">
      <c r="A27" s="45"/>
      <c r="B27" s="297" t="s">
        <v>63</v>
      </c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F27" s="64"/>
    </row>
    <row r="28" spans="1:32" s="51" customFormat="1" ht="25.5" customHeight="1" x14ac:dyDescent="0.3">
      <c r="A28" s="45"/>
      <c r="B28" s="288" t="s">
        <v>359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F28" s="64"/>
    </row>
    <row r="29" spans="1:32" s="51" customFormat="1" ht="25.5" customHeight="1" x14ac:dyDescent="0.3">
      <c r="A29" s="20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F29" s="64"/>
    </row>
    <row r="30" spans="1:32" s="51" customFormat="1" ht="72.75" customHeight="1" x14ac:dyDescent="0.3">
      <c r="A30" s="202"/>
      <c r="B30" s="192" t="s">
        <v>101</v>
      </c>
      <c r="C30" s="192" t="s">
        <v>124</v>
      </c>
      <c r="D30" s="243" t="s">
        <v>284</v>
      </c>
      <c r="E30" s="192" t="s">
        <v>310</v>
      </c>
      <c r="F30" s="243" t="s">
        <v>60</v>
      </c>
      <c r="G30" s="243"/>
      <c r="H30" s="243"/>
      <c r="I30" s="244">
        <f>SUM(I31:I34)</f>
        <v>29429.02</v>
      </c>
      <c r="J30" s="244">
        <f>SUM(J31:J34)</f>
        <v>0</v>
      </c>
      <c r="K30" s="244">
        <f>SUM(K31:K34)</f>
        <v>29429.02</v>
      </c>
      <c r="L30" s="243"/>
      <c r="M30" s="243"/>
      <c r="N30" s="243"/>
      <c r="O30" s="243"/>
      <c r="P30" s="243"/>
      <c r="Q30" s="243"/>
      <c r="R30" s="246"/>
      <c r="S30" s="243"/>
      <c r="T30" s="243"/>
      <c r="U30" s="243"/>
      <c r="V30" s="244">
        <f>SUM(V31:V34)</f>
        <v>0</v>
      </c>
      <c r="W30" s="244">
        <f>SUM(W31:W34)</f>
        <v>3112.4500000000003</v>
      </c>
      <c r="X30" s="244">
        <f>SUM(X31:X34)</f>
        <v>3112.4500000000003</v>
      </c>
      <c r="Y30" s="244">
        <f>SUM(Y31:Y34)</f>
        <v>26316.57</v>
      </c>
      <c r="Z30" s="99"/>
      <c r="AA30" s="193"/>
      <c r="AF30" s="64"/>
    </row>
    <row r="31" spans="1:32" s="51" customFormat="1" ht="149.25" customHeight="1" x14ac:dyDescent="0.35">
      <c r="A31" s="202"/>
      <c r="B31" s="147" t="s">
        <v>281</v>
      </c>
      <c r="C31" s="148" t="s">
        <v>115</v>
      </c>
      <c r="D31" s="214" t="s">
        <v>282</v>
      </c>
      <c r="E31" s="221">
        <v>44805</v>
      </c>
      <c r="F31" s="150" t="s">
        <v>283</v>
      </c>
      <c r="G31" s="151"/>
      <c r="H31" s="152"/>
      <c r="I31" s="153">
        <v>7013</v>
      </c>
      <c r="J31" s="154">
        <v>0</v>
      </c>
      <c r="K31" s="155">
        <f>SUM(I31:J31)</f>
        <v>7013</v>
      </c>
      <c r="L31" s="156">
        <f>IF(I31/15&lt;=SMG,0,J31/2)</f>
        <v>0</v>
      </c>
      <c r="M31" s="156">
        <f t="shared" ref="M31" si="8">I31+L31</f>
        <v>7013</v>
      </c>
      <c r="N31" s="156">
        <f>VLOOKUP(M31,Tarifa1,1)</f>
        <v>6382.81</v>
      </c>
      <c r="O31" s="156">
        <f t="shared" ref="O31" si="9">M31-N31</f>
        <v>630.1899999999996</v>
      </c>
      <c r="P31" s="157">
        <f>VLOOKUP(M31,Tarifa1,3)</f>
        <v>0.1792</v>
      </c>
      <c r="Q31" s="156">
        <f t="shared" ref="Q31" si="10">O31*P31</f>
        <v>112.93004799999993</v>
      </c>
      <c r="R31" s="158">
        <f>VLOOKUP(M31,Tarifa1,2)</f>
        <v>583.65</v>
      </c>
      <c r="S31" s="156">
        <f t="shared" ref="S31" si="11">Q31+R31</f>
        <v>696.58004799999992</v>
      </c>
      <c r="T31" s="156">
        <f>VLOOKUP(M31,Credito1,2)</f>
        <v>0</v>
      </c>
      <c r="U31" s="156">
        <f t="shared" ref="U31" si="12">ROUND(S31-T31,2)</f>
        <v>696.58</v>
      </c>
      <c r="V31" s="155">
        <f t="shared" ref="V31" si="13">-IF(U31&gt;0,0,U31)</f>
        <v>0</v>
      </c>
      <c r="W31" s="155">
        <f>IF(I31/15&lt;=SMG,0,IF(U31&lt;0,0,U31))</f>
        <v>696.58</v>
      </c>
      <c r="X31" s="155">
        <f>SUM(W31:W31)</f>
        <v>696.58</v>
      </c>
      <c r="Y31" s="155">
        <f>K31+V31-X31</f>
        <v>6316.42</v>
      </c>
      <c r="Z31" s="92"/>
      <c r="AA31" s="193"/>
      <c r="AF31" s="64"/>
    </row>
    <row r="32" spans="1:32" s="51" customFormat="1" ht="60.75" customHeight="1" x14ac:dyDescent="0.3">
      <c r="A32" s="202"/>
      <c r="B32" s="192" t="s">
        <v>101</v>
      </c>
      <c r="C32" s="192" t="s">
        <v>124</v>
      </c>
      <c r="D32" s="243" t="s">
        <v>342</v>
      </c>
      <c r="E32" s="192" t="s">
        <v>310</v>
      </c>
      <c r="F32" s="243" t="s">
        <v>60</v>
      </c>
      <c r="G32" s="243"/>
      <c r="H32" s="243"/>
      <c r="I32" s="244">
        <f>I33</f>
        <v>8490.51</v>
      </c>
      <c r="J32" s="244">
        <f>J33</f>
        <v>0</v>
      </c>
      <c r="K32" s="244">
        <f>K33</f>
        <v>8490.51</v>
      </c>
      <c r="L32" s="243"/>
      <c r="M32" s="243"/>
      <c r="N32" s="243"/>
      <c r="O32" s="243"/>
      <c r="P32" s="243"/>
      <c r="Q32" s="243"/>
      <c r="R32" s="246"/>
      <c r="S32" s="243"/>
      <c r="T32" s="243"/>
      <c r="U32" s="243"/>
      <c r="V32" s="244">
        <f>V33</f>
        <v>0</v>
      </c>
      <c r="W32" s="244">
        <f>W33</f>
        <v>990.51</v>
      </c>
      <c r="X32" s="244">
        <f>X33</f>
        <v>990.51</v>
      </c>
      <c r="Y32" s="244">
        <f>Y33</f>
        <v>7500</v>
      </c>
      <c r="Z32" s="99"/>
      <c r="AA32" s="193"/>
      <c r="AF32" s="64"/>
    </row>
    <row r="33" spans="1:32" s="51" customFormat="1" ht="149.25" customHeight="1" x14ac:dyDescent="0.35">
      <c r="A33" s="202"/>
      <c r="B33" s="147" t="s">
        <v>360</v>
      </c>
      <c r="C33" s="148" t="s">
        <v>115</v>
      </c>
      <c r="D33" s="214" t="s">
        <v>343</v>
      </c>
      <c r="E33" s="221">
        <v>45108</v>
      </c>
      <c r="F33" s="274" t="s">
        <v>344</v>
      </c>
      <c r="G33" s="151"/>
      <c r="H33" s="152"/>
      <c r="I33" s="153">
        <v>8490.51</v>
      </c>
      <c r="J33" s="154">
        <v>0</v>
      </c>
      <c r="K33" s="155">
        <f t="shared" ref="K33" si="14">SUM(I33:J33)</f>
        <v>8490.51</v>
      </c>
      <c r="L33" s="156">
        <f t="shared" ref="L33" si="15">IF(I33/15&lt;=SMG,0,J33/2)</f>
        <v>0</v>
      </c>
      <c r="M33" s="156">
        <f t="shared" ref="M33" si="16">I33+L33</f>
        <v>8490.51</v>
      </c>
      <c r="N33" s="156">
        <f t="shared" ref="N33" si="17">VLOOKUP(M33,Tarifa1,1)</f>
        <v>7641.91</v>
      </c>
      <c r="O33" s="156">
        <f t="shared" ref="O33" si="18">M33-N33</f>
        <v>848.60000000000036</v>
      </c>
      <c r="P33" s="157">
        <f t="shared" ref="P33" si="19">VLOOKUP(M33,Tarifa1,3)</f>
        <v>0.21360000000000001</v>
      </c>
      <c r="Q33" s="156">
        <f t="shared" ref="Q33" si="20">O33*P33</f>
        <v>181.2609600000001</v>
      </c>
      <c r="R33" s="158">
        <f t="shared" ref="R33" si="21">VLOOKUP(M33,Tarifa1,2)</f>
        <v>809.25</v>
      </c>
      <c r="S33" s="156">
        <f t="shared" ref="S33" si="22">Q33+R33</f>
        <v>990.51096000000007</v>
      </c>
      <c r="T33" s="156">
        <f t="shared" ref="T33" si="23">VLOOKUP(M33,Credito1,2)</f>
        <v>0</v>
      </c>
      <c r="U33" s="156">
        <f t="shared" ref="U33" si="24">ROUND(S33-T33,2)</f>
        <v>990.51</v>
      </c>
      <c r="V33" s="155">
        <f t="shared" ref="V33" si="25">-IF(U33&gt;0,0,U33)</f>
        <v>0</v>
      </c>
      <c r="W33" s="155">
        <f t="shared" ref="W33" si="26">IF(I33/15&lt;=SMG,0,IF(U33&lt;0,0,U33))</f>
        <v>990.51</v>
      </c>
      <c r="X33" s="155">
        <f>SUM(W33:W33)</f>
        <v>990.51</v>
      </c>
      <c r="Y33" s="155">
        <f>K33+V33-X33</f>
        <v>7500</v>
      </c>
      <c r="Z33" s="92"/>
      <c r="AA33" s="193"/>
      <c r="AF33" s="64"/>
    </row>
    <row r="34" spans="1:32" s="111" customFormat="1" ht="71.25" customHeight="1" x14ac:dyDescent="0.3">
      <c r="A34" s="148"/>
      <c r="B34" s="192" t="s">
        <v>101</v>
      </c>
      <c r="C34" s="192" t="s">
        <v>124</v>
      </c>
      <c r="D34" s="192" t="s">
        <v>129</v>
      </c>
      <c r="E34" s="192" t="s">
        <v>310</v>
      </c>
      <c r="F34" s="243" t="s">
        <v>60</v>
      </c>
      <c r="G34" s="243"/>
      <c r="H34" s="243"/>
      <c r="I34" s="244">
        <f>SUM(I35)</f>
        <v>5435</v>
      </c>
      <c r="J34" s="244">
        <f>SUM(J35)</f>
        <v>0</v>
      </c>
      <c r="K34" s="244">
        <f>SUM(K35)</f>
        <v>5435</v>
      </c>
      <c r="L34" s="243"/>
      <c r="M34" s="243"/>
      <c r="N34" s="243"/>
      <c r="O34" s="243"/>
      <c r="P34" s="243"/>
      <c r="Q34" s="243"/>
      <c r="R34" s="246"/>
      <c r="S34" s="243"/>
      <c r="T34" s="243"/>
      <c r="U34" s="243"/>
      <c r="V34" s="244">
        <f>SUM(V35)</f>
        <v>0</v>
      </c>
      <c r="W34" s="244">
        <f>SUM(W35)</f>
        <v>434.85</v>
      </c>
      <c r="X34" s="244">
        <f>SUM(X35)</f>
        <v>434.85</v>
      </c>
      <c r="Y34" s="244">
        <f>SUM(Y35)</f>
        <v>5000.1499999999996</v>
      </c>
      <c r="Z34" s="247"/>
      <c r="AF34" s="248"/>
    </row>
    <row r="35" spans="1:32" s="111" customFormat="1" ht="150" customHeight="1" x14ac:dyDescent="0.35">
      <c r="A35" s="148" t="s">
        <v>89</v>
      </c>
      <c r="B35" s="147" t="s">
        <v>159</v>
      </c>
      <c r="C35" s="148" t="s">
        <v>115</v>
      </c>
      <c r="D35" s="212" t="s">
        <v>212</v>
      </c>
      <c r="E35" s="217">
        <v>43374</v>
      </c>
      <c r="F35" s="150" t="s">
        <v>100</v>
      </c>
      <c r="G35" s="151">
        <v>15</v>
      </c>
      <c r="H35" s="152">
        <f t="shared" si="0"/>
        <v>362.33333333333331</v>
      </c>
      <c r="I35" s="153">
        <v>5435</v>
      </c>
      <c r="J35" s="154">
        <v>0</v>
      </c>
      <c r="K35" s="155">
        <f>SUM(I35:J35)</f>
        <v>5435</v>
      </c>
      <c r="L35" s="156">
        <f>IF(I35/15&lt;=SMG,0,J35/2)</f>
        <v>0</v>
      </c>
      <c r="M35" s="156">
        <f t="shared" ref="M35" si="27">I35+L35</f>
        <v>5435</v>
      </c>
      <c r="N35" s="156">
        <f>VLOOKUP(M35,Tarifa1,1)</f>
        <v>3124.36</v>
      </c>
      <c r="O35" s="156">
        <f t="shared" ref="O35" si="28">M35-N35</f>
        <v>2310.64</v>
      </c>
      <c r="P35" s="157">
        <f>VLOOKUP(M35,Tarifa1,3)</f>
        <v>0.10879999999999999</v>
      </c>
      <c r="Q35" s="156">
        <f t="shared" ref="Q35" si="29">O35*P35</f>
        <v>251.39763199999996</v>
      </c>
      <c r="R35" s="158">
        <f>VLOOKUP(M35,Tarifa1,2)</f>
        <v>183.45</v>
      </c>
      <c r="S35" s="156">
        <f t="shared" ref="S35" si="30">Q35+R35</f>
        <v>434.84763199999998</v>
      </c>
      <c r="T35" s="156">
        <f>VLOOKUP(M35,Credito1,2)</f>
        <v>0</v>
      </c>
      <c r="U35" s="156">
        <f t="shared" ref="U35" si="31">ROUND(S35-T35,2)</f>
        <v>434.85</v>
      </c>
      <c r="V35" s="155">
        <f>-IF(U35&gt;0,0,U35)</f>
        <v>0</v>
      </c>
      <c r="W35" s="155">
        <f>IF(I35/15&lt;=SMG,0,IF(U35&lt;0,0,U35))</f>
        <v>434.85</v>
      </c>
      <c r="X35" s="155">
        <f>SUM(W35:W35)</f>
        <v>434.85</v>
      </c>
      <c r="Y35" s="155">
        <f>K35+V35-X35</f>
        <v>5000.1499999999996</v>
      </c>
      <c r="Z35" s="110"/>
      <c r="AF35" s="248"/>
    </row>
    <row r="36" spans="1:32" s="111" customFormat="1" ht="61.5" customHeight="1" x14ac:dyDescent="0.3">
      <c r="A36" s="148"/>
      <c r="B36" s="192" t="s">
        <v>101</v>
      </c>
      <c r="C36" s="192" t="s">
        <v>124</v>
      </c>
      <c r="D36" s="192" t="s">
        <v>273</v>
      </c>
      <c r="E36" s="192" t="s">
        <v>310</v>
      </c>
      <c r="F36" s="243" t="s">
        <v>60</v>
      </c>
      <c r="G36" s="243"/>
      <c r="H36" s="243"/>
      <c r="I36" s="244">
        <f>SUM(I37)</f>
        <v>5043</v>
      </c>
      <c r="J36" s="244">
        <f>SUM(J37)</f>
        <v>0</v>
      </c>
      <c r="K36" s="244">
        <f>SUM(K37)</f>
        <v>5043</v>
      </c>
      <c r="L36" s="243"/>
      <c r="M36" s="243"/>
      <c r="N36" s="243"/>
      <c r="O36" s="243"/>
      <c r="P36" s="243"/>
      <c r="Q36" s="243"/>
      <c r="R36" s="246"/>
      <c r="S36" s="243"/>
      <c r="T36" s="243"/>
      <c r="U36" s="243"/>
      <c r="V36" s="244">
        <f>SUM(V37)</f>
        <v>0</v>
      </c>
      <c r="W36" s="244">
        <f>SUM(W37)</f>
        <v>392.2</v>
      </c>
      <c r="X36" s="244">
        <f>SUM(X37)</f>
        <v>392.2</v>
      </c>
      <c r="Y36" s="244">
        <f>SUM(Y37)</f>
        <v>4650.8</v>
      </c>
      <c r="Z36" s="247"/>
      <c r="AF36" s="248"/>
    </row>
    <row r="37" spans="1:32" s="111" customFormat="1" ht="149.25" customHeight="1" x14ac:dyDescent="0.35">
      <c r="A37" s="148"/>
      <c r="B37" s="148" t="s">
        <v>108</v>
      </c>
      <c r="C37" s="148" t="s">
        <v>115</v>
      </c>
      <c r="D37" s="212" t="s">
        <v>98</v>
      </c>
      <c r="E37" s="217">
        <v>40102</v>
      </c>
      <c r="F37" s="150" t="s">
        <v>277</v>
      </c>
      <c r="G37" s="151">
        <v>15</v>
      </c>
      <c r="H37" s="152">
        <v>305.35000000000002</v>
      </c>
      <c r="I37" s="153">
        <v>5043</v>
      </c>
      <c r="J37" s="154">
        <v>0</v>
      </c>
      <c r="K37" s="155">
        <f>SUM(I37:J37)</f>
        <v>5043</v>
      </c>
      <c r="L37" s="156">
        <f>IF(I37/15&lt;=SMG,0,J37/2)</f>
        <v>0</v>
      </c>
      <c r="M37" s="156">
        <f t="shared" ref="M37" si="32">I37+L37</f>
        <v>5043</v>
      </c>
      <c r="N37" s="156">
        <f>VLOOKUP(M37,Tarifa1,1)</f>
        <v>3124.36</v>
      </c>
      <c r="O37" s="156">
        <f t="shared" ref="O37" si="33">M37-N37</f>
        <v>1918.6399999999999</v>
      </c>
      <c r="P37" s="157">
        <f>VLOOKUP(M37,Tarifa1,3)</f>
        <v>0.10879999999999999</v>
      </c>
      <c r="Q37" s="156">
        <f t="shared" ref="Q37" si="34">O37*P37</f>
        <v>208.74803199999997</v>
      </c>
      <c r="R37" s="158">
        <f>VLOOKUP(M37,Tarifa1,2)</f>
        <v>183.45</v>
      </c>
      <c r="S37" s="156">
        <f t="shared" ref="S37" si="35">Q37+R37</f>
        <v>392.19803199999996</v>
      </c>
      <c r="T37" s="156">
        <f>VLOOKUP(M37,Credito1,2)</f>
        <v>0</v>
      </c>
      <c r="U37" s="156">
        <f t="shared" ref="U37" si="36">ROUND(S37-T37,2)</f>
        <v>392.2</v>
      </c>
      <c r="V37" s="155">
        <f t="shared" ref="V37" si="37">-IF(U37&gt;0,0,U37)</f>
        <v>0</v>
      </c>
      <c r="W37" s="155">
        <f>IF(I37/15&lt;=SMG,0,IF(U37&lt;0,0,U37))</f>
        <v>392.2</v>
      </c>
      <c r="X37" s="155">
        <f>SUM(W37:W37)</f>
        <v>392.2</v>
      </c>
      <c r="Y37" s="155">
        <f>K37+V37-X37</f>
        <v>4650.8</v>
      </c>
      <c r="Z37" s="110"/>
      <c r="AF37" s="248"/>
    </row>
    <row r="38" spans="1:32" s="111" customFormat="1" ht="57.75" customHeight="1" x14ac:dyDescent="0.3">
      <c r="A38" s="224"/>
      <c r="B38" s="192" t="s">
        <v>101</v>
      </c>
      <c r="C38" s="192" t="s">
        <v>124</v>
      </c>
      <c r="D38" s="243" t="s">
        <v>146</v>
      </c>
      <c r="E38" s="192" t="s">
        <v>310</v>
      </c>
      <c r="F38" s="243" t="s">
        <v>60</v>
      </c>
      <c r="G38" s="243"/>
      <c r="H38" s="243"/>
      <c r="I38" s="244">
        <f>SUM(I39)</f>
        <v>7013</v>
      </c>
      <c r="J38" s="244">
        <f>SUM(J39)</f>
        <v>0</v>
      </c>
      <c r="K38" s="244">
        <f>SUM(K39)</f>
        <v>7013</v>
      </c>
      <c r="L38" s="243"/>
      <c r="M38" s="243"/>
      <c r="N38" s="243"/>
      <c r="O38" s="243"/>
      <c r="P38" s="243"/>
      <c r="Q38" s="243"/>
      <c r="R38" s="246"/>
      <c r="S38" s="243"/>
      <c r="T38" s="243"/>
      <c r="U38" s="243"/>
      <c r="V38" s="244">
        <f>SUM(V39)</f>
        <v>0</v>
      </c>
      <c r="W38" s="244">
        <f>SUM(W39)</f>
        <v>696.58</v>
      </c>
      <c r="X38" s="244">
        <f>SUM(X39)</f>
        <v>696.58</v>
      </c>
      <c r="Y38" s="244">
        <f>SUM(Y39)</f>
        <v>6316.42</v>
      </c>
      <c r="Z38" s="247"/>
    </row>
    <row r="39" spans="1:32" s="111" customFormat="1" ht="150.75" customHeight="1" x14ac:dyDescent="0.35">
      <c r="A39" s="224"/>
      <c r="B39" s="147" t="s">
        <v>158</v>
      </c>
      <c r="C39" s="148" t="s">
        <v>115</v>
      </c>
      <c r="D39" s="212" t="s">
        <v>149</v>
      </c>
      <c r="E39" s="221">
        <v>43101</v>
      </c>
      <c r="F39" s="150" t="s">
        <v>150</v>
      </c>
      <c r="G39" s="151">
        <v>15</v>
      </c>
      <c r="H39" s="152">
        <f>I39/G39</f>
        <v>467.53333333333336</v>
      </c>
      <c r="I39" s="153">
        <v>7013</v>
      </c>
      <c r="J39" s="154">
        <v>0</v>
      </c>
      <c r="K39" s="155">
        <f>SUM(I39:J39)</f>
        <v>7013</v>
      </c>
      <c r="L39" s="156">
        <f>IF(I39/15&lt;=SMG,0,J39/2)</f>
        <v>0</v>
      </c>
      <c r="M39" s="156">
        <f t="shared" ref="M39" si="38">I39+L39</f>
        <v>7013</v>
      </c>
      <c r="N39" s="156">
        <f>VLOOKUP(M39,Tarifa1,1)</f>
        <v>6382.81</v>
      </c>
      <c r="O39" s="156">
        <f t="shared" ref="O39" si="39">M39-N39</f>
        <v>630.1899999999996</v>
      </c>
      <c r="P39" s="157">
        <f>VLOOKUP(M39,Tarifa1,3)</f>
        <v>0.1792</v>
      </c>
      <c r="Q39" s="156">
        <f t="shared" ref="Q39" si="40">O39*P39</f>
        <v>112.93004799999993</v>
      </c>
      <c r="R39" s="158">
        <f>VLOOKUP(M39,Tarifa1,2)</f>
        <v>583.65</v>
      </c>
      <c r="S39" s="156">
        <f t="shared" ref="S39" si="41">Q39+R39</f>
        <v>696.58004799999992</v>
      </c>
      <c r="T39" s="156">
        <f>VLOOKUP(M39,Credito1,2)</f>
        <v>0</v>
      </c>
      <c r="U39" s="156">
        <f t="shared" ref="U39" si="42">ROUND(S39-T39,2)</f>
        <v>696.58</v>
      </c>
      <c r="V39" s="155">
        <f t="shared" ref="V39" si="43">-IF(U39&gt;0,0,U39)</f>
        <v>0</v>
      </c>
      <c r="W39" s="155">
        <f>IF(I39/15&lt;=SMG,0,IF(U39&lt;0,0,U39))</f>
        <v>696.58</v>
      </c>
      <c r="X39" s="155">
        <f>SUM(W39:W39)</f>
        <v>696.58</v>
      </c>
      <c r="Y39" s="155">
        <f>K39+V39-X39</f>
        <v>6316.42</v>
      </c>
      <c r="Z39" s="110"/>
    </row>
    <row r="40" spans="1:32" s="111" customFormat="1" ht="17.399999999999999" x14ac:dyDescent="0.3">
      <c r="A40" s="224"/>
      <c r="B40" s="224"/>
      <c r="C40" s="224"/>
      <c r="D40" s="224"/>
      <c r="E40" s="224"/>
      <c r="F40" s="224"/>
      <c r="G40" s="224"/>
      <c r="H40" s="224"/>
      <c r="I40" s="249"/>
      <c r="J40" s="249"/>
      <c r="K40" s="249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110"/>
    </row>
    <row r="41" spans="1:32" s="111" customFormat="1" ht="39" customHeight="1" x14ac:dyDescent="0.3">
      <c r="A41" s="317" t="s">
        <v>44</v>
      </c>
      <c r="B41" s="317"/>
      <c r="C41" s="317"/>
      <c r="D41" s="317"/>
      <c r="E41" s="317"/>
      <c r="F41" s="317"/>
      <c r="G41" s="317"/>
      <c r="H41" s="317"/>
      <c r="I41" s="183">
        <f>SUM(I8+I11+I13+I30+I34+I36+I38+I32)</f>
        <v>86629.459999999992</v>
      </c>
      <c r="J41" s="183">
        <f>SUM(J8+J11+J13+J30+J34+J36+J38+J32)</f>
        <v>0</v>
      </c>
      <c r="K41" s="183">
        <f>SUM(K8+K11+K13+K30+K34+K36+K38+K32)</f>
        <v>86629.459999999992</v>
      </c>
      <c r="L41" s="184">
        <f t="shared" ref="L41:U41" si="44">SUM(L11:L40)</f>
        <v>0</v>
      </c>
      <c r="M41" s="184">
        <f t="shared" si="44"/>
        <v>57200.44</v>
      </c>
      <c r="N41" s="184">
        <f t="shared" si="44"/>
        <v>45670.59</v>
      </c>
      <c r="O41" s="184">
        <f t="shared" si="44"/>
        <v>11529.849999999999</v>
      </c>
      <c r="P41" s="184">
        <f t="shared" si="44"/>
        <v>1.3655999999999999</v>
      </c>
      <c r="Q41" s="184">
        <f t="shared" si="44"/>
        <v>1542.7368639999997</v>
      </c>
      <c r="R41" s="184">
        <f t="shared" si="44"/>
        <v>3877.6499999999996</v>
      </c>
      <c r="S41" s="184">
        <f t="shared" si="44"/>
        <v>5420.3868640000001</v>
      </c>
      <c r="T41" s="184">
        <f t="shared" si="44"/>
        <v>0</v>
      </c>
      <c r="U41" s="184">
        <f t="shared" si="44"/>
        <v>5420.38</v>
      </c>
      <c r="V41" s="183">
        <f>SUM(V8+V11+V13+V30+V34+V36+V38+V32)</f>
        <v>0</v>
      </c>
      <c r="W41" s="183">
        <f>SUM(W8+W11+W13+W30+W34+W36+W38+W32)</f>
        <v>8532.83</v>
      </c>
      <c r="X41" s="183">
        <f>SUM(X8+X11+X13+X30+X34+X36+X38+X32)</f>
        <v>8532.83</v>
      </c>
      <c r="Y41" s="183">
        <f>SUM(Y8+Y11+Y13+Y30+Y34+Y36+Y38+Y32)</f>
        <v>78096.63</v>
      </c>
      <c r="Z41" s="110"/>
    </row>
    <row r="42" spans="1:32" s="51" customFormat="1" ht="11.4" x14ac:dyDescent="0.2"/>
    <row r="43" spans="1:32" s="51" customFormat="1" ht="11.4" x14ac:dyDescent="0.2"/>
    <row r="44" spans="1:32" s="51" customFormat="1" ht="11.4" x14ac:dyDescent="0.2"/>
    <row r="45" spans="1:32" s="51" customFormat="1" ht="11.4" x14ac:dyDescent="0.2"/>
    <row r="46" spans="1:32" s="51" customFormat="1" ht="11.4" x14ac:dyDescent="0.2"/>
    <row r="47" spans="1:32" s="51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2" zoomScale="77" zoomScaleNormal="77" workbookViewId="0">
      <selection activeCell="B19" sqref="A19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8" t="s">
        <v>1</v>
      </c>
      <c r="J6" s="299"/>
      <c r="K6" s="300"/>
      <c r="L6" s="24" t="s">
        <v>25</v>
      </c>
      <c r="M6" s="25"/>
      <c r="N6" s="301" t="s">
        <v>8</v>
      </c>
      <c r="O6" s="302"/>
      <c r="P6" s="302"/>
      <c r="Q6" s="302"/>
      <c r="R6" s="302"/>
      <c r="S6" s="303"/>
      <c r="T6" s="24" t="s">
        <v>29</v>
      </c>
      <c r="U6" s="24" t="s">
        <v>9</v>
      </c>
      <c r="V6" s="23" t="s">
        <v>52</v>
      </c>
      <c r="W6" s="304" t="s">
        <v>2</v>
      </c>
      <c r="X6" s="305"/>
      <c r="Y6" s="23" t="s">
        <v>0</v>
      </c>
      <c r="Z6" s="34"/>
    </row>
    <row r="7" spans="1:26" ht="2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290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2"/>
      <c r="B9" s="132"/>
      <c r="C9" s="132"/>
      <c r="D9" s="131" t="s">
        <v>112</v>
      </c>
      <c r="E9" s="132" t="s">
        <v>310</v>
      </c>
      <c r="F9" s="132" t="s">
        <v>60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  <c r="V9" s="132"/>
      <c r="W9" s="132"/>
      <c r="X9" s="132"/>
      <c r="Y9" s="132"/>
      <c r="Z9" s="101"/>
    </row>
    <row r="10" spans="1:26" s="4" customFormat="1" ht="131.25" customHeight="1" x14ac:dyDescent="0.35">
      <c r="A10" s="109" t="s">
        <v>83</v>
      </c>
      <c r="B10" s="148" t="s">
        <v>110</v>
      </c>
      <c r="C10" s="148" t="s">
        <v>115</v>
      </c>
      <c r="D10" s="212" t="s">
        <v>99</v>
      </c>
      <c r="E10" s="215">
        <v>42278</v>
      </c>
      <c r="F10" s="150" t="s">
        <v>214</v>
      </c>
      <c r="G10" s="151">
        <v>15</v>
      </c>
      <c r="H10" s="152">
        <f>I10/G10</f>
        <v>1110.0666666666666</v>
      </c>
      <c r="I10" s="153">
        <v>16651</v>
      </c>
      <c r="J10" s="154">
        <v>0</v>
      </c>
      <c r="K10" s="155">
        <f>SUM(I10:J10)</f>
        <v>16651</v>
      </c>
      <c r="L10" s="156">
        <f>IF(I10/15&lt;=SMG,0,J10/2)</f>
        <v>0</v>
      </c>
      <c r="M10" s="156">
        <f>I10+L10</f>
        <v>16651</v>
      </c>
      <c r="N10" s="156">
        <f>VLOOKUP(M10,Tarifa1,1)</f>
        <v>15412.81</v>
      </c>
      <c r="O10" s="156">
        <f>M10-N10</f>
        <v>1238.1900000000005</v>
      </c>
      <c r="P10" s="157">
        <f>VLOOKUP(M10,Tarifa1,3)</f>
        <v>0.23519999999999999</v>
      </c>
      <c r="Q10" s="156">
        <f>O10*P10</f>
        <v>291.22228800000011</v>
      </c>
      <c r="R10" s="158">
        <f>VLOOKUP(M10,Tarifa1,2)</f>
        <v>2469.15</v>
      </c>
      <c r="S10" s="156">
        <f>Q10+R10</f>
        <v>2760.372288</v>
      </c>
      <c r="T10" s="156">
        <f>VLOOKUP(M10,Credito1,2)</f>
        <v>0</v>
      </c>
      <c r="U10" s="156">
        <f>ROUND(S10-T10,2)</f>
        <v>2760.37</v>
      </c>
      <c r="V10" s="155">
        <f>-IF(U10&gt;0,0,U10)</f>
        <v>0</v>
      </c>
      <c r="W10" s="155">
        <f>IF(I10/15&lt;=SMG,0,IF(U10&lt;0,0,U10))</f>
        <v>2760.37</v>
      </c>
      <c r="X10" s="155">
        <f>SUM(W10:W10)</f>
        <v>2760.37</v>
      </c>
      <c r="Y10" s="155">
        <f>K10+V10-X10</f>
        <v>13890.630000000001</v>
      </c>
      <c r="Z10" s="89"/>
    </row>
    <row r="11" spans="1:26" s="4" customFormat="1" ht="131.25" customHeight="1" x14ac:dyDescent="0.35">
      <c r="A11" s="109" t="s">
        <v>85</v>
      </c>
      <c r="B11" s="148" t="s">
        <v>104</v>
      </c>
      <c r="C11" s="148" t="s">
        <v>115</v>
      </c>
      <c r="D11" s="212" t="s">
        <v>72</v>
      </c>
      <c r="E11" s="215">
        <v>39462</v>
      </c>
      <c r="F11" s="150" t="s">
        <v>215</v>
      </c>
      <c r="G11" s="151">
        <v>15</v>
      </c>
      <c r="H11" s="152">
        <f>I11/G11</f>
        <v>704.86666666666667</v>
      </c>
      <c r="I11" s="153">
        <v>10573</v>
      </c>
      <c r="J11" s="154">
        <v>0</v>
      </c>
      <c r="K11" s="155">
        <f>I11</f>
        <v>10573</v>
      </c>
      <c r="L11" s="156">
        <f>IF(I11/15&lt;=SMG,0,J11/2)</f>
        <v>0</v>
      </c>
      <c r="M11" s="156">
        <f t="shared" ref="M11:M12" si="0">I11+L11</f>
        <v>10573</v>
      </c>
      <c r="N11" s="156">
        <f>VLOOKUP(M11,Tarifa1,1)</f>
        <v>7641.91</v>
      </c>
      <c r="O11" s="156">
        <f t="shared" ref="O11:O12" si="1">M11-N11</f>
        <v>2931.09</v>
      </c>
      <c r="P11" s="157">
        <f>VLOOKUP(M11,Tarifa1,3)</f>
        <v>0.21360000000000001</v>
      </c>
      <c r="Q11" s="156">
        <f t="shared" ref="Q11:Q12" si="2">O11*P11</f>
        <v>626.08082400000012</v>
      </c>
      <c r="R11" s="158">
        <f>VLOOKUP(M11,Tarifa1,2)</f>
        <v>809.25</v>
      </c>
      <c r="S11" s="156">
        <f t="shared" ref="S11:S12" si="3">Q11+R11</f>
        <v>1435.3308240000001</v>
      </c>
      <c r="T11" s="156">
        <f>VLOOKUP(M11,Credito1,2)</f>
        <v>0</v>
      </c>
      <c r="U11" s="156">
        <f t="shared" ref="U11:U12" si="4">ROUND(S11-T11,2)</f>
        <v>1435.33</v>
      </c>
      <c r="V11" s="155">
        <f t="shared" ref="V11:V12" si="5">-IF(U11&gt;0,0,U11)</f>
        <v>0</v>
      </c>
      <c r="W11" s="155">
        <f>IF(I11/15&lt;=SMG,0,IF(U11&lt;0,0,U11))</f>
        <v>1435.33</v>
      </c>
      <c r="X11" s="155">
        <f>SUM(W11:W11)</f>
        <v>1435.33</v>
      </c>
      <c r="Y11" s="155">
        <f>K11+V11-X11</f>
        <v>9137.67</v>
      </c>
      <c r="Z11" s="89"/>
    </row>
    <row r="12" spans="1:26" s="4" customFormat="1" ht="131.25" customHeight="1" x14ac:dyDescent="0.35">
      <c r="A12" s="109" t="s">
        <v>86</v>
      </c>
      <c r="B12" s="148" t="s">
        <v>111</v>
      </c>
      <c r="C12" s="148" t="s">
        <v>115</v>
      </c>
      <c r="D12" s="212" t="s">
        <v>96</v>
      </c>
      <c r="E12" s="215">
        <v>42278</v>
      </c>
      <c r="F12" s="150" t="s">
        <v>215</v>
      </c>
      <c r="G12" s="151">
        <v>15</v>
      </c>
      <c r="H12" s="152">
        <f>I12/G12</f>
        <v>418.33333333333331</v>
      </c>
      <c r="I12" s="153">
        <v>6275</v>
      </c>
      <c r="J12" s="154">
        <v>0</v>
      </c>
      <c r="K12" s="155">
        <f>SUM(I12:J12)</f>
        <v>6275</v>
      </c>
      <c r="L12" s="156">
        <f>IF(I12/15&lt;=SMG,0,J12/2)</f>
        <v>0</v>
      </c>
      <c r="M12" s="156">
        <f t="shared" si="0"/>
        <v>6275</v>
      </c>
      <c r="N12" s="156">
        <f>VLOOKUP(M12,Tarifa1,1)</f>
        <v>5490.76</v>
      </c>
      <c r="O12" s="156">
        <f t="shared" si="1"/>
        <v>784.23999999999978</v>
      </c>
      <c r="P12" s="157">
        <f>VLOOKUP(M12,Tarifa1,3)</f>
        <v>0.16</v>
      </c>
      <c r="Q12" s="156">
        <f t="shared" si="2"/>
        <v>125.47839999999997</v>
      </c>
      <c r="R12" s="158">
        <f>VLOOKUP(M12,Tarifa1,2)</f>
        <v>441</v>
      </c>
      <c r="S12" s="156">
        <f t="shared" si="3"/>
        <v>566.47839999999997</v>
      </c>
      <c r="T12" s="156">
        <f>VLOOKUP(M12,Credito1,2)</f>
        <v>0</v>
      </c>
      <c r="U12" s="156">
        <f t="shared" si="4"/>
        <v>566.48</v>
      </c>
      <c r="V12" s="155">
        <f t="shared" si="5"/>
        <v>0</v>
      </c>
      <c r="W12" s="155">
        <f>IF(I12/15&lt;=SMG,0,IF(U12&lt;0,0,U12))</f>
        <v>566.48</v>
      </c>
      <c r="X12" s="155">
        <f>SUM(W12:W12)</f>
        <v>566.48</v>
      </c>
      <c r="Y12" s="155">
        <f>K12+V12-X12</f>
        <v>5708.52</v>
      </c>
      <c r="Z12" s="89"/>
    </row>
    <row r="13" spans="1:26" s="4" customFormat="1" ht="36" customHeight="1" x14ac:dyDescent="0.3">
      <c r="A13" s="172"/>
      <c r="B13" s="172"/>
      <c r="C13" s="172"/>
      <c r="D13" s="172"/>
      <c r="E13" s="172"/>
      <c r="F13" s="172"/>
      <c r="G13" s="172"/>
      <c r="H13" s="172"/>
      <c r="I13" s="178"/>
      <c r="J13" s="178"/>
      <c r="K13" s="178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6" s="4" customFormat="1" ht="60" customHeight="1" thickBot="1" x14ac:dyDescent="0.35">
      <c r="A14" s="284" t="s">
        <v>44</v>
      </c>
      <c r="B14" s="285"/>
      <c r="C14" s="285"/>
      <c r="D14" s="285"/>
      <c r="E14" s="285"/>
      <c r="F14" s="285"/>
      <c r="G14" s="285"/>
      <c r="H14" s="286"/>
      <c r="I14" s="159">
        <f>SUM(I10:I13)</f>
        <v>33499</v>
      </c>
      <c r="J14" s="159">
        <f>SUM(J10:J13)</f>
        <v>0</v>
      </c>
      <c r="K14" s="159">
        <f>SUM(K10:K13)</f>
        <v>33499</v>
      </c>
      <c r="L14" s="160">
        <f t="shared" ref="L14:U14" si="6">SUM(L10:L13)</f>
        <v>0</v>
      </c>
      <c r="M14" s="160">
        <f t="shared" si="6"/>
        <v>33499</v>
      </c>
      <c r="N14" s="160">
        <f t="shared" si="6"/>
        <v>28545.480000000003</v>
      </c>
      <c r="O14" s="160">
        <f t="shared" si="6"/>
        <v>4953.5200000000004</v>
      </c>
      <c r="P14" s="160">
        <f t="shared" si="6"/>
        <v>0.60880000000000001</v>
      </c>
      <c r="Q14" s="160">
        <f t="shared" si="6"/>
        <v>1042.7815120000002</v>
      </c>
      <c r="R14" s="160">
        <f t="shared" si="6"/>
        <v>3719.4</v>
      </c>
      <c r="S14" s="160">
        <f t="shared" si="6"/>
        <v>4762.1815120000001</v>
      </c>
      <c r="T14" s="160">
        <f t="shared" si="6"/>
        <v>0</v>
      </c>
      <c r="U14" s="160">
        <f t="shared" si="6"/>
        <v>4762.18</v>
      </c>
      <c r="V14" s="159">
        <f>SUM(V10:V13)</f>
        <v>0</v>
      </c>
      <c r="W14" s="159">
        <f>SUM(W10:W13)</f>
        <v>4762.18</v>
      </c>
      <c r="X14" s="159">
        <f>SUM(X10:X13)</f>
        <v>4762.18</v>
      </c>
      <c r="Y14" s="159">
        <f>SUM(Y10:Y12)</f>
        <v>28736.820000000003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8" zoomScale="87" zoomScaleNormal="87" workbookViewId="0">
      <selection activeCell="B26" sqref="A26:XFD34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8" t="s">
        <v>1</v>
      </c>
      <c r="J6" s="300"/>
      <c r="K6" s="24" t="s">
        <v>25</v>
      </c>
      <c r="L6" s="25"/>
      <c r="M6" s="301" t="s">
        <v>8</v>
      </c>
      <c r="N6" s="302"/>
      <c r="O6" s="302"/>
      <c r="P6" s="302"/>
      <c r="Q6" s="302"/>
      <c r="R6" s="303"/>
      <c r="S6" s="24" t="s">
        <v>29</v>
      </c>
      <c r="T6" s="24" t="s">
        <v>9</v>
      </c>
      <c r="U6" s="23" t="s">
        <v>52</v>
      </c>
      <c r="V6" s="304" t="s">
        <v>2</v>
      </c>
      <c r="W6" s="305"/>
      <c r="X6" s="23" t="s">
        <v>0</v>
      </c>
      <c r="Y6" s="34"/>
    </row>
    <row r="7" spans="1:26" ht="33.75" customHeight="1" x14ac:dyDescent="0.25">
      <c r="A7" s="26" t="s">
        <v>20</v>
      </c>
      <c r="B7" s="44" t="s">
        <v>101</v>
      </c>
      <c r="C7" s="44" t="s">
        <v>116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290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310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93.75" customHeight="1" x14ac:dyDescent="0.35">
      <c r="A10" s="109" t="s">
        <v>83</v>
      </c>
      <c r="B10" s="147" t="s">
        <v>240</v>
      </c>
      <c r="C10" s="148" t="s">
        <v>115</v>
      </c>
      <c r="D10" s="212" t="s">
        <v>223</v>
      </c>
      <c r="E10" s="215">
        <v>44470</v>
      </c>
      <c r="F10" s="149" t="s">
        <v>74</v>
      </c>
      <c r="G10" s="151">
        <v>15</v>
      </c>
      <c r="H10" s="185">
        <f>I10/G10</f>
        <v>590</v>
      </c>
      <c r="I10" s="153">
        <v>8850</v>
      </c>
      <c r="J10" s="155">
        <f t="shared" ref="J10:J18" si="0">SUM(I10:I10)</f>
        <v>8850</v>
      </c>
      <c r="K10" s="156">
        <v>0</v>
      </c>
      <c r="L10" s="156">
        <f>J10+K10</f>
        <v>8850</v>
      </c>
      <c r="M10" s="156">
        <f t="shared" ref="M10:M18" si="1">VLOOKUP(L10,Tarifa1,1)</f>
        <v>7641.91</v>
      </c>
      <c r="N10" s="156">
        <f>L10-M10</f>
        <v>1208.0900000000001</v>
      </c>
      <c r="O10" s="157">
        <f t="shared" ref="O10" si="2">VLOOKUP(L10,Tarifa1,3)</f>
        <v>0.21360000000000001</v>
      </c>
      <c r="P10" s="156">
        <f>N10*O10</f>
        <v>258.04802400000005</v>
      </c>
      <c r="Q10" s="158">
        <f t="shared" ref="Q10:Q18" si="3">VLOOKUP(L10,Tarifa1,2)</f>
        <v>809.25</v>
      </c>
      <c r="R10" s="156">
        <f>P10+Q10</f>
        <v>1067.2980240000002</v>
      </c>
      <c r="S10" s="156">
        <f t="shared" ref="S10" si="4">VLOOKUP(L10,Credito1,2)</f>
        <v>0</v>
      </c>
      <c r="T10" s="156">
        <f>ROUND(R10-S10,2)</f>
        <v>1067.3</v>
      </c>
      <c r="U10" s="155">
        <f t="shared" ref="U10:U18" si="5">-IF(T10&gt;0,0,T10)</f>
        <v>0</v>
      </c>
      <c r="V10" s="155">
        <f t="shared" ref="V10:V18" si="6">IF(I10/15&lt;=SMG,0,IF(T10&lt;0,0,T10))</f>
        <v>1067.3</v>
      </c>
      <c r="W10" s="155">
        <f t="shared" ref="W10:W18" si="7">SUM(V10:V10)</f>
        <v>1067.3</v>
      </c>
      <c r="X10" s="155">
        <f t="shared" ref="X10:X18" si="8">J10+U10-W10</f>
        <v>7782.7</v>
      </c>
      <c r="Y10" s="33"/>
    </row>
    <row r="11" spans="1:26" ht="93.75" customHeight="1" x14ac:dyDescent="0.35">
      <c r="A11" s="109" t="s">
        <v>84</v>
      </c>
      <c r="B11" s="147" t="s">
        <v>221</v>
      </c>
      <c r="C11" s="148" t="s">
        <v>115</v>
      </c>
      <c r="D11" s="212" t="s">
        <v>224</v>
      </c>
      <c r="E11" s="215">
        <v>44470</v>
      </c>
      <c r="F11" s="149" t="s">
        <v>74</v>
      </c>
      <c r="G11" s="151">
        <v>15</v>
      </c>
      <c r="H11" s="185">
        <f t="shared" ref="H11:H18" si="9">I11/G11</f>
        <v>590</v>
      </c>
      <c r="I11" s="153">
        <v>8850</v>
      </c>
      <c r="J11" s="155">
        <f t="shared" si="0"/>
        <v>8850</v>
      </c>
      <c r="K11" s="156">
        <v>0</v>
      </c>
      <c r="L11" s="156">
        <f t="shared" ref="L11:L18" si="10">J11+K11</f>
        <v>8850</v>
      </c>
      <c r="M11" s="156">
        <f t="shared" si="1"/>
        <v>7641.91</v>
      </c>
      <c r="N11" s="156">
        <f t="shared" ref="N11" si="11">L11-M11</f>
        <v>1208.0900000000001</v>
      </c>
      <c r="O11" s="157">
        <f t="shared" ref="O11" si="12">VLOOKUP(L11,Tarifa1,3)</f>
        <v>0.21360000000000001</v>
      </c>
      <c r="P11" s="156">
        <f t="shared" ref="P11" si="13">N11*O11</f>
        <v>258.04802400000005</v>
      </c>
      <c r="Q11" s="158">
        <f t="shared" si="3"/>
        <v>809.25</v>
      </c>
      <c r="R11" s="156">
        <f t="shared" ref="R11:R18" si="14">P11+Q11</f>
        <v>1067.2980240000002</v>
      </c>
      <c r="S11" s="156">
        <f t="shared" ref="S11:S18" si="15">VLOOKUP(L11,Credito1,2)</f>
        <v>0</v>
      </c>
      <c r="T11" s="156">
        <f t="shared" ref="T11:T18" si="16">ROUND(R11-S11,2)</f>
        <v>1067.3</v>
      </c>
      <c r="U11" s="155">
        <f t="shared" si="5"/>
        <v>0</v>
      </c>
      <c r="V11" s="155">
        <f t="shared" si="6"/>
        <v>1067.3</v>
      </c>
      <c r="W11" s="155">
        <f t="shared" si="7"/>
        <v>1067.3</v>
      </c>
      <c r="X11" s="155">
        <f t="shared" si="8"/>
        <v>7782.7</v>
      </c>
      <c r="Y11" s="33"/>
    </row>
    <row r="12" spans="1:26" ht="93.75" customHeight="1" x14ac:dyDescent="0.35">
      <c r="A12" s="109" t="s">
        <v>85</v>
      </c>
      <c r="B12" s="147" t="s">
        <v>222</v>
      </c>
      <c r="C12" s="148" t="s">
        <v>115</v>
      </c>
      <c r="D12" s="212" t="s">
        <v>225</v>
      </c>
      <c r="E12" s="215">
        <v>44470</v>
      </c>
      <c r="F12" s="149" t="s">
        <v>74</v>
      </c>
      <c r="G12" s="151">
        <v>15</v>
      </c>
      <c r="H12" s="185">
        <f t="shared" si="9"/>
        <v>590</v>
      </c>
      <c r="I12" s="153">
        <v>8850</v>
      </c>
      <c r="J12" s="155">
        <f t="shared" si="0"/>
        <v>8850</v>
      </c>
      <c r="K12" s="156">
        <v>0</v>
      </c>
      <c r="L12" s="156">
        <f t="shared" si="10"/>
        <v>8850</v>
      </c>
      <c r="M12" s="156">
        <f t="shared" si="1"/>
        <v>7641.91</v>
      </c>
      <c r="N12" s="156">
        <f t="shared" ref="N12:N18" si="17">L12-M12</f>
        <v>1208.0900000000001</v>
      </c>
      <c r="O12" s="157">
        <f t="shared" ref="O12:O18" si="18">VLOOKUP(L12,Tarifa1,3)</f>
        <v>0.21360000000000001</v>
      </c>
      <c r="P12" s="156">
        <f t="shared" ref="P12:P18" si="19">N12*O12</f>
        <v>258.04802400000005</v>
      </c>
      <c r="Q12" s="158">
        <f t="shared" si="3"/>
        <v>809.25</v>
      </c>
      <c r="R12" s="156">
        <f t="shared" si="14"/>
        <v>1067.2980240000002</v>
      </c>
      <c r="S12" s="156">
        <f t="shared" si="15"/>
        <v>0</v>
      </c>
      <c r="T12" s="156">
        <f t="shared" si="16"/>
        <v>1067.3</v>
      </c>
      <c r="U12" s="155">
        <f t="shared" si="5"/>
        <v>0</v>
      </c>
      <c r="V12" s="155">
        <f t="shared" si="6"/>
        <v>1067.3</v>
      </c>
      <c r="W12" s="155">
        <f t="shared" si="7"/>
        <v>1067.3</v>
      </c>
      <c r="X12" s="155">
        <f t="shared" si="8"/>
        <v>7782.7</v>
      </c>
      <c r="Y12" s="33"/>
    </row>
    <row r="13" spans="1:26" ht="93.75" customHeight="1" x14ac:dyDescent="0.35">
      <c r="A13" s="109" t="s">
        <v>86</v>
      </c>
      <c r="B13" s="147" t="s">
        <v>241</v>
      </c>
      <c r="C13" s="148" t="s">
        <v>115</v>
      </c>
      <c r="D13" s="213" t="s">
        <v>226</v>
      </c>
      <c r="E13" s="215">
        <v>44470</v>
      </c>
      <c r="F13" s="149" t="s">
        <v>74</v>
      </c>
      <c r="G13" s="151">
        <v>10</v>
      </c>
      <c r="H13" s="185">
        <f t="shared" si="9"/>
        <v>885</v>
      </c>
      <c r="I13" s="153">
        <v>8850</v>
      </c>
      <c r="J13" s="155">
        <f t="shared" ref="J13" si="20">SUM(I13:I13)</f>
        <v>8850</v>
      </c>
      <c r="K13" s="156">
        <v>0</v>
      </c>
      <c r="L13" s="156">
        <f t="shared" ref="L13" si="21">J13+K13</f>
        <v>8850</v>
      </c>
      <c r="M13" s="156">
        <f t="shared" si="1"/>
        <v>7641.91</v>
      </c>
      <c r="N13" s="156">
        <f t="shared" si="17"/>
        <v>1208.0900000000001</v>
      </c>
      <c r="O13" s="157">
        <f t="shared" si="18"/>
        <v>0.21360000000000001</v>
      </c>
      <c r="P13" s="156">
        <f t="shared" si="19"/>
        <v>258.04802400000005</v>
      </c>
      <c r="Q13" s="158">
        <f t="shared" si="3"/>
        <v>809.25</v>
      </c>
      <c r="R13" s="156">
        <f t="shared" ref="R13" si="22">P13+Q13</f>
        <v>1067.2980240000002</v>
      </c>
      <c r="S13" s="156">
        <f t="shared" ref="S13" si="23">VLOOKUP(L13,Credito1,2)</f>
        <v>0</v>
      </c>
      <c r="T13" s="156">
        <f t="shared" ref="T13" si="24">ROUND(R13-S13,2)</f>
        <v>1067.3</v>
      </c>
      <c r="U13" s="155">
        <f t="shared" si="5"/>
        <v>0</v>
      </c>
      <c r="V13" s="155">
        <f t="shared" si="6"/>
        <v>1067.3</v>
      </c>
      <c r="W13" s="155">
        <f t="shared" si="7"/>
        <v>1067.3</v>
      </c>
      <c r="X13" s="155">
        <f t="shared" si="8"/>
        <v>7782.7</v>
      </c>
      <c r="Y13" s="33"/>
    </row>
    <row r="14" spans="1:26" ht="93.75" customHeight="1" x14ac:dyDescent="0.35">
      <c r="A14" s="109" t="s">
        <v>87</v>
      </c>
      <c r="B14" s="147" t="s">
        <v>242</v>
      </c>
      <c r="C14" s="148" t="s">
        <v>115</v>
      </c>
      <c r="D14" s="214" t="s">
        <v>227</v>
      </c>
      <c r="E14" s="215">
        <v>44470</v>
      </c>
      <c r="F14" s="162" t="s">
        <v>74</v>
      </c>
      <c r="G14" s="163">
        <v>15</v>
      </c>
      <c r="H14" s="186">
        <f t="shared" si="9"/>
        <v>590</v>
      </c>
      <c r="I14" s="153">
        <v>8850</v>
      </c>
      <c r="J14" s="155">
        <f t="shared" ref="J14" si="25">SUM(I14:I14)</f>
        <v>8850</v>
      </c>
      <c r="K14" s="156">
        <v>0</v>
      </c>
      <c r="L14" s="156">
        <f t="shared" si="10"/>
        <v>8850</v>
      </c>
      <c r="M14" s="156">
        <f t="shared" si="1"/>
        <v>7641.91</v>
      </c>
      <c r="N14" s="156">
        <f t="shared" si="17"/>
        <v>1208.0900000000001</v>
      </c>
      <c r="O14" s="157">
        <f t="shared" si="18"/>
        <v>0.21360000000000001</v>
      </c>
      <c r="P14" s="156">
        <f t="shared" si="19"/>
        <v>258.04802400000005</v>
      </c>
      <c r="Q14" s="158">
        <f t="shared" si="3"/>
        <v>809.25</v>
      </c>
      <c r="R14" s="156">
        <f t="shared" si="14"/>
        <v>1067.2980240000002</v>
      </c>
      <c r="S14" s="156">
        <f t="shared" si="15"/>
        <v>0</v>
      </c>
      <c r="T14" s="156">
        <f t="shared" si="16"/>
        <v>1067.3</v>
      </c>
      <c r="U14" s="155">
        <f t="shared" ref="U14" si="26">-IF(T14&gt;0,0,T14)</f>
        <v>0</v>
      </c>
      <c r="V14" s="155">
        <f t="shared" si="6"/>
        <v>1067.3</v>
      </c>
      <c r="W14" s="155">
        <f t="shared" si="7"/>
        <v>1067.3</v>
      </c>
      <c r="X14" s="155">
        <f t="shared" si="8"/>
        <v>7782.7</v>
      </c>
      <c r="Y14" s="33"/>
    </row>
    <row r="15" spans="1:26" ht="93.75" customHeight="1" x14ac:dyDescent="0.35">
      <c r="A15" s="109" t="s">
        <v>88</v>
      </c>
      <c r="B15" s="147" t="s">
        <v>243</v>
      </c>
      <c r="C15" s="148" t="s">
        <v>115</v>
      </c>
      <c r="D15" s="212" t="s">
        <v>228</v>
      </c>
      <c r="E15" s="215">
        <v>44470</v>
      </c>
      <c r="F15" s="149" t="s">
        <v>74</v>
      </c>
      <c r="G15" s="151">
        <v>15</v>
      </c>
      <c r="H15" s="185">
        <f t="shared" si="9"/>
        <v>590</v>
      </c>
      <c r="I15" s="153">
        <v>8850</v>
      </c>
      <c r="J15" s="155">
        <f t="shared" si="0"/>
        <v>8850</v>
      </c>
      <c r="K15" s="156">
        <v>0</v>
      </c>
      <c r="L15" s="156">
        <f t="shared" si="10"/>
        <v>8850</v>
      </c>
      <c r="M15" s="156">
        <f t="shared" si="1"/>
        <v>7641.91</v>
      </c>
      <c r="N15" s="156">
        <f t="shared" si="17"/>
        <v>1208.0900000000001</v>
      </c>
      <c r="O15" s="157">
        <f t="shared" si="18"/>
        <v>0.21360000000000001</v>
      </c>
      <c r="P15" s="156">
        <f t="shared" si="19"/>
        <v>258.04802400000005</v>
      </c>
      <c r="Q15" s="158">
        <f t="shared" si="3"/>
        <v>809.25</v>
      </c>
      <c r="R15" s="156">
        <f t="shared" si="14"/>
        <v>1067.2980240000002</v>
      </c>
      <c r="S15" s="156">
        <f t="shared" si="15"/>
        <v>0</v>
      </c>
      <c r="T15" s="156">
        <f t="shared" si="16"/>
        <v>1067.3</v>
      </c>
      <c r="U15" s="155">
        <f t="shared" si="5"/>
        <v>0</v>
      </c>
      <c r="V15" s="155">
        <f t="shared" si="6"/>
        <v>1067.3</v>
      </c>
      <c r="W15" s="155">
        <f t="shared" si="7"/>
        <v>1067.3</v>
      </c>
      <c r="X15" s="155">
        <f t="shared" si="8"/>
        <v>7782.7</v>
      </c>
      <c r="Y15" s="33"/>
    </row>
    <row r="16" spans="1:26" ht="93.75" customHeight="1" x14ac:dyDescent="0.35">
      <c r="A16" s="109" t="s">
        <v>89</v>
      </c>
      <c r="B16" s="147" t="s">
        <v>229</v>
      </c>
      <c r="C16" s="148" t="s">
        <v>115</v>
      </c>
      <c r="D16" s="212" t="s">
        <v>230</v>
      </c>
      <c r="E16" s="215">
        <v>44470</v>
      </c>
      <c r="F16" s="149" t="s">
        <v>74</v>
      </c>
      <c r="G16" s="151">
        <v>15</v>
      </c>
      <c r="H16" s="185">
        <f t="shared" si="9"/>
        <v>590</v>
      </c>
      <c r="I16" s="153">
        <v>8850</v>
      </c>
      <c r="J16" s="155">
        <f t="shared" si="0"/>
        <v>8850</v>
      </c>
      <c r="K16" s="156">
        <v>0</v>
      </c>
      <c r="L16" s="156">
        <f t="shared" si="10"/>
        <v>8850</v>
      </c>
      <c r="M16" s="156">
        <f t="shared" si="1"/>
        <v>7641.91</v>
      </c>
      <c r="N16" s="156">
        <f t="shared" si="17"/>
        <v>1208.0900000000001</v>
      </c>
      <c r="O16" s="157">
        <f t="shared" si="18"/>
        <v>0.21360000000000001</v>
      </c>
      <c r="P16" s="156">
        <f t="shared" si="19"/>
        <v>258.04802400000005</v>
      </c>
      <c r="Q16" s="158">
        <f t="shared" si="3"/>
        <v>809.25</v>
      </c>
      <c r="R16" s="156">
        <f t="shared" si="14"/>
        <v>1067.2980240000002</v>
      </c>
      <c r="S16" s="156">
        <f t="shared" si="15"/>
        <v>0</v>
      </c>
      <c r="T16" s="156">
        <f t="shared" si="16"/>
        <v>1067.3</v>
      </c>
      <c r="U16" s="155">
        <f t="shared" si="5"/>
        <v>0</v>
      </c>
      <c r="V16" s="155">
        <f t="shared" si="6"/>
        <v>1067.3</v>
      </c>
      <c r="W16" s="155">
        <f t="shared" si="7"/>
        <v>1067.3</v>
      </c>
      <c r="X16" s="155">
        <f t="shared" si="8"/>
        <v>7782.7</v>
      </c>
      <c r="Y16" s="33"/>
    </row>
    <row r="17" spans="1:25" ht="93.75" customHeight="1" x14ac:dyDescent="0.35">
      <c r="A17" s="109" t="s">
        <v>90</v>
      </c>
      <c r="B17" s="147" t="s">
        <v>244</v>
      </c>
      <c r="C17" s="148" t="s">
        <v>115</v>
      </c>
      <c r="D17" s="212" t="s">
        <v>231</v>
      </c>
      <c r="E17" s="215">
        <v>44470</v>
      </c>
      <c r="F17" s="149" t="s">
        <v>74</v>
      </c>
      <c r="G17" s="151">
        <v>15</v>
      </c>
      <c r="H17" s="185">
        <f t="shared" si="9"/>
        <v>590</v>
      </c>
      <c r="I17" s="153">
        <v>8850</v>
      </c>
      <c r="J17" s="155">
        <f t="shared" si="0"/>
        <v>8850</v>
      </c>
      <c r="K17" s="156">
        <v>0</v>
      </c>
      <c r="L17" s="156">
        <f t="shared" si="10"/>
        <v>8850</v>
      </c>
      <c r="M17" s="156">
        <f t="shared" si="1"/>
        <v>7641.91</v>
      </c>
      <c r="N17" s="156">
        <f t="shared" si="17"/>
        <v>1208.0900000000001</v>
      </c>
      <c r="O17" s="157">
        <f t="shared" si="18"/>
        <v>0.21360000000000001</v>
      </c>
      <c r="P17" s="156">
        <f t="shared" si="19"/>
        <v>258.04802400000005</v>
      </c>
      <c r="Q17" s="158">
        <f t="shared" si="3"/>
        <v>809.25</v>
      </c>
      <c r="R17" s="156">
        <f t="shared" si="14"/>
        <v>1067.2980240000002</v>
      </c>
      <c r="S17" s="156">
        <f t="shared" si="15"/>
        <v>0</v>
      </c>
      <c r="T17" s="156">
        <f t="shared" si="16"/>
        <v>1067.3</v>
      </c>
      <c r="U17" s="155">
        <f t="shared" si="5"/>
        <v>0</v>
      </c>
      <c r="V17" s="155">
        <f t="shared" si="6"/>
        <v>1067.3</v>
      </c>
      <c r="W17" s="155">
        <f t="shared" si="7"/>
        <v>1067.3</v>
      </c>
      <c r="X17" s="155">
        <f t="shared" si="8"/>
        <v>7782.7</v>
      </c>
      <c r="Y17" s="33"/>
    </row>
    <row r="18" spans="1:25" ht="93.75" customHeight="1" x14ac:dyDescent="0.35">
      <c r="A18" s="109" t="s">
        <v>91</v>
      </c>
      <c r="B18" s="147" t="s">
        <v>245</v>
      </c>
      <c r="C18" s="148" t="s">
        <v>115</v>
      </c>
      <c r="D18" s="212" t="s">
        <v>249</v>
      </c>
      <c r="E18" s="215">
        <v>44470</v>
      </c>
      <c r="F18" s="149" t="s">
        <v>74</v>
      </c>
      <c r="G18" s="151">
        <v>15</v>
      </c>
      <c r="H18" s="185">
        <f t="shared" si="9"/>
        <v>590</v>
      </c>
      <c r="I18" s="153">
        <v>8850</v>
      </c>
      <c r="J18" s="155">
        <f t="shared" si="0"/>
        <v>8850</v>
      </c>
      <c r="K18" s="156">
        <v>0</v>
      </c>
      <c r="L18" s="156">
        <f t="shared" si="10"/>
        <v>8850</v>
      </c>
      <c r="M18" s="156">
        <f t="shared" si="1"/>
        <v>7641.91</v>
      </c>
      <c r="N18" s="156">
        <f t="shared" si="17"/>
        <v>1208.0900000000001</v>
      </c>
      <c r="O18" s="157">
        <f t="shared" si="18"/>
        <v>0.21360000000000001</v>
      </c>
      <c r="P18" s="156">
        <f t="shared" si="19"/>
        <v>258.04802400000005</v>
      </c>
      <c r="Q18" s="158">
        <f t="shared" si="3"/>
        <v>809.25</v>
      </c>
      <c r="R18" s="156">
        <f t="shared" si="14"/>
        <v>1067.2980240000002</v>
      </c>
      <c r="S18" s="156">
        <f t="shared" si="15"/>
        <v>0</v>
      </c>
      <c r="T18" s="156">
        <f t="shared" si="16"/>
        <v>1067.3</v>
      </c>
      <c r="U18" s="155">
        <f t="shared" si="5"/>
        <v>0</v>
      </c>
      <c r="V18" s="155">
        <f t="shared" si="6"/>
        <v>1067.3</v>
      </c>
      <c r="W18" s="155">
        <f t="shared" si="7"/>
        <v>1067.3</v>
      </c>
      <c r="X18" s="155">
        <f t="shared" si="8"/>
        <v>7782.7</v>
      </c>
      <c r="Y18" s="33"/>
    </row>
    <row r="19" spans="1:25" ht="21.75" customHeight="1" x14ac:dyDescent="0.3">
      <c r="A19" s="172"/>
      <c r="B19" s="172"/>
      <c r="C19" s="172"/>
      <c r="D19" s="172"/>
      <c r="E19" s="172"/>
      <c r="F19" s="172"/>
      <c r="G19" s="172"/>
      <c r="H19" s="172"/>
      <c r="I19" s="178"/>
      <c r="J19" s="178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spans="1:25" ht="40.5" customHeight="1" thickBot="1" x14ac:dyDescent="0.35">
      <c r="A20" s="284" t="s">
        <v>44</v>
      </c>
      <c r="B20" s="285"/>
      <c r="C20" s="285"/>
      <c r="D20" s="285"/>
      <c r="E20" s="285"/>
      <c r="F20" s="285"/>
      <c r="G20" s="285"/>
      <c r="H20" s="286"/>
      <c r="I20" s="159">
        <f>SUM(I10:I19)</f>
        <v>79650</v>
      </c>
      <c r="J20" s="159">
        <f>SUM(J10:J19)</f>
        <v>79650</v>
      </c>
      <c r="K20" s="160">
        <f t="shared" ref="K20:T20" si="27">SUM(K10:K19)</f>
        <v>0</v>
      </c>
      <c r="L20" s="160">
        <f t="shared" si="27"/>
        <v>79650</v>
      </c>
      <c r="M20" s="160">
        <f t="shared" si="27"/>
        <v>68777.190000000017</v>
      </c>
      <c r="N20" s="160">
        <f t="shared" si="27"/>
        <v>10872.810000000001</v>
      </c>
      <c r="O20" s="160">
        <f t="shared" si="27"/>
        <v>1.9224000000000001</v>
      </c>
      <c r="P20" s="160">
        <f t="shared" si="27"/>
        <v>2322.4322160000011</v>
      </c>
      <c r="Q20" s="160">
        <f t="shared" si="27"/>
        <v>7283.25</v>
      </c>
      <c r="R20" s="160">
        <f t="shared" si="27"/>
        <v>9605.6822159999992</v>
      </c>
      <c r="S20" s="160">
        <f t="shared" si="27"/>
        <v>0</v>
      </c>
      <c r="T20" s="160">
        <f t="shared" si="27"/>
        <v>9605.6999999999989</v>
      </c>
      <c r="U20" s="159">
        <f>SUM(U10:U19)</f>
        <v>0</v>
      </c>
      <c r="V20" s="159">
        <f>SUM(V10:V19)</f>
        <v>9605.6999999999989</v>
      </c>
      <c r="W20" s="159">
        <f>SUM(W10:W19)</f>
        <v>9605.6999999999989</v>
      </c>
      <c r="X20" s="159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1" workbookViewId="0">
      <selection activeCell="A23" sqref="A23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7" t="s">
        <v>77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</row>
    <row r="2" spans="1:26" ht="17.399999999999999" x14ac:dyDescent="0.3">
      <c r="A2" s="297" t="s">
        <v>63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</row>
    <row r="3" spans="1:26" ht="19.8" x14ac:dyDescent="0.3">
      <c r="A3" s="288" t="s">
        <v>359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8" t="s">
        <v>1</v>
      </c>
      <c r="I7" s="299"/>
      <c r="J7" s="300"/>
      <c r="K7" s="24" t="s">
        <v>25</v>
      </c>
      <c r="L7" s="25"/>
      <c r="M7" s="301" t="s">
        <v>8</v>
      </c>
      <c r="N7" s="302"/>
      <c r="O7" s="302"/>
      <c r="P7" s="302"/>
      <c r="Q7" s="302"/>
      <c r="R7" s="303"/>
      <c r="S7" s="24" t="s">
        <v>29</v>
      </c>
      <c r="T7" s="24" t="s">
        <v>9</v>
      </c>
      <c r="U7" s="23" t="s">
        <v>52</v>
      </c>
      <c r="V7" s="304" t="s">
        <v>2</v>
      </c>
      <c r="W7" s="305"/>
      <c r="X7" s="23" t="s">
        <v>0</v>
      </c>
      <c r="Y7" s="34"/>
    </row>
    <row r="8" spans="1:26" ht="21" x14ac:dyDescent="0.25">
      <c r="A8" s="44" t="s">
        <v>101</v>
      </c>
      <c r="B8" s="44" t="s">
        <v>116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290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73" t="s">
        <v>310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7" t="s">
        <v>210</v>
      </c>
      <c r="B11" s="148" t="s">
        <v>115</v>
      </c>
      <c r="C11" s="212" t="s">
        <v>211</v>
      </c>
      <c r="D11" s="215">
        <v>43374</v>
      </c>
      <c r="E11" s="150" t="s">
        <v>257</v>
      </c>
      <c r="F11" s="151">
        <v>15</v>
      </c>
      <c r="G11" s="152">
        <f>H11/F11</f>
        <v>990.6</v>
      </c>
      <c r="H11" s="153">
        <v>14859</v>
      </c>
      <c r="I11" s="154">
        <v>0</v>
      </c>
      <c r="J11" s="155">
        <f>SUM(H11:I11)</f>
        <v>14859</v>
      </c>
      <c r="K11" s="156">
        <f>I11/2</f>
        <v>0</v>
      </c>
      <c r="L11" s="156">
        <f>H11+K11</f>
        <v>14859</v>
      </c>
      <c r="M11" s="156">
        <f>VLOOKUP(L11,Tarifa1,1)</f>
        <v>7641.91</v>
      </c>
      <c r="N11" s="156">
        <f>L11-M11</f>
        <v>7217.09</v>
      </c>
      <c r="O11" s="157">
        <f t="shared" ref="O11" si="0">VLOOKUP(L11,Tarifa1,3)</f>
        <v>0.21360000000000001</v>
      </c>
      <c r="P11" s="156">
        <f>N11*O11</f>
        <v>1541.5704240000002</v>
      </c>
      <c r="Q11" s="158">
        <f>VLOOKUP(L11,Tarifa1,2)</f>
        <v>809.25</v>
      </c>
      <c r="R11" s="156">
        <f>P11+Q11</f>
        <v>2350.8204240000005</v>
      </c>
      <c r="S11" s="156">
        <f t="shared" ref="S11" si="1">VLOOKUP(L11,Credito1,2)</f>
        <v>0</v>
      </c>
      <c r="T11" s="156">
        <f>ROUND(R11-S11,2)</f>
        <v>2350.8200000000002</v>
      </c>
      <c r="U11" s="155">
        <f t="shared" ref="U11" si="2">-IF(T11&gt;0,0,T11)</f>
        <v>0</v>
      </c>
      <c r="V11" s="155">
        <f>IF(H11/15&lt;=SMG,0,IF(T11&lt;0,0,T11))</f>
        <v>2350.8200000000002</v>
      </c>
      <c r="W11" s="155">
        <f>SUM(V11:V11)</f>
        <v>2350.8200000000002</v>
      </c>
      <c r="X11" s="155">
        <f>J11+U11-W11</f>
        <v>12508.18</v>
      </c>
      <c r="Y11" s="92"/>
    </row>
    <row r="12" spans="1:26" ht="17.399999999999999" x14ac:dyDescent="0.3">
      <c r="A12" s="172"/>
      <c r="B12" s="172"/>
      <c r="C12" s="172"/>
      <c r="D12" s="172"/>
      <c r="E12" s="172"/>
      <c r="F12" s="173"/>
      <c r="G12" s="172"/>
      <c r="H12" s="174"/>
      <c r="I12" s="174"/>
      <c r="J12" s="174"/>
      <c r="K12" s="175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spans="1:26" ht="41.25" customHeight="1" thickBot="1" x14ac:dyDescent="0.35">
      <c r="A13" s="285"/>
      <c r="B13" s="285"/>
      <c r="C13" s="285"/>
      <c r="D13" s="285"/>
      <c r="E13" s="285"/>
      <c r="F13" s="285"/>
      <c r="G13" s="286"/>
      <c r="H13" s="159">
        <f t="shared" ref="H13:X13" si="3">SUM(H11:H12)</f>
        <v>14859</v>
      </c>
      <c r="I13" s="159">
        <f t="shared" si="3"/>
        <v>0</v>
      </c>
      <c r="J13" s="159">
        <f t="shared" si="3"/>
        <v>14859</v>
      </c>
      <c r="K13" s="160">
        <f t="shared" si="3"/>
        <v>0</v>
      </c>
      <c r="L13" s="160">
        <f t="shared" si="3"/>
        <v>14859</v>
      </c>
      <c r="M13" s="160">
        <f t="shared" si="3"/>
        <v>7641.91</v>
      </c>
      <c r="N13" s="160">
        <f t="shared" si="3"/>
        <v>7217.09</v>
      </c>
      <c r="O13" s="160">
        <f t="shared" si="3"/>
        <v>0.21360000000000001</v>
      </c>
      <c r="P13" s="160">
        <f t="shared" si="3"/>
        <v>1541.5704240000002</v>
      </c>
      <c r="Q13" s="160">
        <f t="shared" si="3"/>
        <v>809.25</v>
      </c>
      <c r="R13" s="160">
        <f t="shared" si="3"/>
        <v>2350.8204240000005</v>
      </c>
      <c r="S13" s="160">
        <f t="shared" si="3"/>
        <v>0</v>
      </c>
      <c r="T13" s="160">
        <f t="shared" si="3"/>
        <v>2350.8200000000002</v>
      </c>
      <c r="U13" s="159">
        <f t="shared" si="3"/>
        <v>0</v>
      </c>
      <c r="V13" s="159">
        <f t="shared" si="3"/>
        <v>2350.8200000000002</v>
      </c>
      <c r="W13" s="159">
        <f t="shared" si="3"/>
        <v>2350.8200000000002</v>
      </c>
      <c r="X13" s="159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2023-08-15T15:18:15Z</cp:lastPrinted>
  <dcterms:created xsi:type="dcterms:W3CDTF">2000-05-05T04:08:27Z</dcterms:created>
  <dcterms:modified xsi:type="dcterms:W3CDTF">2024-11-15T17:39:01Z</dcterms:modified>
</cp:coreProperties>
</file>