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SINDICO!$1:$25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20" l="1"/>
  <c r="M23" i="120" s="1"/>
  <c r="K23" i="120"/>
  <c r="L12" i="121"/>
  <c r="M12" i="121" s="1"/>
  <c r="K12" i="121"/>
  <c r="L28" i="120"/>
  <c r="M28" i="120" s="1"/>
  <c r="K28" i="120"/>
  <c r="R23" i="120" l="1"/>
  <c r="N23" i="120"/>
  <c r="O23" i="120" s="1"/>
  <c r="T23" i="120"/>
  <c r="P23" i="120"/>
  <c r="T12" i="121"/>
  <c r="P12" i="121"/>
  <c r="R12" i="121"/>
  <c r="N12" i="121"/>
  <c r="O12" i="121" s="1"/>
  <c r="Q12" i="121" s="1"/>
  <c r="S12" i="121" s="1"/>
  <c r="U12" i="121" s="1"/>
  <c r="T28" i="120"/>
  <c r="P28" i="120"/>
  <c r="R28" i="120"/>
  <c r="N28" i="120"/>
  <c r="O28" i="120" s="1"/>
  <c r="Q28" i="120" l="1"/>
  <c r="S28" i="120" s="1"/>
  <c r="U28" i="120" s="1"/>
  <c r="W28" i="120" s="1"/>
  <c r="X28" i="120" s="1"/>
  <c r="Q23" i="120"/>
  <c r="S23" i="120" s="1"/>
  <c r="U23" i="120" s="1"/>
  <c r="V23" i="120" s="1"/>
  <c r="W12" i="121"/>
  <c r="X12" i="121" s="1"/>
  <c r="V12" i="121"/>
  <c r="V28" i="120" l="1"/>
  <c r="Y28" i="120" s="1"/>
  <c r="W23" i="120"/>
  <c r="X23" i="120" s="1"/>
  <c r="Y23" i="120" s="1"/>
  <c r="Y12" i="121"/>
  <c r="L27" i="120"/>
  <c r="M27" i="120" s="1"/>
  <c r="T27" i="120" s="1"/>
  <c r="K27" i="120"/>
  <c r="H27" i="120"/>
  <c r="J13" i="135"/>
  <c r="K13" i="135" s="1"/>
  <c r="I13" i="135"/>
  <c r="J24" i="135"/>
  <c r="K24" i="135" s="1"/>
  <c r="I24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N27" i="120" l="1"/>
  <c r="O27" i="120" s="1"/>
  <c r="R27" i="120"/>
  <c r="P27" i="120"/>
  <c r="R13" i="135"/>
  <c r="N13" i="135"/>
  <c r="P13" i="135"/>
  <c r="L13" i="135"/>
  <c r="M13" i="135" s="1"/>
  <c r="O13" i="135" s="1"/>
  <c r="R24" i="135"/>
  <c r="N24" i="135"/>
  <c r="P24" i="135"/>
  <c r="L24" i="135"/>
  <c r="M24" i="135" s="1"/>
  <c r="O24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Q19" i="121" s="1"/>
  <c r="S19" i="121" s="1"/>
  <c r="U19" i="121" s="1"/>
  <c r="T19" i="121"/>
  <c r="Q13" i="135" l="1"/>
  <c r="S13" i="135" s="1"/>
  <c r="U13" i="135" s="1"/>
  <c r="V13" i="135" s="1"/>
  <c r="Q27" i="120"/>
  <c r="S27" i="120" s="1"/>
  <c r="U27" i="120" s="1"/>
  <c r="Q24" i="135"/>
  <c r="S24" i="135" s="1"/>
  <c r="T24" i="135" s="1"/>
  <c r="U24" i="135"/>
  <c r="V24" i="135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W19" i="121"/>
  <c r="X19" i="121" s="1"/>
  <c r="V19" i="121"/>
  <c r="V15" i="133" l="1"/>
  <c r="T13" i="135"/>
  <c r="V16" i="133"/>
  <c r="W27" i="120"/>
  <c r="X27" i="120" s="1"/>
  <c r="V27" i="120"/>
  <c r="W13" i="135"/>
  <c r="W24" i="135"/>
  <c r="Y16" i="133"/>
  <c r="Y15" i="133"/>
  <c r="Y19" i="121"/>
  <c r="Y27" i="120" l="1"/>
  <c r="L33" i="123"/>
  <c r="M33" i="123" s="1"/>
  <c r="K33" i="123"/>
  <c r="T33" i="123" l="1"/>
  <c r="P33" i="123"/>
  <c r="R33" i="123"/>
  <c r="N33" i="123"/>
  <c r="O33" i="123" s="1"/>
  <c r="Q33" i="123" l="1"/>
  <c r="S33" i="123" s="1"/>
  <c r="U33" i="123" s="1"/>
  <c r="W33" i="123" s="1"/>
  <c r="X33" i="123" s="1"/>
  <c r="V33" i="123" l="1"/>
  <c r="Y33" i="123" s="1"/>
  <c r="K24" i="120"/>
  <c r="L24" i="120"/>
  <c r="M24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3" i="135"/>
  <c r="K23" i="135" s="1"/>
  <c r="I23" i="135"/>
  <c r="J22" i="135"/>
  <c r="K22" i="135" s="1"/>
  <c r="I22" i="135"/>
  <c r="L15" i="132"/>
  <c r="M15" i="132" s="1"/>
  <c r="K15" i="132"/>
  <c r="L14" i="133"/>
  <c r="M14" i="133" s="1"/>
  <c r="K14" i="133"/>
  <c r="J25" i="135"/>
  <c r="K25" i="135" s="1"/>
  <c r="I25" i="135"/>
  <c r="J21" i="135"/>
  <c r="K21" i="135" s="1"/>
  <c r="I21" i="135"/>
  <c r="J20" i="135"/>
  <c r="K20" i="135" s="1"/>
  <c r="I20" i="135"/>
  <c r="J19" i="135"/>
  <c r="K19" i="135" s="1"/>
  <c r="I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4" i="120" l="1"/>
  <c r="T24" i="120"/>
  <c r="N24" i="120"/>
  <c r="O24" i="120" s="1"/>
  <c r="R24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P23" i="135"/>
  <c r="L23" i="135"/>
  <c r="M23" i="135" s="1"/>
  <c r="R23" i="135"/>
  <c r="N23" i="135"/>
  <c r="R22" i="135"/>
  <c r="N22" i="135"/>
  <c r="P22" i="135"/>
  <c r="L22" i="135"/>
  <c r="M22" i="135" s="1"/>
  <c r="R15" i="132"/>
  <c r="N15" i="132"/>
  <c r="O15" i="132" s="1"/>
  <c r="T15" i="132"/>
  <c r="P15" i="132"/>
  <c r="T10" i="120"/>
  <c r="N10" i="120"/>
  <c r="O10" i="120" s="1"/>
  <c r="R10" i="120"/>
  <c r="N14" i="133"/>
  <c r="O14" i="133" s="1"/>
  <c r="T14" i="133"/>
  <c r="P14" i="133"/>
  <c r="R14" i="133"/>
  <c r="R25" i="135"/>
  <c r="N25" i="135"/>
  <c r="P25" i="135"/>
  <c r="L25" i="135"/>
  <c r="M25" i="135" s="1"/>
  <c r="R21" i="135"/>
  <c r="N21" i="135"/>
  <c r="P21" i="135"/>
  <c r="L21" i="135"/>
  <c r="M21" i="135" s="1"/>
  <c r="P19" i="135"/>
  <c r="L19" i="135"/>
  <c r="M19" i="135" s="1"/>
  <c r="R19" i="135"/>
  <c r="N19" i="135"/>
  <c r="R20" i="135"/>
  <c r="P20" i="135"/>
  <c r="L20" i="135"/>
  <c r="M20" i="135" s="1"/>
  <c r="N20" i="135"/>
  <c r="P10" i="120"/>
  <c r="T32" i="121"/>
  <c r="P32" i="121"/>
  <c r="R32" i="121"/>
  <c r="N32" i="121"/>
  <c r="O32" i="121" s="1"/>
  <c r="T15" i="121"/>
  <c r="P15" i="121"/>
  <c r="R15" i="121"/>
  <c r="N15" i="121"/>
  <c r="O15" i="121" s="1"/>
  <c r="T34" i="123"/>
  <c r="P34" i="123"/>
  <c r="R34" i="123"/>
  <c r="N34" i="123"/>
  <c r="O34" i="123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Q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O22" i="135" l="1"/>
  <c r="Q22" i="135" s="1"/>
  <c r="S22" i="135" s="1"/>
  <c r="Q15" i="132"/>
  <c r="S15" i="132"/>
  <c r="U15" i="132" s="1"/>
  <c r="V15" i="132" s="1"/>
  <c r="Q9" i="121"/>
  <c r="Q15" i="121"/>
  <c r="Q30" i="121"/>
  <c r="S30" i="121" s="1"/>
  <c r="U30" i="121"/>
  <c r="V30" i="121" s="1"/>
  <c r="Q10" i="121"/>
  <c r="S10" i="121" s="1"/>
  <c r="U10" i="121" s="1"/>
  <c r="Q24" i="120"/>
  <c r="O23" i="135"/>
  <c r="Q23" i="135" s="1"/>
  <c r="S23" i="135" s="1"/>
  <c r="T23" i="135" s="1"/>
  <c r="S24" i="120"/>
  <c r="U24" i="120" s="1"/>
  <c r="W24" i="120" s="1"/>
  <c r="X24" i="120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W30" i="121"/>
  <c r="X30" i="121" s="1"/>
  <c r="O10" i="135"/>
  <c r="Q10" i="135" s="1"/>
  <c r="S10" i="135" s="1"/>
  <c r="T10" i="135" s="1"/>
  <c r="O21" i="135"/>
  <c r="Q21" i="135" s="1"/>
  <c r="S21" i="135" s="1"/>
  <c r="U21" i="135" s="1"/>
  <c r="V21" i="135" s="1"/>
  <c r="O25" i="135"/>
  <c r="Q25" i="135" s="1"/>
  <c r="S25" i="135" s="1"/>
  <c r="U25" i="135" s="1"/>
  <c r="V25" i="135" s="1"/>
  <c r="O19" i="135"/>
  <c r="Q19" i="135" s="1"/>
  <c r="S19" i="135" s="1"/>
  <c r="S9" i="121"/>
  <c r="U9" i="121" s="1"/>
  <c r="W9" i="121" s="1"/>
  <c r="X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Q14" i="133"/>
  <c r="S14" i="133" s="1"/>
  <c r="U14" i="133" s="1"/>
  <c r="V14" i="133" s="1"/>
  <c r="O20" i="135"/>
  <c r="Q20" i="135" s="1"/>
  <c r="S20" i="135" s="1"/>
  <c r="O18" i="135"/>
  <c r="Q18" i="135" s="1"/>
  <c r="S18" i="135" s="1"/>
  <c r="O9" i="135"/>
  <c r="Q9" i="135" s="1"/>
  <c r="S9" i="135" s="1"/>
  <c r="T9" i="135" s="1"/>
  <c r="Q34" i="123"/>
  <c r="S34" i="123" s="1"/>
  <c r="U34" i="123" s="1"/>
  <c r="S14" i="132"/>
  <c r="U14" i="132" s="1"/>
  <c r="Q12" i="132"/>
  <c r="S12" i="132" s="1"/>
  <c r="U12" i="132" s="1"/>
  <c r="V12" i="132" s="1"/>
  <c r="Q10" i="132"/>
  <c r="S10" i="132" s="1"/>
  <c r="U10" i="132" s="1"/>
  <c r="W10" i="132" s="1"/>
  <c r="X10" i="132" s="1"/>
  <c r="V10" i="121"/>
  <c r="W10" i="121"/>
  <c r="X10" i="121" s="1"/>
  <c r="V9" i="121"/>
  <c r="Q16" i="123"/>
  <c r="S16" i="123" s="1"/>
  <c r="U16" i="123" s="1"/>
  <c r="V16" i="123" s="1"/>
  <c r="U22" i="135" l="1"/>
  <c r="V22" i="135" s="1"/>
  <c r="T22" i="135"/>
  <c r="U23" i="135"/>
  <c r="V23" i="135" s="1"/>
  <c r="W23" i="135" s="1"/>
  <c r="W15" i="132"/>
  <c r="X15" i="132" s="1"/>
  <c r="W11" i="121"/>
  <c r="X11" i="121" s="1"/>
  <c r="Y9" i="121"/>
  <c r="V24" i="120"/>
  <c r="T21" i="135"/>
  <c r="W21" i="135" s="1"/>
  <c r="U9" i="135"/>
  <c r="V9" i="135" s="1"/>
  <c r="T25" i="135"/>
  <c r="W25" i="135" s="1"/>
  <c r="Y24" i="120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W22" i="135"/>
  <c r="T19" i="135"/>
  <c r="U19" i="135"/>
  <c r="V19" i="135" s="1"/>
  <c r="Y15" i="132"/>
  <c r="W10" i="120"/>
  <c r="X10" i="120" s="1"/>
  <c r="Y10" i="120" s="1"/>
  <c r="V15" i="121"/>
  <c r="Y15" i="121" s="1"/>
  <c r="W14" i="133"/>
  <c r="X14" i="133" s="1"/>
  <c r="Y14" i="133" s="1"/>
  <c r="U20" i="135"/>
  <c r="V20" i="135" s="1"/>
  <c r="T20" i="135"/>
  <c r="U10" i="135"/>
  <c r="V10" i="135" s="1"/>
  <c r="W10" i="135" s="1"/>
  <c r="W34" i="123"/>
  <c r="V34" i="123"/>
  <c r="V32" i="123" s="1"/>
  <c r="T18" i="135"/>
  <c r="U18" i="135"/>
  <c r="V18" i="135" s="1"/>
  <c r="W9" i="135"/>
  <c r="V14" i="132"/>
  <c r="W14" i="132"/>
  <c r="X14" i="132" s="1"/>
  <c r="V10" i="132"/>
  <c r="W12" i="132"/>
  <c r="X12" i="132" s="1"/>
  <c r="Y12" i="132" s="1"/>
  <c r="Y10" i="121"/>
  <c r="Y11" i="121"/>
  <c r="W16" i="123"/>
  <c r="X16" i="123" s="1"/>
  <c r="Y16" i="123" s="1"/>
  <c r="Y10" i="132"/>
  <c r="W19" i="135" l="1"/>
  <c r="W20" i="135"/>
  <c r="Y16" i="120"/>
  <c r="X34" i="123"/>
  <c r="X32" i="123" s="1"/>
  <c r="W32" i="123"/>
  <c r="W18" i="135"/>
  <c r="Y14" i="132"/>
  <c r="Y34" i="123" l="1"/>
  <c r="Y32" i="123" s="1"/>
  <c r="J17" i="135"/>
  <c r="K17" i="135" s="1"/>
  <c r="I17" i="135"/>
  <c r="L29" i="121"/>
  <c r="M29" i="121" s="1"/>
  <c r="K29" i="121"/>
  <c r="L28" i="121"/>
  <c r="M28" i="121" s="1"/>
  <c r="T28" i="121" s="1"/>
  <c r="K28" i="121"/>
  <c r="K27" i="121" s="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5" i="120"/>
  <c r="M25" i="120" s="1"/>
  <c r="K25" i="120"/>
  <c r="L18" i="119"/>
  <c r="M18" i="119" s="1"/>
  <c r="K18" i="119"/>
  <c r="J12" i="135"/>
  <c r="K12" i="135" s="1"/>
  <c r="I12" i="135"/>
  <c r="R17" i="135" l="1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5" i="120"/>
  <c r="P25" i="120"/>
  <c r="R25" i="120"/>
  <c r="N25" i="120"/>
  <c r="O2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5" i="120" l="1"/>
  <c r="S25" i="120" s="1"/>
  <c r="U25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Y29" i="121" s="1"/>
  <c r="W27" i="121"/>
  <c r="V25" i="120"/>
  <c r="W25" i="120"/>
  <c r="X25" i="120" s="1"/>
  <c r="Y25" i="120" s="1"/>
  <c r="V16" i="121"/>
  <c r="Y16" i="121" s="1"/>
  <c r="W13" i="120"/>
  <c r="X13" i="120" s="1"/>
  <c r="Y13" i="120" s="1"/>
  <c r="T17" i="135"/>
  <c r="U17" i="135"/>
  <c r="V17" i="135" s="1"/>
  <c r="V33" i="121"/>
  <c r="Y33" i="121" s="1"/>
  <c r="X28" i="121"/>
  <c r="X27" i="121" s="1"/>
  <c r="V28" i="12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W18" i="119"/>
  <c r="X18" i="119" s="1"/>
  <c r="T12" i="135"/>
  <c r="U12" i="135"/>
  <c r="V12" i="135" s="1"/>
  <c r="V27" i="121" l="1"/>
  <c r="Y13" i="132"/>
  <c r="W17" i="135"/>
  <c r="Y28" i="121"/>
  <c r="Y27" i="121" s="1"/>
  <c r="Y17" i="121"/>
  <c r="Y34" i="121"/>
  <c r="Y18" i="119"/>
  <c r="W12" i="135"/>
  <c r="L31" i="123" l="1"/>
  <c r="M31" i="123" s="1"/>
  <c r="K31" i="123"/>
  <c r="L13" i="133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1" i="123" l="1"/>
  <c r="O31" i="123" s="1"/>
  <c r="T31" i="123"/>
  <c r="P31" i="123"/>
  <c r="R31" i="123"/>
  <c r="T13" i="133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1" i="136" s="1"/>
  <c r="T14" i="123"/>
  <c r="P14" i="123"/>
  <c r="R14" i="123"/>
  <c r="N14" i="123"/>
  <c r="O14" i="123" s="1"/>
  <c r="Q10" i="119" l="1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31" i="123"/>
  <c r="S31" i="123" s="1"/>
  <c r="U31" i="123" s="1"/>
  <c r="W31" i="123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U11" i="136"/>
  <c r="V13" i="133" l="1"/>
  <c r="Y13" i="133" s="1"/>
  <c r="V31" i="123"/>
  <c r="X31" i="123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31" i="123" l="1"/>
  <c r="Y12" i="133"/>
  <c r="Y10" i="118"/>
  <c r="Y14" i="123"/>
  <c r="L12" i="123"/>
  <c r="M12" i="123" s="1"/>
  <c r="K12" i="123"/>
  <c r="L36" i="123"/>
  <c r="M36" i="123" s="1"/>
  <c r="K36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6" i="123"/>
  <c r="N36" i="123"/>
  <c r="O36" i="123" s="1"/>
  <c r="T36" i="123"/>
  <c r="P36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X12" i="123" s="1"/>
  <c r="Q36" i="123"/>
  <c r="S36" i="123" s="1"/>
  <c r="U36" i="123" s="1"/>
  <c r="W36" i="123" s="1"/>
  <c r="X36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R14" i="134"/>
  <c r="N14" i="134"/>
  <c r="O14" i="134" s="1"/>
  <c r="Q14" i="134" s="1"/>
  <c r="S14" i="134" s="1"/>
  <c r="P14" i="134"/>
  <c r="T14" i="134"/>
  <c r="L12" i="120"/>
  <c r="M12" i="120" s="1"/>
  <c r="K12" i="120"/>
  <c r="V15" i="119" l="1"/>
  <c r="X17" i="119"/>
  <c r="X16" i="119" s="1"/>
  <c r="W16" i="119"/>
  <c r="V36" i="123"/>
  <c r="Y36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W14" i="134"/>
  <c r="V13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40" i="123"/>
  <c r="M40" i="123" s="1"/>
  <c r="K40" i="123"/>
  <c r="L18" i="121"/>
  <c r="M18" i="121" s="1"/>
  <c r="K18" i="121"/>
  <c r="R40" i="123" l="1"/>
  <c r="P40" i="123"/>
  <c r="T40" i="123"/>
  <c r="N40" i="123"/>
  <c r="O40" i="123" s="1"/>
  <c r="N18" i="121"/>
  <c r="O18" i="121" s="1"/>
  <c r="T18" i="121"/>
  <c r="P18" i="121"/>
  <c r="R18" i="121"/>
  <c r="Q40" i="123" l="1"/>
  <c r="S40" i="123" s="1"/>
  <c r="U40" i="123" s="1"/>
  <c r="W40" i="123" s="1"/>
  <c r="X40" i="123" s="1"/>
  <c r="Q18" i="121"/>
  <c r="S18" i="121" s="1"/>
  <c r="U18" i="121" s="1"/>
  <c r="V40" i="123" l="1"/>
  <c r="Y40" i="123" s="1"/>
  <c r="W18" i="121"/>
  <c r="X18" i="121" s="1"/>
  <c r="V18" i="121"/>
  <c r="L10" i="123"/>
  <c r="M10" i="123" s="1"/>
  <c r="K10" i="123"/>
  <c r="L38" i="123"/>
  <c r="M38" i="123" s="1"/>
  <c r="K38" i="123"/>
  <c r="I37" i="123"/>
  <c r="T10" i="123" l="1"/>
  <c r="P10" i="123"/>
  <c r="R10" i="123"/>
  <c r="N10" i="123"/>
  <c r="O10" i="123" s="1"/>
  <c r="Y18" i="121"/>
  <c r="T38" i="123"/>
  <c r="R38" i="123"/>
  <c r="N38" i="123"/>
  <c r="O38" i="123" s="1"/>
  <c r="P38" i="123"/>
  <c r="J37" i="123"/>
  <c r="K37" i="123"/>
  <c r="Q38" i="123" l="1"/>
  <c r="S38" i="123" s="1"/>
  <c r="U38" i="123" s="1"/>
  <c r="Q10" i="123"/>
  <c r="S10" i="123" s="1"/>
  <c r="U10" i="123" s="1"/>
  <c r="V10" i="123" s="1"/>
  <c r="W38" i="123" l="1"/>
  <c r="W37" i="123" s="1"/>
  <c r="W10" i="123"/>
  <c r="X10" i="123" s="1"/>
  <c r="Y10" i="123" s="1"/>
  <c r="V37" i="123"/>
  <c r="X38" i="123" l="1"/>
  <c r="Y38" i="123" s="1"/>
  <c r="Y37" i="123" s="1"/>
  <c r="X37" i="123" l="1"/>
  <c r="J11" i="135"/>
  <c r="K11" i="135" s="1"/>
  <c r="I11" i="135"/>
  <c r="L26" i="120"/>
  <c r="M26" i="120" s="1"/>
  <c r="K26" i="120"/>
  <c r="T26" i="120" l="1"/>
  <c r="R26" i="120"/>
  <c r="N26" i="120"/>
  <c r="O26" i="120" s="1"/>
  <c r="P26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26" i="120" l="1"/>
  <c r="S26" i="120" s="1"/>
  <c r="U26" i="120" s="1"/>
  <c r="V26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/>
  <c r="U20" i="119" s="1"/>
  <c r="W26" i="120"/>
  <c r="X26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6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4" i="135"/>
  <c r="R14" i="135"/>
  <c r="L14" i="135"/>
  <c r="M14" i="135" s="1"/>
  <c r="N14" i="135"/>
  <c r="S11" i="118" l="1"/>
  <c r="U11" i="118"/>
  <c r="V11" i="118" s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W11" i="118"/>
  <c r="O15" i="135"/>
  <c r="Q15" i="135" s="1"/>
  <c r="S15" i="135" s="1"/>
  <c r="O14" i="135"/>
  <c r="Q14" i="135" s="1"/>
  <c r="S14" i="135" s="1"/>
  <c r="Q15" i="123"/>
  <c r="S15" i="123" s="1"/>
  <c r="U15" i="123" s="1"/>
  <c r="J14" i="131"/>
  <c r="L14" i="131" s="1"/>
  <c r="W20" i="121" l="1"/>
  <c r="V15" i="123"/>
  <c r="W15" i="123"/>
  <c r="T14" i="135"/>
  <c r="U14" i="135"/>
  <c r="V14" i="121"/>
  <c r="W14" i="121"/>
  <c r="V12" i="118"/>
  <c r="W12" i="118"/>
  <c r="T15" i="135"/>
  <c r="U15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K14" i="121" l="1"/>
  <c r="X14" i="121" l="1"/>
  <c r="Y14" i="121" l="1"/>
  <c r="I15" i="135" l="1"/>
  <c r="J11" i="123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P10" i="131" s="1"/>
  <c r="R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29" i="120"/>
  <c r="P11" i="131" l="1"/>
  <c r="P16" i="13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40" i="123" l="1"/>
  <c r="J39" i="123"/>
  <c r="I39" i="123"/>
  <c r="R17" i="133" l="1"/>
  <c r="N17" i="133"/>
  <c r="L17" i="133"/>
  <c r="V39" i="123" l="1"/>
  <c r="K39" i="123"/>
  <c r="O17" i="133" l="1"/>
  <c r="W39" i="123"/>
  <c r="K17" i="133"/>
  <c r="M17" i="133" l="1"/>
  <c r="X39" i="123"/>
  <c r="Y39" i="123"/>
  <c r="K11" i="118" l="1"/>
  <c r="J14" i="118" l="1"/>
  <c r="J8" i="119" l="1"/>
  <c r="I8" i="119"/>
  <c r="K35" i="123" l="1"/>
  <c r="J35" i="123"/>
  <c r="I35" i="123"/>
  <c r="H15" i="123"/>
  <c r="I30" i="123" l="1"/>
  <c r="I42" i="123" s="1"/>
  <c r="K30" i="123"/>
  <c r="K42" i="123" s="1"/>
  <c r="J30" i="123"/>
  <c r="J42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7" i="132"/>
  <c r="N17" i="132"/>
  <c r="L17" i="132"/>
  <c r="J17" i="132"/>
  <c r="I17" i="132" l="1"/>
  <c r="K17" i="132" l="1"/>
  <c r="T17" i="132"/>
  <c r="O17" i="132"/>
  <c r="M17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6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2" i="123"/>
  <c r="L36" i="121"/>
  <c r="L29" i="120"/>
  <c r="I14" i="118" l="1"/>
  <c r="M42" i="123"/>
  <c r="M36" i="121"/>
  <c r="M14" i="118" l="1"/>
  <c r="L22" i="119" l="1"/>
  <c r="K19" i="119"/>
  <c r="K14" i="119" l="1"/>
  <c r="K8" i="119"/>
  <c r="K22" i="119" l="1"/>
  <c r="M22" i="119"/>
  <c r="W18" i="131" l="1"/>
  <c r="R26" i="135"/>
  <c r="X15" i="123"/>
  <c r="T15" i="134"/>
  <c r="W12" i="131"/>
  <c r="X13" i="119"/>
  <c r="V13" i="119"/>
  <c r="U15" i="131"/>
  <c r="V15" i="135"/>
  <c r="W11" i="131"/>
  <c r="U11" i="131"/>
  <c r="N26" i="135"/>
  <c r="W10" i="131"/>
  <c r="W16" i="131"/>
  <c r="U16" i="131"/>
  <c r="U17" i="131"/>
  <c r="W17" i="131"/>
  <c r="P36" i="121"/>
  <c r="X20" i="121"/>
  <c r="T17" i="133"/>
  <c r="P17" i="133"/>
  <c r="P17" i="132"/>
  <c r="S20" i="131"/>
  <c r="O20" i="131"/>
  <c r="R29" i="120"/>
  <c r="P42" i="123"/>
  <c r="T22" i="119"/>
  <c r="T42" i="123"/>
  <c r="R36" i="121"/>
  <c r="N29" i="120"/>
  <c r="N42" i="123"/>
  <c r="T14" i="118"/>
  <c r="P22" i="119"/>
  <c r="R14" i="118"/>
  <c r="R42" i="123"/>
  <c r="T36" i="121"/>
  <c r="N22" i="119"/>
  <c r="R22" i="119"/>
  <c r="P14" i="118"/>
  <c r="N14" i="118"/>
  <c r="N36" i="121"/>
  <c r="X17" i="133" l="1"/>
  <c r="W17" i="133"/>
  <c r="X13" i="123"/>
  <c r="W15" i="131"/>
  <c r="X15" i="131" s="1"/>
  <c r="U18" i="131"/>
  <c r="X18" i="131" s="1"/>
  <c r="V14" i="135"/>
  <c r="W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5" i="135"/>
  <c r="O26" i="135"/>
  <c r="V11" i="123"/>
  <c r="X11" i="123"/>
  <c r="W11" i="123"/>
  <c r="W8" i="121"/>
  <c r="V8" i="121"/>
  <c r="X11" i="118"/>
  <c r="Y11" i="118" s="1"/>
  <c r="Q17" i="133"/>
  <c r="X35" i="123"/>
  <c r="X30" i="123" s="1"/>
  <c r="W35" i="123"/>
  <c r="W30" i="123" s="1"/>
  <c r="P20" i="131"/>
  <c r="S17" i="132"/>
  <c r="Q17" i="132"/>
  <c r="V35" i="123"/>
  <c r="V30" i="123" s="1"/>
  <c r="X12" i="118"/>
  <c r="Y12" i="118" s="1"/>
  <c r="O42" i="123"/>
  <c r="O22" i="119"/>
  <c r="V14" i="119"/>
  <c r="O36" i="121"/>
  <c r="V19" i="119"/>
  <c r="W19" i="119"/>
  <c r="O14" i="118"/>
  <c r="X42" i="123" l="1"/>
  <c r="V42" i="123"/>
  <c r="W36" i="121"/>
  <c r="V36" i="121"/>
  <c r="Y17" i="133"/>
  <c r="W13" i="123"/>
  <c r="W42" i="123" s="1"/>
  <c r="Y31" i="121"/>
  <c r="Y13" i="123"/>
  <c r="Q26" i="135"/>
  <c r="Y11" i="123"/>
  <c r="X8" i="121"/>
  <c r="X36" i="121" s="1"/>
  <c r="Y8" i="121"/>
  <c r="S17" i="133"/>
  <c r="Y35" i="123"/>
  <c r="Y30" i="123" s="1"/>
  <c r="V12" i="119"/>
  <c r="U17" i="132"/>
  <c r="R20" i="131"/>
  <c r="X12" i="119"/>
  <c r="W12" i="119"/>
  <c r="X14" i="119"/>
  <c r="W14" i="119"/>
  <c r="X19" i="119"/>
  <c r="Q14" i="118"/>
  <c r="Q36" i="121"/>
  <c r="Q42" i="123"/>
  <c r="Q22" i="119"/>
  <c r="Y42" i="123" l="1"/>
  <c r="Y36" i="121"/>
  <c r="S26" i="135"/>
  <c r="U17" i="133"/>
  <c r="W17" i="132"/>
  <c r="X17" i="132"/>
  <c r="V17" i="132"/>
  <c r="T20" i="131"/>
  <c r="Y12" i="119"/>
  <c r="Y14" i="119"/>
  <c r="Y20" i="119"/>
  <c r="Y19" i="119" s="1"/>
  <c r="S36" i="121"/>
  <c r="S42" i="123"/>
  <c r="S14" i="118"/>
  <c r="S22" i="119"/>
  <c r="T26" i="135" l="1"/>
  <c r="U26" i="135"/>
  <c r="V17" i="133"/>
  <c r="Y17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2" i="123"/>
  <c r="U36" i="121"/>
  <c r="V26" i="135" l="1"/>
  <c r="W26" i="135"/>
  <c r="X20" i="131"/>
  <c r="X8" i="119"/>
  <c r="X22" i="119" s="1"/>
  <c r="X14" i="118"/>
  <c r="Y8" i="119" l="1"/>
  <c r="Y22" i="119" s="1"/>
  <c r="Y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X29" i="120"/>
  <c r="W29" i="120" l="1"/>
  <c r="Y29" i="120"/>
</calcChain>
</file>

<file path=xl/sharedStrings.xml><?xml version="1.0" encoding="utf-8"?>
<sst xmlns="http://schemas.openxmlformats.org/spreadsheetml/2006/main" count="1143" uniqueCount="352">
  <si>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</si>
  <si>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</si>
  <si>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</si>
  <si>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</si>
  <si>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</si>
  <si>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</si>
  <si>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</si>
  <si>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</si>
  <si>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</si>
  <si>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</si>
  <si>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</si>
  <si>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</si>
  <si>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</si>
  <si>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</si>
  <si>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</si>
  <si>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</si>
  <si>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</si>
  <si>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</si>
  <si>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</si>
  <si>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</si>
  <si>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</si>
  <si>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</si>
  <si>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</si>
  <si>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</si>
  <si>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</si>
  <si>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</si>
  <si>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</si>
  <si>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</si>
  <si>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</si>
  <si>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</si>
  <si>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</si>
  <si>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</si>
  <si>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</si>
  <si>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</si>
  <si>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</si>
  <si>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</si>
  <si>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</si>
  <si>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</si>
  <si>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</si>
  <si>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</si>
  <si>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</si>
  <si>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</si>
  <si>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</si>
  <si>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</si>
  <si>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</si>
  <si>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</si>
  <si>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</si>
  <si>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</si>
  <si>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</si>
  <si>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</si>
  <si>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</si>
  <si>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</si>
  <si>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</si>
  <si>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</si>
  <si>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</si>
  <si>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</si>
  <si>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</si>
  <si>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</si>
  <si>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</si>
  <si>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</si>
  <si>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</si>
  <si>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</si>
  <si>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</si>
  <si>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</si>
  <si>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</si>
  <si>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</si>
  <si>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</si>
  <si>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</si>
  <si>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</si>
  <si>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</si>
  <si>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</si>
  <si>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</si>
  <si>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</si>
  <si>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</si>
  <si>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</si>
  <si>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</si>
  <si>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</si>
  <si>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</si>
  <si>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</si>
  <si>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</si>
  <si>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</si>
  <si>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</si>
  <si>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</si>
  <si>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</si>
  <si>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</si>
  <si>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</si>
  <si>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</si>
  <si>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</si>
  <si>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</si>
  <si>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</si>
  <si>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</si>
  <si>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</si>
  <si>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</si>
  <si>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</si>
  <si>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</si>
  <si>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</si>
  <si>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</si>
  <si>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</si>
  <si>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</si>
  <si>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</si>
  <si>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</si>
  <si>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</si>
  <si>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</si>
  <si>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</si>
  <si>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</si>
  <si>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</si>
  <si>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</si>
  <si>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</si>
  <si>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</si>
  <si>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</si>
  <si>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</si>
  <si>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</si>
  <si>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</si>
  <si>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</si>
  <si>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</si>
  <si>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</si>
  <si>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</si>
  <si>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</si>
  <si>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</si>
  <si>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</si>
  <si>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</si>
  <si>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</si>
  <si>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</si>
  <si>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</si>
  <si>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</si>
  <si>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</si>
  <si>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</si>
  <si>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</si>
  <si>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</si>
  <si>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</si>
  <si>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</si>
  <si>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</si>
  <si>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</si>
  <si>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</si>
  <si>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</si>
  <si>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</si>
  <si>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</si>
  <si>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</si>
  <si>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</si>
  <si>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</si>
  <si>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</si>
  <si>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</si>
  <si>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</si>
  <si>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</si>
  <si>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</si>
  <si>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</si>
  <si>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</si>
  <si>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</si>
  <si>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</si>
  <si>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</si>
  <si>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</si>
  <si>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 xml:space="preserve">                   L.C.P. CESAR JÉSUS LANDEROS MORA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</si>
  <si>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</si>
  <si>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</si>
  <si>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</si>
  <si>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</si>
  <si>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</si>
  <si>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</si>
  <si>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</si>
  <si>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</si>
  <si>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</si>
  <si>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</si>
  <si>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</si>
  <si>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</si>
  <si>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</si>
  <si>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</si>
  <si>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</si>
  <si>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</si>
  <si>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</si>
  <si>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</si>
  <si>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</si>
  <si>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</si>
  <si>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</si>
  <si>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</si>
  <si>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</si>
  <si>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</si>
  <si>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</si>
  <si>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</si>
  <si>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</si>
  <si>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</si>
  <si>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</si>
  <si>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</si>
  <si>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</si>
  <si>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</si>
  <si>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</si>
  <si>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</si>
  <si>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</si>
  <si>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</si>
  <si>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</si>
  <si>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</si>
  <si>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</si>
  <si>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</si>
  <si>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</si>
  <si>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</si>
  <si>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</si>
  <si>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</si>
  <si>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</si>
  <si>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</si>
  <si>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</si>
  <si>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</si>
  <si>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</si>
  <si>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</si>
  <si>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</si>
  <si>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</si>
  <si>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</si>
  <si>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</si>
  <si>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</si>
  <si>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</si>
  <si>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</si>
  <si>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</si>
  <si>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</si>
  <si>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</si>
  <si>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</si>
  <si>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</si>
  <si>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</si>
  <si>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</si>
  <si>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</si>
  <si>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</si>
  <si>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</si>
  <si>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</si>
  <si>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</si>
  <si>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</si>
  <si>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</si>
  <si>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</si>
  <si>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</si>
  <si>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</si>
  <si>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</si>
  <si>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</si>
  <si>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</si>
  <si>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</si>
  <si>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</si>
  <si>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</si>
  <si>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</si>
  <si>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</si>
  <si>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</si>
  <si>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</si>
  <si>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                TESORERO ENC. DE LA HACIENDA MPAL.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</si>
  <si>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</si>
  <si>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</si>
  <si>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</si>
  <si>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</si>
  <si>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</si>
  <si>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</si>
  <si>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</si>
  <si>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</si>
  <si>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</si>
  <si>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</si>
  <si>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</si>
  <si>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</si>
  <si>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</si>
  <si>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</si>
  <si>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</si>
  <si>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</si>
  <si>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</si>
  <si>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</si>
  <si>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</si>
  <si>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</si>
  <si>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</si>
  <si>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</si>
  <si>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</si>
  <si>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</si>
  <si>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</si>
  <si>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</si>
  <si>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</si>
  <si>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</si>
  <si>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</si>
  <si>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</si>
  <si>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</si>
  <si>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</si>
  <si>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</si>
  <si>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</si>
  <si>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</si>
  <si>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</si>
  <si>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</si>
  <si>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</si>
  <si>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</si>
  <si>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</si>
  <si>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</si>
  <si>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</si>
  <si>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</si>
  <si>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</si>
  <si>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</si>
  <si>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</si>
  <si>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</si>
  <si>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</si>
  <si>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</si>
  <si>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</si>
  <si>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</si>
  <si>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</si>
  <si>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</si>
  <si>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</si>
  <si>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</si>
  <si>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</si>
  <si>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</si>
  <si>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</si>
  <si>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</si>
  <si>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</si>
  <si>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</si>
  <si>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</si>
  <si>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</si>
  <si>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</si>
  <si>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</si>
  <si>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</si>
  <si>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</si>
  <si>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</si>
  <si>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</si>
  <si>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</si>
  <si>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</si>
  <si>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</si>
  <si>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</si>
  <si>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</si>
  <si>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</si>
  <si>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</si>
  <si>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</si>
  <si>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</si>
  <si>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</si>
  <si>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</si>
  <si>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325</t>
  </si>
  <si>
    <t>144</t>
  </si>
  <si>
    <t>326</t>
  </si>
  <si>
    <t>TURISMO</t>
  </si>
  <si>
    <t>LUZ MARIA GARCIA LOPEZ</t>
  </si>
  <si>
    <t>DIRECTORA MEDIOS AUDIOVISUALES</t>
  </si>
  <si>
    <t>ALONSO CASILLAS GARCIA</t>
  </si>
  <si>
    <t>SALVADOR ESQUIVEL NUÑEZ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</si>
  <si>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</si>
  <si>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</si>
  <si>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</si>
  <si>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</si>
  <si>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</si>
  <si>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</si>
  <si>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</si>
  <si>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</si>
  <si>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</si>
  <si>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</si>
  <si>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</si>
  <si>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</si>
  <si>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</si>
  <si>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</si>
  <si>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</si>
  <si>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</si>
  <si>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</si>
  <si>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</si>
  <si>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</si>
  <si>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SUELDO  DEL 16 AL 30 DE SEPTIEMBRE DE 2023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</si>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</sst>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18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8" t="s">
        <v>193</v>
      </c>
    </row>
    <row r="3" spans="1:9" x14ac:dyDescent="0.25">
      <c r="B3" s="8" t="s">
        <v>47</v>
      </c>
      <c r="C3" s="7"/>
      <c r="D3" s="7"/>
      <c r="E3" s="7"/>
      <c r="F3" s="7"/>
      <c r="G3" s="7"/>
      <c r="I3" s="117">
        <v>207.44</v>
      </c>
    </row>
    <row r="4" spans="1:9" x14ac:dyDescent="0.25">
      <c r="B4" s="19" t="s">
        <v>280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4" t="s">
        <v>10</v>
      </c>
      <c r="C7" s="284"/>
      <c r="D7" s="284"/>
      <c r="E7" s="7"/>
      <c r="F7" s="277" t="s">
        <v>48</v>
      </c>
      <c r="G7" s="278"/>
      <c r="I7" s="118" t="s">
        <v>194</v>
      </c>
    </row>
    <row r="8" spans="1:9" ht="14.25" customHeight="1" x14ac:dyDescent="0.25">
      <c r="B8" s="281" t="s">
        <v>9</v>
      </c>
      <c r="C8" s="281"/>
      <c r="D8" s="281"/>
      <c r="E8" s="7"/>
      <c r="F8" s="282" t="s">
        <v>49</v>
      </c>
      <c r="G8" s="283"/>
      <c r="I8" s="117">
        <v>96.22</v>
      </c>
    </row>
    <row r="9" spans="1:9" ht="8.25" customHeight="1" x14ac:dyDescent="0.25">
      <c r="B9" s="285"/>
      <c r="C9" s="285"/>
      <c r="D9" s="285"/>
      <c r="E9" s="7"/>
      <c r="F9" s="279"/>
      <c r="G9" s="280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278</v>
      </c>
      <c r="C28" s="7"/>
      <c r="D28" s="7"/>
    </row>
    <row r="29" spans="1:7" x14ac:dyDescent="0.25">
      <c r="B29" s="32" t="s">
        <v>279</v>
      </c>
      <c r="C29" s="7"/>
      <c r="D29" s="7"/>
    </row>
    <row r="32" spans="1:7" ht="17.25" customHeight="1" x14ac:dyDescent="0.25">
      <c r="B32" s="5" t="s">
        <v>45</v>
      </c>
      <c r="E32" s="7"/>
      <c r="F32" s="277" t="s">
        <v>53</v>
      </c>
      <c r="G32" s="278"/>
    </row>
    <row r="33" spans="2:7" x14ac:dyDescent="0.25">
      <c r="E33" s="7"/>
      <c r="F33" s="282" t="s">
        <v>54</v>
      </c>
      <c r="G33" s="283"/>
    </row>
    <row r="34" spans="2:7" ht="5.25" customHeight="1" x14ac:dyDescent="0.25">
      <c r="E34" s="7"/>
      <c r="F34" s="279"/>
      <c r="G34" s="280"/>
    </row>
    <row r="35" spans="2:7" x14ac:dyDescent="0.25">
      <c r="B35" s="284" t="s">
        <v>10</v>
      </c>
      <c r="C35" s="284"/>
      <c r="D35" s="284"/>
      <c r="E35" s="7"/>
      <c r="F35" s="9" t="s">
        <v>16</v>
      </c>
      <c r="G35" s="9" t="s">
        <v>17</v>
      </c>
    </row>
    <row r="36" spans="2:7" x14ac:dyDescent="0.25">
      <c r="B36" s="281" t="s">
        <v>9</v>
      </c>
      <c r="C36" s="281"/>
      <c r="D36" s="281"/>
      <c r="E36" s="7"/>
      <c r="F36" s="9"/>
      <c r="G36" s="9" t="s">
        <v>18</v>
      </c>
    </row>
    <row r="37" spans="2:7" x14ac:dyDescent="0.25">
      <c r="B37" s="285"/>
      <c r="C37" s="285"/>
      <c r="D37" s="285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8"/>
  <sheetViews>
    <sheetView topLeftCell="C1" zoomScale="78" zoomScaleNormal="78" workbookViewId="0">
      <pane ySplit="1" topLeftCell="A23" activePane="bottomLeft" state="frozen"/>
      <selection activeCell="B1" sqref="B1"/>
      <selection pane="bottomLeft" activeCell="C29" sqref="A29:XFD34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9" t="s">
        <v>76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</row>
    <row r="2" spans="1:32" ht="19.8" x14ac:dyDescent="0.3">
      <c r="A2" s="289" t="s">
        <v>63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32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32" ht="25.5" customHeight="1" x14ac:dyDescent="0.3">
      <c r="A4" s="4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32" s="53" customFormat="1" ht="15.6" x14ac:dyDescent="0.3">
      <c r="A5" s="49"/>
      <c r="B5" s="123"/>
      <c r="C5" s="123"/>
      <c r="D5" s="123"/>
      <c r="E5" s="123"/>
      <c r="F5" s="267"/>
      <c r="G5" s="124" t="s">
        <v>22</v>
      </c>
      <c r="H5" s="270" t="s">
        <v>5</v>
      </c>
      <c r="I5" s="291" t="s">
        <v>1</v>
      </c>
      <c r="J5" s="292"/>
      <c r="K5" s="293"/>
      <c r="L5" s="125" t="s">
        <v>25</v>
      </c>
      <c r="M5" s="126"/>
      <c r="N5" s="294" t="s">
        <v>8</v>
      </c>
      <c r="O5" s="295"/>
      <c r="P5" s="295"/>
      <c r="Q5" s="295"/>
      <c r="R5" s="295"/>
      <c r="S5" s="296"/>
      <c r="T5" s="125" t="s">
        <v>52</v>
      </c>
      <c r="U5" s="125" t="s">
        <v>9</v>
      </c>
      <c r="V5" s="124" t="s">
        <v>52</v>
      </c>
      <c r="W5" s="297" t="s">
        <v>2</v>
      </c>
      <c r="X5" s="298"/>
      <c r="Y5" s="124" t="s">
        <v>0</v>
      </c>
      <c r="Z5" s="49"/>
    </row>
    <row r="6" spans="1:32" s="53" customFormat="1" ht="29.25" customHeight="1" x14ac:dyDescent="0.3">
      <c r="A6" s="54" t="s">
        <v>20</v>
      </c>
      <c r="B6" s="127" t="s">
        <v>100</v>
      </c>
      <c r="C6" s="127" t="s">
        <v>122</v>
      </c>
      <c r="D6" s="128" t="s">
        <v>21</v>
      </c>
      <c r="E6" s="128"/>
      <c r="F6" s="268"/>
      <c r="G6" s="273" t="s">
        <v>23</v>
      </c>
      <c r="H6" s="271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6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277</v>
      </c>
      <c r="X6" s="124" t="s">
        <v>6</v>
      </c>
      <c r="Y6" s="128" t="s">
        <v>3</v>
      </c>
      <c r="Z6" s="54" t="s">
        <v>56</v>
      </c>
    </row>
    <row r="7" spans="1:32" s="53" customFormat="1" ht="15.6" x14ac:dyDescent="0.3">
      <c r="A7" s="62"/>
      <c r="B7" s="130"/>
      <c r="C7" s="130"/>
      <c r="D7" s="131"/>
      <c r="E7" s="131"/>
      <c r="F7" s="269"/>
      <c r="G7" s="131"/>
      <c r="H7" s="272"/>
      <c r="I7" s="131" t="s">
        <v>46</v>
      </c>
      <c r="J7" s="131" t="s">
        <v>58</v>
      </c>
      <c r="K7" s="131" t="s">
        <v>28</v>
      </c>
      <c r="L7" s="132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125" t="s">
        <v>14</v>
      </c>
      <c r="S7" s="125" t="s">
        <v>38</v>
      </c>
      <c r="T7" s="129" t="s">
        <v>51</v>
      </c>
      <c r="U7" s="133" t="s">
        <v>205</v>
      </c>
      <c r="V7" s="131" t="s">
        <v>51</v>
      </c>
      <c r="W7" s="131"/>
      <c r="X7" s="131" t="s">
        <v>43</v>
      </c>
      <c r="Y7" s="131" t="s">
        <v>4</v>
      </c>
      <c r="Z7" s="59"/>
    </row>
    <row r="8" spans="1:32" s="53" customFormat="1" ht="43.5" customHeight="1" x14ac:dyDescent="0.3">
      <c r="A8" s="212"/>
      <c r="B8" s="230" t="s">
        <v>100</v>
      </c>
      <c r="C8" s="230" t="s">
        <v>122</v>
      </c>
      <c r="D8" s="231" t="s">
        <v>61</v>
      </c>
      <c r="E8" s="230" t="s">
        <v>293</v>
      </c>
      <c r="F8" s="212" t="s">
        <v>60</v>
      </c>
      <c r="G8" s="212"/>
      <c r="H8" s="212"/>
      <c r="I8" s="232">
        <f>SUM(I9:I11)</f>
        <v>47383</v>
      </c>
      <c r="J8" s="232">
        <f>SUM(J9:J11)</f>
        <v>0</v>
      </c>
      <c r="K8" s="232">
        <f>SUM(K9:K11)</f>
        <v>47383</v>
      </c>
      <c r="L8" s="212"/>
      <c r="M8" s="212"/>
      <c r="N8" s="212"/>
      <c r="O8" s="212"/>
      <c r="P8" s="212"/>
      <c r="Q8" s="212"/>
      <c r="R8" s="212"/>
      <c r="S8" s="212"/>
      <c r="T8" s="212"/>
      <c r="U8" s="233"/>
      <c r="V8" s="232">
        <f>SUM(V9:V11)</f>
        <v>2300</v>
      </c>
      <c r="W8" s="232">
        <f>SUM(W9:W11)</f>
        <v>8222.0499999999993</v>
      </c>
      <c r="X8" s="232">
        <f>SUM(X9:X11)</f>
        <v>8222.0499999999993</v>
      </c>
      <c r="Y8" s="232" t="e">
        <f>SUM(Y9:Y11)</f>
        <v>#REF!</v>
      </c>
      <c r="Z8" s="65"/>
    </row>
    <row r="9" spans="1:32" s="53" customFormat="1" ht="102.75" customHeight="1" x14ac:dyDescent="0.35">
      <c r="A9" s="152" t="s">
        <v>82</v>
      </c>
      <c r="B9" s="151" t="s">
        <v>196</v>
      </c>
      <c r="C9" s="152" t="s">
        <v>113</v>
      </c>
      <c r="D9" s="216" t="s">
        <v>197</v>
      </c>
      <c r="E9" s="221">
        <v>43374</v>
      </c>
      <c r="F9" s="154" t="s">
        <v>198</v>
      </c>
      <c r="G9" s="155">
        <v>15</v>
      </c>
      <c r="H9" s="156">
        <v>1677.25</v>
      </c>
      <c r="I9" s="157">
        <v>27705</v>
      </c>
      <c r="J9" s="158">
        <v>0</v>
      </c>
      <c r="K9" s="159">
        <f>SUM(I9:J9)</f>
        <v>27705</v>
      </c>
      <c r="L9" s="160">
        <f>IF(I9/15&lt;=SMG,0,J9/2)</f>
        <v>0</v>
      </c>
      <c r="M9" s="160">
        <f>I9+L9</f>
        <v>27705</v>
      </c>
      <c r="N9" s="160">
        <f>VLOOKUP(M9,Tarifa1,1)</f>
        <v>24292.66</v>
      </c>
      <c r="O9" s="160">
        <f>M9-N9</f>
        <v>3412.34</v>
      </c>
      <c r="P9" s="161">
        <f>VLOOKUP(M9,Tarifa1,3)</f>
        <v>0.3</v>
      </c>
      <c r="Q9" s="160">
        <f>O9*P9</f>
        <v>1023.702</v>
      </c>
      <c r="R9" s="162">
        <f>VLOOKUP(M9,Tarifa1,2)</f>
        <v>4557.75</v>
      </c>
      <c r="S9" s="160">
        <f>Q9+R9</f>
        <v>5581.4520000000002</v>
      </c>
      <c r="T9" s="160">
        <f>VLOOKUP(M9,Credito1,2)</f>
        <v>0</v>
      </c>
      <c r="U9" s="160">
        <f>ROUND(S9-T9,2)</f>
        <v>5581.45</v>
      </c>
      <c r="V9" s="159">
        <f>-IF(U9&gt;0,0,U9)</f>
        <v>0</v>
      </c>
      <c r="W9" s="159">
        <f>IF(I9/15&lt;=SMG,0,IF(U9&lt;0,0,U9))</f>
        <v>5581.45</v>
      </c>
      <c r="X9" s="159">
        <f>SUM(W9:W9)</f>
        <v>5581.45</v>
      </c>
      <c r="Y9" s="159">
        <f>K9+V9-X9</f>
        <v>22123.55</v>
      </c>
      <c r="Z9" s="60"/>
    </row>
    <row r="10" spans="1:32" s="53" customFormat="1" ht="102.75" customHeight="1" x14ac:dyDescent="0.35">
      <c r="A10" s="152" t="s">
        <v>83</v>
      </c>
      <c r="B10" s="151" t="s">
        <v>157</v>
      </c>
      <c r="C10" s="152" t="s">
        <v>113</v>
      </c>
      <c r="D10" s="216" t="s">
        <v>147</v>
      </c>
      <c r="E10" s="221">
        <v>43101</v>
      </c>
      <c r="F10" s="154" t="s">
        <v>199</v>
      </c>
      <c r="G10" s="155">
        <v>15</v>
      </c>
      <c r="H10" s="156">
        <v>850.15</v>
      </c>
      <c r="I10" s="157">
        <v>14043</v>
      </c>
      <c r="J10" s="158">
        <v>0</v>
      </c>
      <c r="K10" s="159">
        <f>SUM(I10:J10)</f>
        <v>14043</v>
      </c>
      <c r="L10" s="160">
        <f>IF(I10/15&lt;=SMG,0,J10/2)</f>
        <v>0</v>
      </c>
      <c r="M10" s="160">
        <f t="shared" ref="M10" si="0">I10+L10</f>
        <v>14043</v>
      </c>
      <c r="N10" s="160">
        <f>VLOOKUP(M10,Tarifa1,1)</f>
        <v>7641.91</v>
      </c>
      <c r="O10" s="160">
        <f t="shared" ref="O10" si="1">M10-N10</f>
        <v>6401.09</v>
      </c>
      <c r="P10" s="161">
        <f>VLOOKUP(M10,Tarifa1,3)</f>
        <v>0.21360000000000001</v>
      </c>
      <c r="Q10" s="160">
        <f t="shared" ref="Q10" si="2">O10*P10</f>
        <v>1367.2728240000001</v>
      </c>
      <c r="R10" s="162">
        <f>VLOOKUP(M10,Tarifa1,2)</f>
        <v>809.25</v>
      </c>
      <c r="S10" s="160">
        <f t="shared" ref="S10" si="3">Q10+R10</f>
        <v>2176.5228240000001</v>
      </c>
      <c r="T10" s="160">
        <f>VLOOKUP(M10,Credito1,2)</f>
        <v>0</v>
      </c>
      <c r="U10" s="160">
        <f t="shared" ref="U10" si="4">ROUND(S10-T10,2)</f>
        <v>2176.52</v>
      </c>
      <c r="V10" s="159">
        <v>1500</v>
      </c>
      <c r="W10" s="159">
        <f>IF(I10/15&lt;=SMG,0,IF(U10&lt;0,0,U10))</f>
        <v>2176.52</v>
      </c>
      <c r="X10" s="159">
        <f>SUM(W10:W10)</f>
        <v>2176.52</v>
      </c>
      <c r="Y10" s="159" t="e">
        <f>K10+V10-X10-#REF!</f>
        <v>#REF!</v>
      </c>
      <c r="Z10" s="60"/>
      <c r="AF10" s="61"/>
    </row>
    <row r="11" spans="1:32" s="53" customFormat="1" ht="102.75" customHeight="1" x14ac:dyDescent="0.35">
      <c r="A11" s="152"/>
      <c r="B11" s="152" t="s">
        <v>106</v>
      </c>
      <c r="C11" s="151" t="s">
        <v>113</v>
      </c>
      <c r="D11" s="216" t="s">
        <v>64</v>
      </c>
      <c r="E11" s="221">
        <v>40026</v>
      </c>
      <c r="F11" s="153" t="s">
        <v>62</v>
      </c>
      <c r="G11" s="155">
        <v>15</v>
      </c>
      <c r="H11" s="156">
        <v>341.11</v>
      </c>
      <c r="I11" s="157">
        <v>5635</v>
      </c>
      <c r="J11" s="158">
        <v>0</v>
      </c>
      <c r="K11" s="159">
        <f>SUM(I11:J11)</f>
        <v>5635</v>
      </c>
      <c r="L11" s="160">
        <f>IF(I11/15&lt;=SMG,0,J11/2)</f>
        <v>0</v>
      </c>
      <c r="M11" s="160">
        <f t="shared" ref="M11" si="5">I11+L11</f>
        <v>5635</v>
      </c>
      <c r="N11" s="160">
        <f>VLOOKUP(M11,Tarifa1,1)</f>
        <v>5490.76</v>
      </c>
      <c r="O11" s="160">
        <f t="shared" ref="O11" si="6">M11-N11</f>
        <v>144.23999999999978</v>
      </c>
      <c r="P11" s="161">
        <f>VLOOKUP(M11,Tarifa1,3)</f>
        <v>0.16</v>
      </c>
      <c r="Q11" s="160">
        <f t="shared" ref="Q11" si="7">O11*P11</f>
        <v>23.078399999999966</v>
      </c>
      <c r="R11" s="162">
        <f>VLOOKUP(M11,Tarifa1,2)</f>
        <v>441</v>
      </c>
      <c r="S11" s="160">
        <f t="shared" ref="S11" si="8">Q11+R11</f>
        <v>464.07839999999999</v>
      </c>
      <c r="T11" s="160">
        <f>VLOOKUP(M11,Credito1,2)</f>
        <v>0</v>
      </c>
      <c r="U11" s="160">
        <f t="shared" ref="U11" si="9">ROUND(S11-T11,2)</f>
        <v>464.08</v>
      </c>
      <c r="V11" s="159">
        <v>800</v>
      </c>
      <c r="W11" s="159">
        <f>IF(I11/15&lt;=SMG,0,IF(U11&lt;0,0,U11))</f>
        <v>464.08</v>
      </c>
      <c r="X11" s="159">
        <f>SUM(W11:W11)</f>
        <v>464.08</v>
      </c>
      <c r="Y11" s="159" t="e">
        <f>K11+V11-X11-#REF!</f>
        <v>#REF!</v>
      </c>
      <c r="Z11" s="60"/>
      <c r="AF11" s="61"/>
    </row>
    <row r="12" spans="1:32" s="53" customFormat="1" ht="44.25" customHeight="1" x14ac:dyDescent="0.3">
      <c r="A12" s="152"/>
      <c r="B12" s="230" t="s">
        <v>100</v>
      </c>
      <c r="C12" s="230" t="s">
        <v>122</v>
      </c>
      <c r="D12" s="245" t="s">
        <v>117</v>
      </c>
      <c r="E12" s="230" t="s">
        <v>293</v>
      </c>
      <c r="F12" s="212" t="s">
        <v>60</v>
      </c>
      <c r="G12" s="212"/>
      <c r="H12" s="212"/>
      <c r="I12" s="232">
        <f>SUM(I13)</f>
        <v>6309</v>
      </c>
      <c r="J12" s="232">
        <f>SUM(J13)</f>
        <v>0</v>
      </c>
      <c r="K12" s="232">
        <f>SUM(K13)</f>
        <v>6309</v>
      </c>
      <c r="L12" s="212"/>
      <c r="M12" s="212"/>
      <c r="N12" s="212"/>
      <c r="O12" s="212"/>
      <c r="P12" s="212"/>
      <c r="Q12" s="212"/>
      <c r="R12" s="234"/>
      <c r="S12" s="212"/>
      <c r="T12" s="212"/>
      <c r="U12" s="233"/>
      <c r="V12" s="232">
        <f>SUM(V13)</f>
        <v>0</v>
      </c>
      <c r="W12" s="232">
        <f>SUM(W13)</f>
        <v>571.91999999999996</v>
      </c>
      <c r="X12" s="232">
        <f>SUM(X13)</f>
        <v>571.91999999999996</v>
      </c>
      <c r="Y12" s="232">
        <f>SUM(Y13)</f>
        <v>5737.08</v>
      </c>
      <c r="Z12" s="65"/>
      <c r="AF12" s="61"/>
    </row>
    <row r="13" spans="1:32" s="53" customFormat="1" ht="102.75" customHeight="1" x14ac:dyDescent="0.35">
      <c r="A13" s="152" t="s">
        <v>84</v>
      </c>
      <c r="B13" s="152" t="s">
        <v>266</v>
      </c>
      <c r="C13" s="151" t="s">
        <v>113</v>
      </c>
      <c r="D13" s="216" t="s">
        <v>260</v>
      </c>
      <c r="E13" s="221">
        <v>44743</v>
      </c>
      <c r="F13" s="154" t="s">
        <v>96</v>
      </c>
      <c r="G13" s="155">
        <v>15</v>
      </c>
      <c r="H13" s="156">
        <v>381.95</v>
      </c>
      <c r="I13" s="157">
        <v>6309</v>
      </c>
      <c r="J13" s="158">
        <v>0</v>
      </c>
      <c r="K13" s="159">
        <f>I13</f>
        <v>6309</v>
      </c>
      <c r="L13" s="160">
        <f>IF(I13/15&lt;=SMG,0,J13/2)</f>
        <v>0</v>
      </c>
      <c r="M13" s="160">
        <f t="shared" ref="M13" si="10">I13+L13</f>
        <v>6309</v>
      </c>
      <c r="N13" s="160">
        <f>VLOOKUP(M13,Tarifa1,1)</f>
        <v>5490.76</v>
      </c>
      <c r="O13" s="160">
        <f t="shared" ref="O13" si="11">M13-N13</f>
        <v>818.23999999999978</v>
      </c>
      <c r="P13" s="161">
        <f>VLOOKUP(M13,Tarifa1,3)</f>
        <v>0.16</v>
      </c>
      <c r="Q13" s="160">
        <f t="shared" ref="Q13" si="12">O13*P13</f>
        <v>130.91839999999996</v>
      </c>
      <c r="R13" s="162">
        <f>VLOOKUP(M13,Tarifa1,2)</f>
        <v>441</v>
      </c>
      <c r="S13" s="160">
        <f t="shared" ref="S13" si="13">Q13+R13</f>
        <v>571.91840000000002</v>
      </c>
      <c r="T13" s="160">
        <f>VLOOKUP(M13,Credito1,2)</f>
        <v>0</v>
      </c>
      <c r="U13" s="160">
        <f t="shared" ref="U13" si="14">ROUND(S13-T13,2)</f>
        <v>571.91999999999996</v>
      </c>
      <c r="V13" s="159">
        <f>-IF(U13&gt;0,0,U13)</f>
        <v>0</v>
      </c>
      <c r="W13" s="159">
        <f>IF(I13/15&lt;=SMG,0,IF(U13&lt;0,0,U13))</f>
        <v>571.91999999999996</v>
      </c>
      <c r="X13" s="159">
        <f>SUM(W13:W13)</f>
        <v>571.91999999999996</v>
      </c>
      <c r="Y13" s="159">
        <f>K13+V13-X13</f>
        <v>5737.08</v>
      </c>
      <c r="Z13" s="60"/>
      <c r="AF13" s="61"/>
    </row>
    <row r="14" spans="1:32" s="53" customFormat="1" ht="44.25" customHeight="1" x14ac:dyDescent="0.3">
      <c r="A14" s="152"/>
      <c r="B14" s="230" t="s">
        <v>100</v>
      </c>
      <c r="C14" s="230" t="s">
        <v>122</v>
      </c>
      <c r="D14" s="231" t="s">
        <v>118</v>
      </c>
      <c r="E14" s="230" t="s">
        <v>293</v>
      </c>
      <c r="F14" s="212" t="s">
        <v>60</v>
      </c>
      <c r="G14" s="212"/>
      <c r="H14" s="212"/>
      <c r="I14" s="232">
        <v>4896.5</v>
      </c>
      <c r="J14" s="232">
        <f>SUM(J15)</f>
        <v>0</v>
      </c>
      <c r="K14" s="232">
        <f>SUM(K15)</f>
        <v>5043</v>
      </c>
      <c r="L14" s="212"/>
      <c r="M14" s="212"/>
      <c r="N14" s="212"/>
      <c r="O14" s="212"/>
      <c r="P14" s="212"/>
      <c r="Q14" s="212"/>
      <c r="R14" s="234"/>
      <c r="S14" s="212"/>
      <c r="T14" s="212"/>
      <c r="U14" s="233"/>
      <c r="V14" s="232">
        <f>SUM(V15)</f>
        <v>0</v>
      </c>
      <c r="W14" s="232">
        <f>SUM(W15)</f>
        <v>392.2</v>
      </c>
      <c r="X14" s="232">
        <f>SUM(X15)</f>
        <v>392.2</v>
      </c>
      <c r="Y14" s="232">
        <f>SUM(Y15)</f>
        <v>4650.8</v>
      </c>
      <c r="Z14" s="65"/>
      <c r="AF14" s="61"/>
    </row>
    <row r="15" spans="1:32" s="53" customFormat="1" ht="102.75" customHeight="1" x14ac:dyDescent="0.35">
      <c r="A15" s="152" t="s">
        <v>86</v>
      </c>
      <c r="B15" s="152" t="s">
        <v>209</v>
      </c>
      <c r="C15" s="152" t="s">
        <v>113</v>
      </c>
      <c r="D15" s="216" t="s">
        <v>224</v>
      </c>
      <c r="E15" s="221">
        <v>44470</v>
      </c>
      <c r="F15" s="154" t="s">
        <v>264</v>
      </c>
      <c r="G15" s="155">
        <v>15</v>
      </c>
      <c r="H15" s="156">
        <v>305.35000000000002</v>
      </c>
      <c r="I15" s="157">
        <v>5043</v>
      </c>
      <c r="J15" s="158">
        <v>0</v>
      </c>
      <c r="K15" s="159">
        <f>SUM(I15:J15)</f>
        <v>5043</v>
      </c>
      <c r="L15" s="160">
        <f>IF(I15/15&lt;=SMG,0,J15/2)</f>
        <v>0</v>
      </c>
      <c r="M15" s="160">
        <f t="shared" ref="M15" si="15">I15+L15</f>
        <v>5043</v>
      </c>
      <c r="N15" s="160">
        <f>VLOOKUP(M15,Tarifa1,1)</f>
        <v>3124.36</v>
      </c>
      <c r="O15" s="160">
        <f t="shared" ref="O15" si="16">M15-N15</f>
        <v>1918.6399999999999</v>
      </c>
      <c r="P15" s="161">
        <f>VLOOKUP(M15,Tarifa1,3)</f>
        <v>0.10879999999999999</v>
      </c>
      <c r="Q15" s="160">
        <f t="shared" ref="Q15" si="17">O15*P15</f>
        <v>208.74803199999997</v>
      </c>
      <c r="R15" s="162">
        <f>VLOOKUP(M15,Tarifa1,2)</f>
        <v>183.45</v>
      </c>
      <c r="S15" s="160">
        <f t="shared" ref="S15" si="18">Q15+R15</f>
        <v>392.19803199999996</v>
      </c>
      <c r="T15" s="160">
        <f>VLOOKUP(M15,Credito1,2)</f>
        <v>0</v>
      </c>
      <c r="U15" s="160">
        <f t="shared" ref="U15" si="19">ROUND(S15-T15,2)</f>
        <v>392.2</v>
      </c>
      <c r="V15" s="159">
        <f t="shared" ref="V15" si="20">-IF(U15&gt;0,0,U15)</f>
        <v>0</v>
      </c>
      <c r="W15" s="159">
        <f>IF(I15/15&lt;=SMG,0,IF(U15&lt;0,0,U15))</f>
        <v>392.2</v>
      </c>
      <c r="X15" s="159">
        <f>SUM(W15:W15)</f>
        <v>392.2</v>
      </c>
      <c r="Y15" s="159">
        <f>K15+V15-X15</f>
        <v>4650.8</v>
      </c>
      <c r="Z15" s="60"/>
      <c r="AF15" s="66"/>
    </row>
    <row r="16" spans="1:32" s="53" customFormat="1" ht="43.5" customHeight="1" x14ac:dyDescent="0.3">
      <c r="A16" s="152"/>
      <c r="B16" s="230" t="s">
        <v>100</v>
      </c>
      <c r="C16" s="230" t="s">
        <v>122</v>
      </c>
      <c r="D16" s="231" t="s">
        <v>119</v>
      </c>
      <c r="E16" s="230" t="s">
        <v>293</v>
      </c>
      <c r="F16" s="212" t="s">
        <v>60</v>
      </c>
      <c r="G16" s="212"/>
      <c r="H16" s="212"/>
      <c r="I16" s="232">
        <f>SUM(I17:I18)</f>
        <v>14516.91</v>
      </c>
      <c r="J16" s="232">
        <f>SUM(J17:J18)</f>
        <v>0</v>
      </c>
      <c r="K16" s="232">
        <f>SUM(K17:K18)</f>
        <v>14516.91</v>
      </c>
      <c r="L16" s="212"/>
      <c r="M16" s="212"/>
      <c r="N16" s="212"/>
      <c r="O16" s="212"/>
      <c r="P16" s="212"/>
      <c r="Q16" s="212"/>
      <c r="R16" s="234"/>
      <c r="S16" s="212"/>
      <c r="T16" s="212"/>
      <c r="U16" s="233"/>
      <c r="V16" s="232">
        <f>SUM(V17:V18)</f>
        <v>0</v>
      </c>
      <c r="W16" s="232">
        <f>SUM(W17:W18)</f>
        <v>1716.3300000000002</v>
      </c>
      <c r="X16" s="232">
        <f>SUM(X17:X18)</f>
        <v>1716.3300000000002</v>
      </c>
      <c r="Y16" s="232">
        <f>SUM(Y17:Y18)</f>
        <v>12800.58</v>
      </c>
      <c r="Z16" s="65"/>
      <c r="AF16" s="66"/>
    </row>
    <row r="17" spans="1:3223" s="53" customFormat="1" ht="102.75" customHeight="1" x14ac:dyDescent="0.35">
      <c r="A17" s="152" t="s">
        <v>87</v>
      </c>
      <c r="B17" s="151" t="s">
        <v>153</v>
      </c>
      <c r="C17" s="152" t="s">
        <v>113</v>
      </c>
      <c r="D17" s="216" t="s">
        <v>137</v>
      </c>
      <c r="E17" s="221">
        <v>43374</v>
      </c>
      <c r="F17" s="154" t="s">
        <v>81</v>
      </c>
      <c r="G17" s="155">
        <v>15</v>
      </c>
      <c r="H17" s="156">
        <v>625.85200000000009</v>
      </c>
      <c r="I17" s="157">
        <v>10653</v>
      </c>
      <c r="J17" s="158">
        <v>0</v>
      </c>
      <c r="K17" s="159">
        <f>I17</f>
        <v>10653</v>
      </c>
      <c r="L17" s="160">
        <f>IF(I17/15&lt;=SMG,0,J17/2)</f>
        <v>0</v>
      </c>
      <c r="M17" s="160">
        <f t="shared" ref="M17:M18" si="21">I17+L17</f>
        <v>10653</v>
      </c>
      <c r="N17" s="160">
        <f>VLOOKUP(M17,Tarifa1,1)</f>
        <v>7641.91</v>
      </c>
      <c r="O17" s="160">
        <f t="shared" ref="O17:O18" si="22">M17-N17</f>
        <v>3011.09</v>
      </c>
      <c r="P17" s="161">
        <f>VLOOKUP(M17,Tarifa1,3)</f>
        <v>0.21360000000000001</v>
      </c>
      <c r="Q17" s="160">
        <f t="shared" ref="Q17:Q18" si="23">O17*P17</f>
        <v>643.16882400000009</v>
      </c>
      <c r="R17" s="162">
        <f>VLOOKUP(M17,Tarifa1,2)</f>
        <v>809.25</v>
      </c>
      <c r="S17" s="160">
        <f t="shared" ref="S17:S18" si="24">Q17+R17</f>
        <v>1452.4188240000001</v>
      </c>
      <c r="T17" s="160">
        <f>VLOOKUP(M17,Credito1,2)</f>
        <v>0</v>
      </c>
      <c r="U17" s="160">
        <f t="shared" ref="U17:U18" si="25">ROUND(S17-T17,2)</f>
        <v>1452.42</v>
      </c>
      <c r="V17" s="159">
        <f t="shared" ref="V17:V18" si="26">-IF(U17&gt;0,0,U17)</f>
        <v>0</v>
      </c>
      <c r="W17" s="159">
        <f>IF(I17/15&lt;=SMG,0,IF(U17&lt;0,0,U17))</f>
        <v>1452.42</v>
      </c>
      <c r="X17" s="159">
        <f>SUM(W17:W17)</f>
        <v>1452.42</v>
      </c>
      <c r="Y17" s="159">
        <f>K17+V17-X17</f>
        <v>9200.58</v>
      </c>
      <c r="Z17" s="60"/>
      <c r="AF17" s="66"/>
    </row>
    <row r="18" spans="1:3223" s="53" customFormat="1" ht="102.75" customHeight="1" x14ac:dyDescent="0.35">
      <c r="A18" s="266"/>
      <c r="B18" s="256" t="s">
        <v>295</v>
      </c>
      <c r="C18" s="165" t="s">
        <v>113</v>
      </c>
      <c r="D18" s="261" t="s">
        <v>296</v>
      </c>
      <c r="E18" s="257">
        <v>44991</v>
      </c>
      <c r="F18" s="258" t="s">
        <v>62</v>
      </c>
      <c r="G18" s="259">
        <v>10</v>
      </c>
      <c r="H18" s="260"/>
      <c r="I18" s="157">
        <v>3863.91</v>
      </c>
      <c r="J18" s="158">
        <v>0</v>
      </c>
      <c r="K18" s="159">
        <f>SUM(I18:J18)</f>
        <v>3863.91</v>
      </c>
      <c r="L18" s="160">
        <f>IF(I18/15&lt;=SMG,0,J18/2)</f>
        <v>0</v>
      </c>
      <c r="M18" s="160">
        <f t="shared" si="21"/>
        <v>3863.91</v>
      </c>
      <c r="N18" s="160">
        <f>VLOOKUP(M18,Tarifa1,1)</f>
        <v>3124.36</v>
      </c>
      <c r="O18" s="160">
        <f t="shared" si="22"/>
        <v>739.54999999999973</v>
      </c>
      <c r="P18" s="161">
        <f>VLOOKUP(M18,Tarifa1,3)</f>
        <v>0.10879999999999999</v>
      </c>
      <c r="Q18" s="160">
        <f t="shared" si="23"/>
        <v>80.463039999999964</v>
      </c>
      <c r="R18" s="162">
        <f>VLOOKUP(M18,Tarifa1,2)</f>
        <v>183.45</v>
      </c>
      <c r="S18" s="160">
        <f t="shared" si="24"/>
        <v>263.91303999999997</v>
      </c>
      <c r="T18" s="160">
        <f>VLOOKUP(M18,Credito1,2)</f>
        <v>0</v>
      </c>
      <c r="U18" s="160">
        <f t="shared" si="25"/>
        <v>263.91000000000003</v>
      </c>
      <c r="V18" s="159">
        <f t="shared" si="26"/>
        <v>0</v>
      </c>
      <c r="W18" s="159">
        <f>IF(I18/15&lt;=SMG,0,IF(U18&lt;0,0,U18))</f>
        <v>263.91000000000003</v>
      </c>
      <c r="X18" s="159">
        <f>SUM(W18:W18)</f>
        <v>263.91000000000003</v>
      </c>
      <c r="Y18" s="159">
        <f>K18+V18-X18</f>
        <v>3600</v>
      </c>
      <c r="Z18" s="58"/>
      <c r="AF18" s="66"/>
    </row>
    <row r="19" spans="1:3223" s="68" customFormat="1" ht="42" customHeight="1" x14ac:dyDescent="0.3">
      <c r="A19" s="152"/>
      <c r="B19" s="196" t="s">
        <v>100</v>
      </c>
      <c r="C19" s="196" t="s">
        <v>122</v>
      </c>
      <c r="D19" s="196" t="s">
        <v>120</v>
      </c>
      <c r="E19" s="196" t="s">
        <v>293</v>
      </c>
      <c r="F19" s="247" t="s">
        <v>60</v>
      </c>
      <c r="G19" s="247"/>
      <c r="H19" s="212"/>
      <c r="I19" s="232">
        <f>SUM(I20:I20)</f>
        <v>2954</v>
      </c>
      <c r="J19" s="232">
        <f>SUM(J20:J20)</f>
        <v>0</v>
      </c>
      <c r="K19" s="232">
        <f>SUM(K20:K20)</f>
        <v>2954</v>
      </c>
      <c r="L19" s="212"/>
      <c r="M19" s="212"/>
      <c r="N19" s="212"/>
      <c r="O19" s="212"/>
      <c r="P19" s="212"/>
      <c r="Q19" s="212"/>
      <c r="R19" s="234"/>
      <c r="S19" s="212"/>
      <c r="T19" s="212"/>
      <c r="U19" s="233"/>
      <c r="V19" s="232">
        <f>SUM(V20:V20)</f>
        <v>0</v>
      </c>
      <c r="W19" s="232">
        <f>SUM(W20:W20)</f>
        <v>0</v>
      </c>
      <c r="X19" s="232">
        <f>SUM(X20:X20)</f>
        <v>0</v>
      </c>
      <c r="Y19" s="232">
        <f>SUM(Y20:Y20)</f>
        <v>2954</v>
      </c>
      <c r="Z19" s="65"/>
      <c r="AA19" s="90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</row>
    <row r="20" spans="1:3223" s="68" customFormat="1" ht="102.75" customHeight="1" x14ac:dyDescent="0.35">
      <c r="A20" s="236"/>
      <c r="B20" s="152" t="s">
        <v>108</v>
      </c>
      <c r="C20" s="152" t="s">
        <v>113</v>
      </c>
      <c r="D20" s="218" t="s">
        <v>91</v>
      </c>
      <c r="E20" s="221">
        <v>42171</v>
      </c>
      <c r="F20" s="169" t="s">
        <v>144</v>
      </c>
      <c r="G20" s="167">
        <v>15</v>
      </c>
      <c r="H20" s="156">
        <v>178.81533333333334</v>
      </c>
      <c r="I20" s="157">
        <v>2954</v>
      </c>
      <c r="J20" s="158">
        <v>0</v>
      </c>
      <c r="K20" s="159">
        <f t="shared" ref="K20" si="27">SUM(I20:J20)</f>
        <v>2954</v>
      </c>
      <c r="L20" s="160">
        <f t="shared" ref="L20" si="28">IF(I20/15&lt;=SMG,0,J20/2)</f>
        <v>0</v>
      </c>
      <c r="M20" s="160">
        <f t="shared" ref="M20" si="29">I20+L20</f>
        <v>2954</v>
      </c>
      <c r="N20" s="160">
        <f>VLOOKUP(M20,Tarifa1,1)</f>
        <v>368.11</v>
      </c>
      <c r="O20" s="160">
        <f t="shared" ref="O20" si="30">M20-N20</f>
        <v>2585.89</v>
      </c>
      <c r="P20" s="161">
        <f>VLOOKUP(M20,Tarifa1,3)</f>
        <v>6.4000000000000001E-2</v>
      </c>
      <c r="Q20" s="160">
        <f t="shared" ref="Q20" si="31">O20*P20</f>
        <v>165.49696</v>
      </c>
      <c r="R20" s="162">
        <f>VLOOKUP(M20,Tarifa1,2)</f>
        <v>7.05</v>
      </c>
      <c r="S20" s="160">
        <f t="shared" ref="S20" si="32">Q20+R20</f>
        <v>172.54696000000001</v>
      </c>
      <c r="T20" s="160">
        <f>VLOOKUP(M20,Credito1,2)</f>
        <v>145.35</v>
      </c>
      <c r="U20" s="160">
        <f t="shared" ref="U20" si="33">ROUND(S20-T20,2)</f>
        <v>27.2</v>
      </c>
      <c r="V20" s="159">
        <f t="shared" ref="V20" si="34">-IF(U20&gt;0,0,U20)</f>
        <v>0</v>
      </c>
      <c r="W20" s="168">
        <f>IF(I20/15&lt;=SMG,0,IF(U20&lt;0,0,U20))</f>
        <v>0</v>
      </c>
      <c r="X20" s="159">
        <f>SUM(W20:W20)</f>
        <v>0</v>
      </c>
      <c r="Y20" s="168">
        <f>K20+V20-X20</f>
        <v>2954</v>
      </c>
      <c r="Z20" s="67"/>
      <c r="AA20" s="90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</row>
    <row r="21" spans="1:3223" s="53" customFormat="1" ht="21.75" customHeight="1" x14ac:dyDescent="0.3">
      <c r="A21" s="236"/>
      <c r="B21" s="237"/>
      <c r="C21" s="237"/>
      <c r="D21" s="238"/>
      <c r="E21" s="238"/>
      <c r="F21" s="238"/>
      <c r="G21" s="195"/>
      <c r="H21" s="239"/>
      <c r="I21" s="240"/>
      <c r="J21" s="241"/>
      <c r="K21" s="242"/>
      <c r="L21" s="243"/>
      <c r="M21" s="243"/>
      <c r="N21" s="243"/>
      <c r="O21" s="243"/>
      <c r="P21" s="244"/>
      <c r="Q21" s="243"/>
      <c r="R21" s="243"/>
      <c r="S21" s="243"/>
      <c r="T21" s="243"/>
      <c r="U21" s="243"/>
      <c r="V21" s="242"/>
      <c r="W21" s="242"/>
      <c r="X21" s="242"/>
      <c r="Y21" s="242"/>
      <c r="Z21" s="60"/>
    </row>
    <row r="22" spans="1:3223" s="53" customFormat="1" ht="41.25" customHeight="1" thickBot="1" x14ac:dyDescent="0.35">
      <c r="A22" s="286" t="s">
        <v>44</v>
      </c>
      <c r="B22" s="287"/>
      <c r="C22" s="287"/>
      <c r="D22" s="287"/>
      <c r="E22" s="287"/>
      <c r="F22" s="287"/>
      <c r="G22" s="287"/>
      <c r="H22" s="288"/>
      <c r="I22" s="163">
        <f>I8+I12+I14+I16+I19</f>
        <v>76059.41</v>
      </c>
      <c r="J22" s="163">
        <f>J8+J12+J14+J16+J19</f>
        <v>0</v>
      </c>
      <c r="K22" s="163">
        <f>K8+K12+K14+K16+K19</f>
        <v>76205.91</v>
      </c>
      <c r="L22" s="164">
        <f t="shared" ref="L22:U22" si="35">SUM(L9:L20)</f>
        <v>0</v>
      </c>
      <c r="M22" s="164">
        <f t="shared" si="35"/>
        <v>76205.91</v>
      </c>
      <c r="N22" s="164">
        <f t="shared" si="35"/>
        <v>57174.83</v>
      </c>
      <c r="O22" s="164">
        <f t="shared" si="35"/>
        <v>19031.079999999998</v>
      </c>
      <c r="P22" s="164">
        <f t="shared" si="35"/>
        <v>1.3288000000000002</v>
      </c>
      <c r="Q22" s="164">
        <f t="shared" si="35"/>
        <v>3642.8484799999997</v>
      </c>
      <c r="R22" s="164">
        <f t="shared" si="35"/>
        <v>7432.2</v>
      </c>
      <c r="S22" s="164">
        <f t="shared" si="35"/>
        <v>11075.048480000001</v>
      </c>
      <c r="T22" s="164">
        <f t="shared" si="35"/>
        <v>145.35</v>
      </c>
      <c r="U22" s="164">
        <f t="shared" si="35"/>
        <v>10929.7</v>
      </c>
      <c r="V22" s="163">
        <f>V8+V12+V14+V16+V19</f>
        <v>2300</v>
      </c>
      <c r="W22" s="163">
        <f>W8+W12+W14+W16+W19</f>
        <v>10902.5</v>
      </c>
      <c r="X22" s="163">
        <f>X8+X12+X14+X16+X19</f>
        <v>10902.5</v>
      </c>
      <c r="Y22" s="163" t="e">
        <f>Y8+Y12+Y14+Y16+Y19</f>
        <v>#REF!</v>
      </c>
    </row>
    <row r="23" spans="1:3223" s="53" customFormat="1" ht="12" customHeight="1" thickTop="1" x14ac:dyDescent="0.3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3223" s="53" customFormat="1" ht="12" customHeight="1" x14ac:dyDescent="0.2"/>
    <row r="25" spans="1:3223" s="53" customFormat="1" ht="12" customHeight="1" x14ac:dyDescent="0.2"/>
    <row r="26" spans="1:3223" s="53" customFormat="1" ht="12" customHeight="1" x14ac:dyDescent="0.2"/>
    <row r="27" spans="1:3223" s="53" customFormat="1" ht="12" customHeight="1" x14ac:dyDescent="0.2"/>
    <row r="28" spans="1:3223" s="53" customFormat="1" ht="12" customHeight="1" x14ac:dyDescent="0.2"/>
    <row r="38" spans="11:11" x14ac:dyDescent="0.25">
      <c r="K38" s="4" t="s">
        <v>237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16"/>
  <sheetViews>
    <sheetView topLeftCell="B14" zoomScale="75" zoomScaleNormal="75" workbookViewId="0">
      <selection activeCell="B22" sqref="A22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195</v>
      </c>
      <c r="I6" s="300" t="s">
        <v>1</v>
      </c>
      <c r="J6" s="301"/>
      <c r="K6" s="302"/>
      <c r="L6" s="24" t="s">
        <v>25</v>
      </c>
      <c r="M6" s="25"/>
      <c r="N6" s="303" t="s">
        <v>8</v>
      </c>
      <c r="O6" s="304"/>
      <c r="P6" s="304"/>
      <c r="Q6" s="304"/>
      <c r="R6" s="304"/>
      <c r="S6" s="305"/>
      <c r="T6" s="24" t="s">
        <v>29</v>
      </c>
      <c r="U6" s="24" t="s">
        <v>9</v>
      </c>
      <c r="V6" s="23" t="s">
        <v>52</v>
      </c>
      <c r="W6" s="306" t="s">
        <v>2</v>
      </c>
      <c r="X6" s="307"/>
      <c r="Y6" s="23" t="s">
        <v>0</v>
      </c>
      <c r="Z6" s="34"/>
    </row>
    <row r="7" spans="1:26" ht="21" x14ac:dyDescent="0.25">
      <c r="A7" s="26" t="s">
        <v>20</v>
      </c>
      <c r="B7" s="46" t="s">
        <v>100</v>
      </c>
      <c r="C7" s="46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11" t="s">
        <v>277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6" ht="34.799999999999997" x14ac:dyDescent="0.3">
      <c r="A9" s="26"/>
      <c r="B9" s="196" t="s">
        <v>100</v>
      </c>
      <c r="C9" s="196" t="s">
        <v>122</v>
      </c>
      <c r="D9" s="245" t="s">
        <v>245</v>
      </c>
      <c r="E9" s="230" t="s">
        <v>293</v>
      </c>
      <c r="F9" s="212" t="s">
        <v>60</v>
      </c>
      <c r="G9" s="247"/>
      <c r="H9" s="212"/>
      <c r="I9" s="248">
        <f>I10</f>
        <v>10653</v>
      </c>
      <c r="J9" s="248">
        <f>J10</f>
        <v>0</v>
      </c>
      <c r="K9" s="248">
        <f>K10</f>
        <v>10653</v>
      </c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>
        <f>V10</f>
        <v>0</v>
      </c>
      <c r="W9" s="248">
        <f>W10</f>
        <v>1452.42</v>
      </c>
      <c r="X9" s="248">
        <f>X10</f>
        <v>1452.42</v>
      </c>
      <c r="Y9" s="248">
        <f>Y10</f>
        <v>9200.58</v>
      </c>
      <c r="Z9" s="138"/>
    </row>
    <row r="10" spans="1:26" ht="133.5" customHeight="1" x14ac:dyDescent="0.35">
      <c r="A10" s="246"/>
      <c r="B10" s="170">
        <v>161</v>
      </c>
      <c r="C10" s="151" t="s">
        <v>113</v>
      </c>
      <c r="D10" s="216" t="s">
        <v>246</v>
      </c>
      <c r="E10" s="221">
        <v>43374</v>
      </c>
      <c r="F10" s="154" t="s">
        <v>247</v>
      </c>
      <c r="G10" s="171">
        <v>15</v>
      </c>
      <c r="H10" s="172">
        <f>I10/G10</f>
        <v>710.2</v>
      </c>
      <c r="I10" s="157">
        <v>10653</v>
      </c>
      <c r="J10" s="158">
        <v>0</v>
      </c>
      <c r="K10" s="159">
        <f>I10</f>
        <v>10653</v>
      </c>
      <c r="L10" s="160">
        <f>IF(I10/15&lt;=SMG,0,J10/2)</f>
        <v>0</v>
      </c>
      <c r="M10" s="160">
        <f t="shared" ref="M10" si="0">I10+L10</f>
        <v>10653</v>
      </c>
      <c r="N10" s="160">
        <f>VLOOKUP(M10,Tarifa1,1)</f>
        <v>7641.91</v>
      </c>
      <c r="O10" s="160">
        <f t="shared" ref="O10" si="1">M10-N10</f>
        <v>3011.09</v>
      </c>
      <c r="P10" s="161">
        <f>VLOOKUP(M10,Tarifa1,3)</f>
        <v>0.21360000000000001</v>
      </c>
      <c r="Q10" s="160">
        <f t="shared" ref="Q10" si="2">O10*P10</f>
        <v>643.16882400000009</v>
      </c>
      <c r="R10" s="162">
        <f>VLOOKUP(M10,Tarifa1,2)</f>
        <v>809.25</v>
      </c>
      <c r="S10" s="160">
        <f t="shared" ref="S10" si="3">Q10+R10</f>
        <v>1452.4188240000001</v>
      </c>
      <c r="T10" s="160">
        <f>VLOOKUP(M10,Credito1,2)</f>
        <v>0</v>
      </c>
      <c r="U10" s="160">
        <f t="shared" ref="U10" si="4">ROUND(S10-T10,2)</f>
        <v>1452.42</v>
      </c>
      <c r="V10" s="159">
        <f t="shared" ref="V10" si="5">-IF(U10&gt;0,0,U10)</f>
        <v>0</v>
      </c>
      <c r="W10" s="159">
        <f>IF(I10/15&lt;=SMG,0,IF(U10&lt;0,0,U10))</f>
        <v>1452.42</v>
      </c>
      <c r="X10" s="159">
        <f>SUM(W10:W10)</f>
        <v>1452.42</v>
      </c>
      <c r="Y10" s="159">
        <f>K10+V10-X10</f>
        <v>9200.58</v>
      </c>
      <c r="Z10" s="114"/>
    </row>
    <row r="11" spans="1:26" ht="52.5" customHeight="1" x14ac:dyDescent="0.3">
      <c r="A11" s="212"/>
      <c r="B11" s="196" t="s">
        <v>100</v>
      </c>
      <c r="C11" s="196" t="s">
        <v>122</v>
      </c>
      <c r="D11" s="245" t="s">
        <v>124</v>
      </c>
      <c r="E11" s="235"/>
      <c r="F11" s="212" t="s">
        <v>60</v>
      </c>
      <c r="G11" s="247"/>
      <c r="H11" s="212"/>
      <c r="I11" s="248">
        <f>I12</f>
        <v>7823</v>
      </c>
      <c r="J11" s="248">
        <f>J12</f>
        <v>0</v>
      </c>
      <c r="K11" s="248">
        <f>K12</f>
        <v>7823</v>
      </c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8">
        <f>V12</f>
        <v>0</v>
      </c>
      <c r="W11" s="248">
        <f>W12</f>
        <v>847.93</v>
      </c>
      <c r="X11" s="248">
        <f>X12</f>
        <v>847.93</v>
      </c>
      <c r="Y11" s="248">
        <f>Y12</f>
        <v>6975.07</v>
      </c>
      <c r="Z11" s="249"/>
    </row>
    <row r="12" spans="1:26" ht="132.75" customHeight="1" x14ac:dyDescent="0.35">
      <c r="A12" s="176"/>
      <c r="B12" s="151" t="s">
        <v>242</v>
      </c>
      <c r="C12" s="152" t="s">
        <v>113</v>
      </c>
      <c r="D12" s="216" t="s">
        <v>243</v>
      </c>
      <c r="E12" s="221">
        <v>44487</v>
      </c>
      <c r="F12" s="154" t="s">
        <v>244</v>
      </c>
      <c r="G12" s="155">
        <v>13</v>
      </c>
      <c r="H12" s="156">
        <f t="shared" ref="H12" si="6">I12/G12</f>
        <v>601.76923076923072</v>
      </c>
      <c r="I12" s="157">
        <v>7823</v>
      </c>
      <c r="J12" s="158">
        <v>0</v>
      </c>
      <c r="K12" s="159">
        <f t="shared" ref="K12" si="7">SUM(I12:J12)</f>
        <v>7823</v>
      </c>
      <c r="L12" s="160">
        <f t="shared" ref="L12" si="8">IF(I12/15&lt;=SMG,0,J12/2)</f>
        <v>0</v>
      </c>
      <c r="M12" s="160">
        <f t="shared" ref="M12" si="9">I12+L12</f>
        <v>7823</v>
      </c>
      <c r="N12" s="160">
        <f t="shared" ref="N12" si="10">VLOOKUP(M12,Tarifa1,1)</f>
        <v>7641.91</v>
      </c>
      <c r="O12" s="160">
        <f t="shared" ref="O12" si="11">M12-N12</f>
        <v>181.09000000000015</v>
      </c>
      <c r="P12" s="161">
        <f t="shared" ref="P12" si="12">VLOOKUP(M12,Tarifa1,3)</f>
        <v>0.21360000000000001</v>
      </c>
      <c r="Q12" s="160">
        <f t="shared" ref="Q12" si="13">O12*P12</f>
        <v>38.680824000000037</v>
      </c>
      <c r="R12" s="162">
        <f t="shared" ref="R12" si="14">VLOOKUP(M12,Tarifa1,2)</f>
        <v>809.25</v>
      </c>
      <c r="S12" s="160">
        <f t="shared" ref="S12" si="15">Q12+R12</f>
        <v>847.93082400000003</v>
      </c>
      <c r="T12" s="160">
        <f t="shared" ref="T12" si="16">VLOOKUP(M12,Credito1,2)</f>
        <v>0</v>
      </c>
      <c r="U12" s="160">
        <f t="shared" ref="U12" si="17">ROUND(S12-T12,2)</f>
        <v>847.93</v>
      </c>
      <c r="V12" s="159">
        <f t="shared" ref="V12" si="18">-IF(U12&gt;0,0,U12)</f>
        <v>0</v>
      </c>
      <c r="W12" s="159">
        <f t="shared" ref="W12" si="19">IF(I12/15&lt;=SMG,0,IF(U12&lt;0,0,U12))</f>
        <v>847.93</v>
      </c>
      <c r="X12" s="159">
        <f>SUM(W12:W12)</f>
        <v>847.93</v>
      </c>
      <c r="Y12" s="159">
        <f>K12+V12-X12</f>
        <v>6975.07</v>
      </c>
      <c r="Z12" s="114"/>
    </row>
    <row r="13" spans="1:26" ht="53.25" customHeight="1" x14ac:dyDescent="0.3">
      <c r="A13" s="176"/>
      <c r="B13" s="196" t="s">
        <v>100</v>
      </c>
      <c r="C13" s="196" t="s">
        <v>122</v>
      </c>
      <c r="D13" s="231" t="s">
        <v>75</v>
      </c>
      <c r="E13" s="235"/>
      <c r="F13" s="212" t="s">
        <v>60</v>
      </c>
      <c r="G13" s="212"/>
      <c r="H13" s="212"/>
      <c r="I13" s="248">
        <f>SUM(I14)</f>
        <v>12093</v>
      </c>
      <c r="J13" s="248">
        <f>SUM(J14)</f>
        <v>0</v>
      </c>
      <c r="K13" s="248">
        <f>SUM(K14)</f>
        <v>12093</v>
      </c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8">
        <f>SUM(V14)</f>
        <v>0</v>
      </c>
      <c r="W13" s="248">
        <f>SUM(W14)</f>
        <v>1760</v>
      </c>
      <c r="X13" s="248">
        <f>SUM(X14)</f>
        <v>1760</v>
      </c>
      <c r="Y13" s="248">
        <f>SUM(Y14)</f>
        <v>10333</v>
      </c>
      <c r="Z13" s="249"/>
    </row>
    <row r="14" spans="1:26" ht="132.75" customHeight="1" x14ac:dyDescent="0.35">
      <c r="A14" s="176"/>
      <c r="B14" s="170">
        <v>290</v>
      </c>
      <c r="C14" s="151" t="s">
        <v>113</v>
      </c>
      <c r="D14" s="216" t="s">
        <v>250</v>
      </c>
      <c r="E14" s="221">
        <v>44593</v>
      </c>
      <c r="F14" s="153" t="s">
        <v>75</v>
      </c>
      <c r="G14" s="171">
        <v>15</v>
      </c>
      <c r="H14" s="172">
        <f>I14/G14</f>
        <v>806.2</v>
      </c>
      <c r="I14" s="173">
        <v>12093</v>
      </c>
      <c r="J14" s="174">
        <v>0</v>
      </c>
      <c r="K14" s="175">
        <f>SUM(I14:J14)</f>
        <v>12093</v>
      </c>
      <c r="L14" s="160">
        <f>IF(I14/15&lt;=SMG,0,J14/2)</f>
        <v>0</v>
      </c>
      <c r="M14" s="160">
        <f>I14+L14</f>
        <v>12093</v>
      </c>
      <c r="N14" s="160">
        <f>VLOOKUP(M14,Tarifa1,1)</f>
        <v>7641.91</v>
      </c>
      <c r="O14" s="160">
        <f>M14-N14</f>
        <v>4451.09</v>
      </c>
      <c r="P14" s="161">
        <f>VLOOKUP(M14,Tarifa1,3)</f>
        <v>0.21360000000000001</v>
      </c>
      <c r="Q14" s="160">
        <f>O14*P14</f>
        <v>950.75282400000003</v>
      </c>
      <c r="R14" s="162">
        <f>VLOOKUP(M14,Tarifa1,2)</f>
        <v>809.25</v>
      </c>
      <c r="S14" s="160">
        <f>Q14+R14</f>
        <v>1760.0028240000001</v>
      </c>
      <c r="T14" s="160">
        <f>VLOOKUP(M14,Credito1,2)</f>
        <v>0</v>
      </c>
      <c r="U14" s="160">
        <f>ROUND(S14-T14,2)</f>
        <v>1760</v>
      </c>
      <c r="V14" s="159">
        <f>-IF(U14&gt;0,0,U14)</f>
        <v>0</v>
      </c>
      <c r="W14" s="159">
        <f>IF(I14/15&lt;=SMG,0,IF(U14&lt;0,0,U14))</f>
        <v>1760</v>
      </c>
      <c r="X14" s="159">
        <f>SUM(W14:W14)</f>
        <v>1760</v>
      </c>
      <c r="Y14" s="159">
        <f>K14+V14-X14</f>
        <v>10333</v>
      </c>
      <c r="Z14" s="114"/>
    </row>
    <row r="15" spans="1:26" ht="40.5" customHeight="1" thickBot="1" x14ac:dyDescent="0.35">
      <c r="A15" s="286" t="s">
        <v>44</v>
      </c>
      <c r="B15" s="287"/>
      <c r="C15" s="287"/>
      <c r="D15" s="287"/>
      <c r="E15" s="287"/>
      <c r="F15" s="287"/>
      <c r="G15" s="287"/>
      <c r="H15" s="288"/>
      <c r="I15" s="210">
        <f>I9+I11+I13</f>
        <v>30569</v>
      </c>
      <c r="J15" s="210">
        <f>J9+J11+J13</f>
        <v>0</v>
      </c>
      <c r="K15" s="210">
        <f>K9+K11+K13</f>
        <v>30569</v>
      </c>
      <c r="L15" s="164">
        <f t="shared" ref="L15:U15" si="20">SUM(L12:L12)</f>
        <v>0</v>
      </c>
      <c r="M15" s="164">
        <f t="shared" si="20"/>
        <v>7823</v>
      </c>
      <c r="N15" s="164">
        <f t="shared" si="20"/>
        <v>7641.91</v>
      </c>
      <c r="O15" s="164">
        <f t="shared" si="20"/>
        <v>181.09000000000015</v>
      </c>
      <c r="P15" s="164">
        <f t="shared" si="20"/>
        <v>0.21360000000000001</v>
      </c>
      <c r="Q15" s="164">
        <f t="shared" si="20"/>
        <v>38.680824000000037</v>
      </c>
      <c r="R15" s="164">
        <f t="shared" si="20"/>
        <v>809.25</v>
      </c>
      <c r="S15" s="164">
        <f t="shared" si="20"/>
        <v>847.93082400000003</v>
      </c>
      <c r="T15" s="164">
        <f t="shared" si="20"/>
        <v>0</v>
      </c>
      <c r="U15" s="164">
        <f t="shared" si="20"/>
        <v>847.93</v>
      </c>
      <c r="V15" s="210">
        <f>V9+V11+V13</f>
        <v>0</v>
      </c>
      <c r="W15" s="210">
        <f>W9+W11+W13</f>
        <v>4060.35</v>
      </c>
      <c r="X15" s="210">
        <f>X9+X11+X13</f>
        <v>4060.35</v>
      </c>
      <c r="Y15" s="210">
        <f>Y9+Y11+Y13</f>
        <v>26508.65</v>
      </c>
      <c r="Z15" s="115"/>
    </row>
    <row r="16" spans="1:26" ht="13.8" thickTop="1" x14ac:dyDescent="0.25"/>
  </sheetData>
  <mergeCells count="7">
    <mergeCell ref="A15:H15"/>
    <mergeCell ref="A1:Z1"/>
    <mergeCell ref="A2:Z2"/>
    <mergeCell ref="A3:Z3"/>
    <mergeCell ref="I6:K6"/>
    <mergeCell ref="N6:S6"/>
    <mergeCell ref="W6:X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B28" zoomScale="66" zoomScaleNormal="66" workbookViewId="0">
      <selection activeCell="B34" sqref="A34:XFD39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</row>
    <row r="2" spans="1:32" ht="19.8" x14ac:dyDescent="0.3">
      <c r="A2" s="289" t="s">
        <v>63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32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12.75" customHeight="1" x14ac:dyDescent="0.25">
      <c r="A5" s="49"/>
      <c r="B5" s="49"/>
      <c r="C5" s="308" t="s">
        <v>114</v>
      </c>
      <c r="D5" s="49"/>
      <c r="E5" s="49"/>
      <c r="F5" s="49"/>
      <c r="G5" s="50" t="s">
        <v>22</v>
      </c>
      <c r="H5" s="50" t="s">
        <v>5</v>
      </c>
      <c r="I5" s="311" t="s">
        <v>1</v>
      </c>
      <c r="J5" s="312"/>
      <c r="K5" s="313"/>
      <c r="L5" s="51" t="s">
        <v>25</v>
      </c>
      <c r="M5" s="52"/>
      <c r="N5" s="314" t="s">
        <v>8</v>
      </c>
      <c r="O5" s="315"/>
      <c r="P5" s="315"/>
      <c r="Q5" s="315"/>
      <c r="R5" s="315"/>
      <c r="S5" s="316"/>
      <c r="T5" s="51" t="s">
        <v>29</v>
      </c>
      <c r="U5" s="51" t="s">
        <v>9</v>
      </c>
      <c r="V5" s="50" t="s">
        <v>52</v>
      </c>
      <c r="W5" s="317" t="s">
        <v>2</v>
      </c>
      <c r="X5" s="318"/>
      <c r="Y5" s="50" t="s">
        <v>0</v>
      </c>
      <c r="Z5" s="49"/>
    </row>
    <row r="6" spans="1:32" s="53" customFormat="1" ht="24" x14ac:dyDescent="0.25">
      <c r="A6" s="54" t="s">
        <v>20</v>
      </c>
      <c r="B6" s="48" t="s">
        <v>100</v>
      </c>
      <c r="C6" s="309"/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52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277</v>
      </c>
      <c r="X6" s="50" t="s">
        <v>6</v>
      </c>
      <c r="Y6" s="54" t="s">
        <v>3</v>
      </c>
      <c r="Z6" s="54" t="s">
        <v>56</v>
      </c>
    </row>
    <row r="7" spans="1:32" s="53" customFormat="1" ht="12" x14ac:dyDescent="0.25">
      <c r="A7" s="62"/>
      <c r="B7" s="62"/>
      <c r="C7" s="310"/>
      <c r="D7" s="62"/>
      <c r="E7" s="62"/>
      <c r="F7" s="62"/>
      <c r="G7" s="62"/>
      <c r="H7" s="62"/>
      <c r="I7" s="62" t="s">
        <v>46</v>
      </c>
      <c r="J7" s="62" t="s">
        <v>58</v>
      </c>
      <c r="K7" s="62" t="s">
        <v>28</v>
      </c>
      <c r="L7" s="63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51" t="s">
        <v>14</v>
      </c>
      <c r="S7" s="51" t="s">
        <v>38</v>
      </c>
      <c r="T7" s="56" t="s">
        <v>18</v>
      </c>
      <c r="U7" s="57" t="s">
        <v>123</v>
      </c>
      <c r="V7" s="62" t="s">
        <v>51</v>
      </c>
      <c r="W7" s="62"/>
      <c r="X7" s="62" t="s">
        <v>43</v>
      </c>
      <c r="Y7" s="62" t="s">
        <v>4</v>
      </c>
      <c r="Z7" s="59"/>
    </row>
    <row r="8" spans="1:32" s="53" customFormat="1" ht="35.25" customHeight="1" x14ac:dyDescent="0.3">
      <c r="A8" s="64"/>
      <c r="B8" s="136"/>
      <c r="C8" s="136"/>
      <c r="D8" s="135" t="s">
        <v>67</v>
      </c>
      <c r="E8" s="134" t="s">
        <v>293</v>
      </c>
      <c r="F8" s="136" t="s">
        <v>60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136"/>
      <c r="W8" s="136"/>
      <c r="X8" s="136"/>
      <c r="Y8" s="136"/>
      <c r="Z8" s="65"/>
    </row>
    <row r="9" spans="1:32" s="96" customFormat="1" ht="154.5" customHeight="1" x14ac:dyDescent="0.35">
      <c r="A9" s="113" t="s">
        <v>84</v>
      </c>
      <c r="B9" s="151" t="s">
        <v>170</v>
      </c>
      <c r="C9" s="152" t="s">
        <v>113</v>
      </c>
      <c r="D9" s="216" t="s">
        <v>168</v>
      </c>
      <c r="E9" s="221">
        <v>43512</v>
      </c>
      <c r="F9" s="154" t="s">
        <v>294</v>
      </c>
      <c r="G9" s="155">
        <v>15</v>
      </c>
      <c r="H9" s="156">
        <f t="shared" ref="H9:H11" si="0">I9/G9</f>
        <v>757.26666666666665</v>
      </c>
      <c r="I9" s="157">
        <v>11359</v>
      </c>
      <c r="J9" s="158">
        <v>0</v>
      </c>
      <c r="K9" s="159">
        <f>SUM(I9:J9)</f>
        <v>11359</v>
      </c>
      <c r="L9" s="160">
        <f>IF(I9/15&lt;=SMG,0,J9/2)</f>
        <v>0</v>
      </c>
      <c r="M9" s="160">
        <f t="shared" ref="M9:M10" si="1">I9+L9</f>
        <v>11359</v>
      </c>
      <c r="N9" s="160">
        <f t="shared" ref="N9" si="2">VLOOKUP(M9,Tarifa1,1)</f>
        <v>7641.91</v>
      </c>
      <c r="O9" s="160">
        <f t="shared" ref="O9:O10" si="3">M9-N9</f>
        <v>3717.09</v>
      </c>
      <c r="P9" s="161">
        <f t="shared" ref="P9" si="4">VLOOKUP(M9,Tarifa1,3)</f>
        <v>0.21360000000000001</v>
      </c>
      <c r="Q9" s="160">
        <f t="shared" ref="Q9:Q10" si="5">O9*P9</f>
        <v>793.97042400000009</v>
      </c>
      <c r="R9" s="162">
        <f t="shared" ref="R9" si="6">VLOOKUP(M9,Tarifa1,2)</f>
        <v>809.25</v>
      </c>
      <c r="S9" s="160">
        <f t="shared" ref="S9:S10" si="7">Q9+R9</f>
        <v>1603.2204240000001</v>
      </c>
      <c r="T9" s="160">
        <f t="shared" ref="T9" si="8">VLOOKUP(M9,Credito1,2)</f>
        <v>0</v>
      </c>
      <c r="U9" s="160">
        <f t="shared" ref="U9:U10" si="9">ROUND(S9-T9,2)</f>
        <v>1603.22</v>
      </c>
      <c r="V9" s="159">
        <f t="shared" ref="V9:V10" si="10">-IF(U9&gt;0,0,U9)</f>
        <v>0</v>
      </c>
      <c r="W9" s="159">
        <f t="shared" ref="W9" si="11">IF(I9/15&lt;=SMG,0,IF(U9&lt;0,0,U9))</f>
        <v>1603.22</v>
      </c>
      <c r="X9" s="159">
        <f t="shared" ref="X9:X16" si="12">SUM(W9:W9)</f>
        <v>1603.22</v>
      </c>
      <c r="Y9" s="159">
        <f>K9+V9-X9</f>
        <v>9755.7800000000007</v>
      </c>
      <c r="Z9" s="114"/>
      <c r="AA9" s="98"/>
      <c r="AF9" s="99"/>
    </row>
    <row r="10" spans="1:32" s="96" customFormat="1" ht="154.5" customHeight="1" x14ac:dyDescent="0.35">
      <c r="A10" s="113"/>
      <c r="B10" s="151" t="s">
        <v>319</v>
      </c>
      <c r="C10" s="152" t="s">
        <v>113</v>
      </c>
      <c r="D10" s="216" t="s">
        <v>330</v>
      </c>
      <c r="E10" s="221">
        <v>45139</v>
      </c>
      <c r="F10" s="154" t="s">
        <v>331</v>
      </c>
      <c r="G10" s="155"/>
      <c r="H10" s="156"/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si="1"/>
        <v>4377.7299999999996</v>
      </c>
      <c r="N10" s="160">
        <f>VLOOKUP(M10,Tarifa1,1)</f>
        <v>3124.36</v>
      </c>
      <c r="O10" s="160">
        <f t="shared" si="3"/>
        <v>1253.3699999999994</v>
      </c>
      <c r="P10" s="161">
        <f>VLOOKUP(M10,Tarifa1,3)</f>
        <v>0.10879999999999999</v>
      </c>
      <c r="Q10" s="160">
        <f t="shared" si="5"/>
        <v>136.36665599999992</v>
      </c>
      <c r="R10" s="162">
        <f>VLOOKUP(M10,Tarifa1,2)</f>
        <v>183.45</v>
      </c>
      <c r="S10" s="160">
        <f t="shared" si="7"/>
        <v>319.81665599999991</v>
      </c>
      <c r="T10" s="160">
        <f>VLOOKUP(M10,Credito1,2)</f>
        <v>0</v>
      </c>
      <c r="U10" s="160">
        <f t="shared" si="9"/>
        <v>319.82</v>
      </c>
      <c r="V10" s="159">
        <f t="shared" si="10"/>
        <v>0</v>
      </c>
      <c r="W10" s="159">
        <f>IF(I10/15&lt;=SMG,0,IF(U10&lt;0,0,U10))</f>
        <v>319.82</v>
      </c>
      <c r="X10" s="159">
        <f t="shared" si="12"/>
        <v>319.82</v>
      </c>
      <c r="Y10" s="159">
        <f>K10+V10-X10</f>
        <v>4057.9099999999994</v>
      </c>
      <c r="Z10" s="114"/>
      <c r="AA10" s="98"/>
      <c r="AF10" s="99"/>
    </row>
    <row r="11" spans="1:32" s="96" customFormat="1" ht="154.5" customHeight="1" x14ac:dyDescent="0.35">
      <c r="A11" s="113"/>
      <c r="B11" s="152" t="s">
        <v>189</v>
      </c>
      <c r="C11" s="152" t="s">
        <v>113</v>
      </c>
      <c r="D11" s="216" t="s">
        <v>190</v>
      </c>
      <c r="E11" s="221">
        <v>43983</v>
      </c>
      <c r="F11" s="154" t="s">
        <v>252</v>
      </c>
      <c r="G11" s="155">
        <v>15</v>
      </c>
      <c r="H11" s="156">
        <f t="shared" si="0"/>
        <v>757.26666666666665</v>
      </c>
      <c r="I11" s="157">
        <v>11359</v>
      </c>
      <c r="J11" s="158">
        <v>0</v>
      </c>
      <c r="K11" s="159">
        <f>SUM(I11:J11)</f>
        <v>11359</v>
      </c>
      <c r="L11" s="160">
        <f>IF(I11/15&lt;=SMG,0,J11/2)</f>
        <v>0</v>
      </c>
      <c r="M11" s="160">
        <f t="shared" ref="M11:M12" si="13">I11+L11</f>
        <v>11359</v>
      </c>
      <c r="N11" s="160">
        <f t="shared" ref="N11:N12" si="14">VLOOKUP(M11,Tarifa1,1)</f>
        <v>7641.91</v>
      </c>
      <c r="O11" s="160">
        <f t="shared" ref="O11:O12" si="15">M11-N11</f>
        <v>3717.09</v>
      </c>
      <c r="P11" s="161">
        <f t="shared" ref="P11:P12" si="16">VLOOKUP(M11,Tarifa1,3)</f>
        <v>0.21360000000000001</v>
      </c>
      <c r="Q11" s="160">
        <f t="shared" ref="Q11:Q12" si="17">O11*P11</f>
        <v>793.97042400000009</v>
      </c>
      <c r="R11" s="162">
        <f t="shared" ref="R11:R12" si="18">VLOOKUP(M11,Tarifa1,2)</f>
        <v>809.25</v>
      </c>
      <c r="S11" s="160">
        <f t="shared" ref="S11:S12" si="19">Q11+R11</f>
        <v>1603.2204240000001</v>
      </c>
      <c r="T11" s="160">
        <f t="shared" ref="T11:T12" si="20">VLOOKUP(M11,Credito1,2)</f>
        <v>0</v>
      </c>
      <c r="U11" s="160">
        <f t="shared" ref="U11:U12" si="21">ROUND(S11-T11,2)</f>
        <v>1603.22</v>
      </c>
      <c r="V11" s="159">
        <f t="shared" ref="V11:V12" si="22">-IF(U11&gt;0,0,U11)</f>
        <v>0</v>
      </c>
      <c r="W11" s="159">
        <f t="shared" ref="W11:W12" si="23">IF(I11/15&lt;=SMG,0,IF(U11&lt;0,0,U11))</f>
        <v>1603.22</v>
      </c>
      <c r="X11" s="159">
        <f t="shared" si="12"/>
        <v>1603.22</v>
      </c>
      <c r="Y11" s="159">
        <f>K11+V11-X11</f>
        <v>9755.7800000000007</v>
      </c>
      <c r="Z11" s="114"/>
      <c r="AA11" s="98"/>
      <c r="AF11" s="99"/>
    </row>
    <row r="12" spans="1:32" s="96" customFormat="1" ht="154.5" customHeight="1" x14ac:dyDescent="0.35">
      <c r="A12" s="113"/>
      <c r="B12" s="151" t="s">
        <v>275</v>
      </c>
      <c r="C12" s="151" t="s">
        <v>113</v>
      </c>
      <c r="D12" s="218" t="s">
        <v>276</v>
      </c>
      <c r="E12" s="229">
        <v>44866</v>
      </c>
      <c r="F12" s="154" t="s">
        <v>66</v>
      </c>
      <c r="G12" s="155"/>
      <c r="H12" s="156"/>
      <c r="I12" s="157">
        <v>6253</v>
      </c>
      <c r="J12" s="158">
        <v>0</v>
      </c>
      <c r="K12" s="157">
        <f>I12</f>
        <v>6253</v>
      </c>
      <c r="L12" s="160">
        <f t="shared" ref="L12" si="24">IF(I12/15&lt;=SMG,0,J12/2)</f>
        <v>0</v>
      </c>
      <c r="M12" s="160">
        <f t="shared" si="13"/>
        <v>6253</v>
      </c>
      <c r="N12" s="160">
        <f t="shared" si="14"/>
        <v>5490.76</v>
      </c>
      <c r="O12" s="160">
        <f t="shared" si="15"/>
        <v>762.23999999999978</v>
      </c>
      <c r="P12" s="161">
        <f t="shared" si="16"/>
        <v>0.16</v>
      </c>
      <c r="Q12" s="160">
        <f t="shared" si="17"/>
        <v>121.95839999999997</v>
      </c>
      <c r="R12" s="162">
        <f t="shared" si="18"/>
        <v>441</v>
      </c>
      <c r="S12" s="160">
        <f t="shared" si="19"/>
        <v>562.95839999999998</v>
      </c>
      <c r="T12" s="160">
        <f t="shared" si="20"/>
        <v>0</v>
      </c>
      <c r="U12" s="160">
        <f t="shared" si="21"/>
        <v>562.96</v>
      </c>
      <c r="V12" s="159">
        <f t="shared" si="22"/>
        <v>0</v>
      </c>
      <c r="W12" s="159">
        <f t="shared" si="23"/>
        <v>562.96</v>
      </c>
      <c r="X12" s="159">
        <f t="shared" si="12"/>
        <v>562.96</v>
      </c>
      <c r="Y12" s="159">
        <f>K12+V12-X12+J12</f>
        <v>5690.04</v>
      </c>
      <c r="Z12" s="114"/>
      <c r="AF12" s="99"/>
    </row>
    <row r="13" spans="1:32" s="96" customFormat="1" ht="154.5" customHeight="1" x14ac:dyDescent="0.35">
      <c r="A13" s="113"/>
      <c r="B13" s="151" t="s">
        <v>300</v>
      </c>
      <c r="C13" s="151" t="s">
        <v>113</v>
      </c>
      <c r="D13" s="218" t="s">
        <v>299</v>
      </c>
      <c r="E13" s="227">
        <v>45042</v>
      </c>
      <c r="F13" s="154" t="s">
        <v>66</v>
      </c>
      <c r="G13" s="155"/>
      <c r="H13" s="156"/>
      <c r="I13" s="157">
        <v>6253</v>
      </c>
      <c r="J13" s="158">
        <v>0</v>
      </c>
      <c r="K13" s="157">
        <f>I13</f>
        <v>6253</v>
      </c>
      <c r="L13" s="160">
        <f t="shared" ref="L13:L16" si="25">IF(I13/15&lt;=SMG,0,J13/2)</f>
        <v>0</v>
      </c>
      <c r="M13" s="160">
        <f t="shared" ref="M13:M16" si="26">I13+L13</f>
        <v>6253</v>
      </c>
      <c r="N13" s="160">
        <f t="shared" ref="N13:N16" si="27">VLOOKUP(M13,Tarifa1,1)</f>
        <v>5490.76</v>
      </c>
      <c r="O13" s="160">
        <f t="shared" ref="O13:O16" si="28">M13-N13</f>
        <v>762.23999999999978</v>
      </c>
      <c r="P13" s="161">
        <f t="shared" ref="P13:P16" si="29">VLOOKUP(M13,Tarifa1,3)</f>
        <v>0.16</v>
      </c>
      <c r="Q13" s="160">
        <f t="shared" ref="Q13:Q16" si="30">O13*P13</f>
        <v>121.95839999999997</v>
      </c>
      <c r="R13" s="162">
        <f t="shared" ref="R13:R16" si="31">VLOOKUP(M13,Tarifa1,2)</f>
        <v>441</v>
      </c>
      <c r="S13" s="160">
        <f t="shared" ref="S13:S16" si="32">Q13+R13</f>
        <v>562.95839999999998</v>
      </c>
      <c r="T13" s="160">
        <f t="shared" ref="T13:T16" si="33">VLOOKUP(M13,Credito1,2)</f>
        <v>0</v>
      </c>
      <c r="U13" s="160">
        <f t="shared" ref="U13:U16" si="34">ROUND(S13-T13,2)</f>
        <v>562.96</v>
      </c>
      <c r="V13" s="159">
        <f t="shared" ref="V13:V16" si="35">-IF(U13&gt;0,0,U13)</f>
        <v>0</v>
      </c>
      <c r="W13" s="159">
        <f t="shared" ref="W13:W16" si="36">IF(I13/15&lt;=SMG,0,IF(U13&lt;0,0,U13))</f>
        <v>562.96</v>
      </c>
      <c r="X13" s="159">
        <f t="shared" si="12"/>
        <v>562.96</v>
      </c>
      <c r="Y13" s="159">
        <f>K13+V13-X13+J13</f>
        <v>5690.04</v>
      </c>
      <c r="Z13" s="114"/>
      <c r="AF13" s="99"/>
    </row>
    <row r="14" spans="1:32" s="96" customFormat="1" ht="154.5" customHeight="1" x14ac:dyDescent="0.35">
      <c r="A14" s="181"/>
      <c r="B14" s="151" t="s">
        <v>305</v>
      </c>
      <c r="C14" s="151" t="s">
        <v>113</v>
      </c>
      <c r="D14" s="218" t="s">
        <v>306</v>
      </c>
      <c r="E14" s="227">
        <v>45078</v>
      </c>
      <c r="F14" s="154" t="s">
        <v>307</v>
      </c>
      <c r="G14" s="155"/>
      <c r="H14" s="156"/>
      <c r="I14" s="157">
        <v>9126.32</v>
      </c>
      <c r="J14" s="158">
        <v>0</v>
      </c>
      <c r="K14" s="159">
        <f t="shared" ref="K14" si="37">SUM(I14:J14)</f>
        <v>9126.32</v>
      </c>
      <c r="L14" s="160">
        <f t="shared" si="25"/>
        <v>0</v>
      </c>
      <c r="M14" s="160">
        <f t="shared" si="26"/>
        <v>9126.32</v>
      </c>
      <c r="N14" s="160">
        <f t="shared" si="27"/>
        <v>7641.91</v>
      </c>
      <c r="O14" s="160">
        <f t="shared" si="28"/>
        <v>1484.4099999999999</v>
      </c>
      <c r="P14" s="161">
        <f t="shared" si="29"/>
        <v>0.21360000000000001</v>
      </c>
      <c r="Q14" s="160">
        <f t="shared" si="30"/>
        <v>317.069976</v>
      </c>
      <c r="R14" s="162">
        <f t="shared" si="31"/>
        <v>809.25</v>
      </c>
      <c r="S14" s="160">
        <f t="shared" si="32"/>
        <v>1126.319976</v>
      </c>
      <c r="T14" s="160">
        <f t="shared" si="33"/>
        <v>0</v>
      </c>
      <c r="U14" s="160">
        <f t="shared" si="34"/>
        <v>1126.32</v>
      </c>
      <c r="V14" s="159">
        <f t="shared" si="35"/>
        <v>0</v>
      </c>
      <c r="W14" s="159">
        <f t="shared" si="36"/>
        <v>1126.32</v>
      </c>
      <c r="X14" s="159">
        <f t="shared" si="12"/>
        <v>1126.32</v>
      </c>
      <c r="Y14" s="159">
        <f>K14+V14-X14</f>
        <v>8000</v>
      </c>
      <c r="Z14" s="114"/>
      <c r="AF14" s="99"/>
    </row>
    <row r="15" spans="1:32" s="96" customFormat="1" ht="154.5" customHeight="1" x14ac:dyDescent="0.35">
      <c r="A15" s="181"/>
      <c r="B15" s="152" t="s">
        <v>185</v>
      </c>
      <c r="C15" s="152" t="s">
        <v>113</v>
      </c>
      <c r="D15" s="214" t="s">
        <v>186</v>
      </c>
      <c r="E15" s="221">
        <v>43877</v>
      </c>
      <c r="F15" s="154" t="s">
        <v>160</v>
      </c>
      <c r="G15" s="155">
        <v>15</v>
      </c>
      <c r="H15" s="156"/>
      <c r="I15" s="157">
        <v>6843</v>
      </c>
      <c r="J15" s="158">
        <v>0</v>
      </c>
      <c r="K15" s="159">
        <f>SUM(I15:J15)</f>
        <v>6843</v>
      </c>
      <c r="L15" s="160">
        <f t="shared" si="25"/>
        <v>0</v>
      </c>
      <c r="M15" s="160">
        <f t="shared" si="26"/>
        <v>6843</v>
      </c>
      <c r="N15" s="160">
        <f t="shared" si="27"/>
        <v>6382.81</v>
      </c>
      <c r="O15" s="160">
        <f t="shared" si="28"/>
        <v>460.1899999999996</v>
      </c>
      <c r="P15" s="161">
        <f t="shared" si="29"/>
        <v>0.1792</v>
      </c>
      <c r="Q15" s="160">
        <f t="shared" si="30"/>
        <v>82.46604799999993</v>
      </c>
      <c r="R15" s="162">
        <f t="shared" si="31"/>
        <v>583.65</v>
      </c>
      <c r="S15" s="160">
        <f t="shared" si="32"/>
        <v>666.11604799999986</v>
      </c>
      <c r="T15" s="160">
        <f t="shared" si="33"/>
        <v>0</v>
      </c>
      <c r="U15" s="160">
        <f t="shared" si="34"/>
        <v>666.12</v>
      </c>
      <c r="V15" s="159">
        <f t="shared" si="35"/>
        <v>0</v>
      </c>
      <c r="W15" s="159">
        <f t="shared" si="36"/>
        <v>666.12</v>
      </c>
      <c r="X15" s="159">
        <f t="shared" si="12"/>
        <v>666.12</v>
      </c>
      <c r="Y15" s="159">
        <f>K15+V15-X15</f>
        <v>6176.88</v>
      </c>
      <c r="Z15" s="276"/>
      <c r="AF15" s="99"/>
    </row>
    <row r="16" spans="1:32" s="96" customFormat="1" ht="154.5" customHeight="1" x14ac:dyDescent="0.35">
      <c r="A16" s="181"/>
      <c r="B16" s="152" t="s">
        <v>169</v>
      </c>
      <c r="C16" s="152" t="s">
        <v>113</v>
      </c>
      <c r="D16" s="214" t="s">
        <v>162</v>
      </c>
      <c r="E16" s="220">
        <v>43512</v>
      </c>
      <c r="F16" s="154" t="s">
        <v>160</v>
      </c>
      <c r="G16" s="155">
        <v>15</v>
      </c>
      <c r="H16" s="156"/>
      <c r="I16" s="157">
        <v>8552</v>
      </c>
      <c r="J16" s="158">
        <v>0</v>
      </c>
      <c r="K16" s="159">
        <f t="shared" ref="K16" si="38">SUM(I16:J16)</f>
        <v>8552</v>
      </c>
      <c r="L16" s="160">
        <f t="shared" si="25"/>
        <v>0</v>
      </c>
      <c r="M16" s="160">
        <f t="shared" si="26"/>
        <v>8552</v>
      </c>
      <c r="N16" s="160">
        <f t="shared" si="27"/>
        <v>7641.91</v>
      </c>
      <c r="O16" s="160">
        <f t="shared" si="28"/>
        <v>910.09000000000015</v>
      </c>
      <c r="P16" s="161">
        <f t="shared" si="29"/>
        <v>0.21360000000000001</v>
      </c>
      <c r="Q16" s="160">
        <f t="shared" si="30"/>
        <v>194.39522400000004</v>
      </c>
      <c r="R16" s="162">
        <f t="shared" si="31"/>
        <v>809.25</v>
      </c>
      <c r="S16" s="160">
        <f t="shared" si="32"/>
        <v>1003.6452240000001</v>
      </c>
      <c r="T16" s="160">
        <f t="shared" si="33"/>
        <v>0</v>
      </c>
      <c r="U16" s="160">
        <f t="shared" si="34"/>
        <v>1003.65</v>
      </c>
      <c r="V16" s="159">
        <f t="shared" si="35"/>
        <v>0</v>
      </c>
      <c r="W16" s="159">
        <f t="shared" si="36"/>
        <v>1003.65</v>
      </c>
      <c r="X16" s="159">
        <f t="shared" si="12"/>
        <v>1003.65</v>
      </c>
      <c r="Y16" s="159">
        <f>K16+V16-X16</f>
        <v>7548.35</v>
      </c>
      <c r="Z16" s="114"/>
      <c r="AF16" s="99"/>
    </row>
    <row r="17" spans="1:32" s="96" customFormat="1" ht="17.25" customHeight="1" x14ac:dyDescent="0.3">
      <c r="A17" s="181"/>
      <c r="B17" s="193"/>
      <c r="C17" s="193"/>
      <c r="D17" s="198"/>
      <c r="E17" s="199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115"/>
      <c r="AF17" s="99"/>
    </row>
    <row r="18" spans="1:32" s="96" customFormat="1" ht="17.25" customHeight="1" x14ac:dyDescent="0.3">
      <c r="A18" s="181"/>
      <c r="B18" s="193"/>
      <c r="C18" s="193"/>
      <c r="D18" s="198"/>
      <c r="E18" s="199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115"/>
      <c r="AF18" s="99"/>
    </row>
    <row r="19" spans="1:32" s="96" customFormat="1" ht="29.25" customHeight="1" x14ac:dyDescent="0.3">
      <c r="A19" s="181"/>
      <c r="B19" s="289" t="s">
        <v>77</v>
      </c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F19" s="99"/>
    </row>
    <row r="20" spans="1:32" s="96" customFormat="1" ht="28.5" customHeight="1" x14ac:dyDescent="0.3">
      <c r="A20" s="181"/>
      <c r="B20" s="289" t="s">
        <v>63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F20" s="99"/>
    </row>
    <row r="21" spans="1:32" s="96" customFormat="1" ht="28.5" customHeight="1" x14ac:dyDescent="0.3">
      <c r="A21" s="181"/>
      <c r="B21" s="290" t="s">
        <v>344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F21" s="99"/>
    </row>
    <row r="22" spans="1:32" s="96" customFormat="1" ht="28.5" customHeight="1" x14ac:dyDescent="0.3">
      <c r="A22" s="181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F22" s="99"/>
    </row>
    <row r="23" spans="1:32" s="96" customFormat="1" ht="134.25" customHeight="1" x14ac:dyDescent="0.35">
      <c r="A23" s="181"/>
      <c r="B23" s="152" t="s">
        <v>175</v>
      </c>
      <c r="C23" s="152" t="s">
        <v>113</v>
      </c>
      <c r="D23" s="214" t="s">
        <v>176</v>
      </c>
      <c r="E23" s="220">
        <v>43632</v>
      </c>
      <c r="F23" s="154" t="s">
        <v>160</v>
      </c>
      <c r="G23" s="155">
        <v>15</v>
      </c>
      <c r="H23" s="156"/>
      <c r="I23" s="157">
        <v>8552</v>
      </c>
      <c r="J23" s="158">
        <v>0</v>
      </c>
      <c r="K23" s="159">
        <f t="shared" ref="K23" si="39">SUM(I23:J23)</f>
        <v>8552</v>
      </c>
      <c r="L23" s="160">
        <f t="shared" ref="L23" si="40">IF(I23/15&lt;=SMG,0,J23/2)</f>
        <v>0</v>
      </c>
      <c r="M23" s="160">
        <f t="shared" ref="M23" si="41">I23+L23</f>
        <v>8552</v>
      </c>
      <c r="N23" s="160">
        <f t="shared" ref="N23" si="42">VLOOKUP(M23,Tarifa1,1)</f>
        <v>7641.91</v>
      </c>
      <c r="O23" s="160">
        <f t="shared" ref="O23" si="43">M23-N23</f>
        <v>910.09000000000015</v>
      </c>
      <c r="P23" s="161">
        <f t="shared" ref="P23" si="44">VLOOKUP(M23,Tarifa1,3)</f>
        <v>0.21360000000000001</v>
      </c>
      <c r="Q23" s="160">
        <f t="shared" ref="Q23" si="45">O23*P23</f>
        <v>194.39522400000004</v>
      </c>
      <c r="R23" s="162">
        <f t="shared" ref="R23" si="46">VLOOKUP(M23,Tarifa1,2)</f>
        <v>809.25</v>
      </c>
      <c r="S23" s="160">
        <f t="shared" ref="S23" si="47">Q23+R23</f>
        <v>1003.6452240000001</v>
      </c>
      <c r="T23" s="160">
        <f t="shared" ref="T23" si="48">VLOOKUP(M23,Credito1,2)</f>
        <v>0</v>
      </c>
      <c r="U23" s="160">
        <f t="shared" ref="U23" si="49">ROUND(S23-T23,2)</f>
        <v>1003.65</v>
      </c>
      <c r="V23" s="159">
        <f t="shared" ref="V23" si="50">-IF(U23&gt;0,0,U23)</f>
        <v>0</v>
      </c>
      <c r="W23" s="159">
        <f t="shared" ref="W23" si="51">IF(I23/15&lt;=SMG,0,IF(U23&lt;0,0,U23))</f>
        <v>1003.65</v>
      </c>
      <c r="X23" s="159">
        <f t="shared" ref="X23:X28" si="52">SUM(W23:W23)</f>
        <v>1003.65</v>
      </c>
      <c r="Y23" s="159">
        <f>K23+V23-X23</f>
        <v>7548.35</v>
      </c>
      <c r="Z23" s="114"/>
      <c r="AA23" s="197"/>
      <c r="AF23" s="99"/>
    </row>
    <row r="24" spans="1:32" s="96" customFormat="1" ht="134.25" customHeight="1" x14ac:dyDescent="0.35">
      <c r="A24" s="113"/>
      <c r="B24" s="152" t="s">
        <v>255</v>
      </c>
      <c r="C24" s="152" t="s">
        <v>113</v>
      </c>
      <c r="D24" s="214" t="s">
        <v>256</v>
      </c>
      <c r="E24" s="220">
        <v>44728</v>
      </c>
      <c r="F24" s="154" t="s">
        <v>160</v>
      </c>
      <c r="G24" s="155"/>
      <c r="H24" s="156"/>
      <c r="I24" s="157">
        <v>8552</v>
      </c>
      <c r="J24" s="158">
        <v>0</v>
      </c>
      <c r="K24" s="159">
        <f>SUM(I24:J24)</f>
        <v>8552</v>
      </c>
      <c r="L24" s="160">
        <f t="shared" ref="L24:L27" si="53">IF(I24/15&lt;=SMG,0,J24/2)</f>
        <v>0</v>
      </c>
      <c r="M24" s="160">
        <f t="shared" ref="M24:M26" si="54">I24+L24</f>
        <v>8552</v>
      </c>
      <c r="N24" s="160">
        <f t="shared" ref="N24:N26" si="55">VLOOKUP(M24,Tarifa1,1)</f>
        <v>7641.91</v>
      </c>
      <c r="O24" s="160">
        <f t="shared" ref="O24:O26" si="56">M24-N24</f>
        <v>910.09000000000015</v>
      </c>
      <c r="P24" s="161">
        <f t="shared" ref="P24:P26" si="57">VLOOKUP(M24,Tarifa1,3)</f>
        <v>0.21360000000000001</v>
      </c>
      <c r="Q24" s="160">
        <f t="shared" ref="Q24:Q26" si="58">O24*P24</f>
        <v>194.39522400000004</v>
      </c>
      <c r="R24" s="162">
        <f t="shared" ref="R24:R26" si="59">VLOOKUP(M24,Tarifa1,2)</f>
        <v>809.25</v>
      </c>
      <c r="S24" s="160">
        <f t="shared" ref="S24:S26" si="60">Q24+R24</f>
        <v>1003.6452240000001</v>
      </c>
      <c r="T24" s="160">
        <f t="shared" ref="T24:T26" si="61">VLOOKUP(M24,Credito1,2)</f>
        <v>0</v>
      </c>
      <c r="U24" s="160">
        <f t="shared" ref="U24:U26" si="62">ROUND(S24-T24,2)</f>
        <v>1003.65</v>
      </c>
      <c r="V24" s="159">
        <f t="shared" ref="V24:V26" si="63">-IF(U24&gt;0,0,U24)</f>
        <v>0</v>
      </c>
      <c r="W24" s="159">
        <f t="shared" ref="W24:W26" si="64">IF(I24/15&lt;=SMG,0,IF(U24&lt;0,0,U24))</f>
        <v>1003.65</v>
      </c>
      <c r="X24" s="159">
        <f t="shared" si="52"/>
        <v>1003.65</v>
      </c>
      <c r="Y24" s="159">
        <f>K24+V24-X24</f>
        <v>7548.35</v>
      </c>
      <c r="Z24" s="114"/>
      <c r="AF24" s="99"/>
    </row>
    <row r="25" spans="1:32" s="96" customFormat="1" ht="134.25" customHeight="1" x14ac:dyDescent="0.35">
      <c r="A25" s="113"/>
      <c r="B25" s="152" t="s">
        <v>298</v>
      </c>
      <c r="C25" s="152" t="s">
        <v>113</v>
      </c>
      <c r="D25" s="216" t="s">
        <v>301</v>
      </c>
      <c r="E25" s="221">
        <v>45033</v>
      </c>
      <c r="F25" s="154" t="s">
        <v>160</v>
      </c>
      <c r="G25" s="155"/>
      <c r="H25" s="156"/>
      <c r="I25" s="157">
        <v>6843</v>
      </c>
      <c r="J25" s="158">
        <v>0</v>
      </c>
      <c r="K25" s="159">
        <f>SUM(I25:J25)</f>
        <v>6843</v>
      </c>
      <c r="L25" s="160">
        <f t="shared" ref="L25" si="65">IF(I25/15&lt;=SMG,0,J25/2)</f>
        <v>0</v>
      </c>
      <c r="M25" s="160">
        <f t="shared" ref="M25" si="66">I25+L25</f>
        <v>6843</v>
      </c>
      <c r="N25" s="160">
        <f t="shared" ref="N25" si="67">VLOOKUP(M25,Tarifa1,1)</f>
        <v>6382.81</v>
      </c>
      <c r="O25" s="160">
        <f t="shared" ref="O25" si="68">M25-N25</f>
        <v>460.1899999999996</v>
      </c>
      <c r="P25" s="161">
        <f t="shared" ref="P25" si="69">VLOOKUP(M25,Tarifa1,3)</f>
        <v>0.1792</v>
      </c>
      <c r="Q25" s="160">
        <f t="shared" ref="Q25" si="70">O25*P25</f>
        <v>82.46604799999993</v>
      </c>
      <c r="R25" s="162">
        <f t="shared" ref="R25" si="71">VLOOKUP(M25,Tarifa1,2)</f>
        <v>583.65</v>
      </c>
      <c r="S25" s="160">
        <f t="shared" ref="S25" si="72">Q25+R25</f>
        <v>666.11604799999986</v>
      </c>
      <c r="T25" s="160">
        <f t="shared" ref="T25" si="73">VLOOKUP(M25,Credito1,2)</f>
        <v>0</v>
      </c>
      <c r="U25" s="160">
        <f t="shared" ref="U25" si="74">ROUND(S25-T25,2)</f>
        <v>666.12</v>
      </c>
      <c r="V25" s="159">
        <f t="shared" ref="V25" si="75">-IF(U25&gt;0,0,U25)</f>
        <v>0</v>
      </c>
      <c r="W25" s="159">
        <f t="shared" ref="W25" si="76">IF(I25/15&lt;=SMG,0,IF(U25&lt;0,0,U25))</f>
        <v>666.12</v>
      </c>
      <c r="X25" s="159">
        <f t="shared" si="52"/>
        <v>666.12</v>
      </c>
      <c r="Y25" s="159">
        <f>K25+V25-X25</f>
        <v>6176.88</v>
      </c>
      <c r="Z25" s="114"/>
      <c r="AF25" s="99"/>
    </row>
    <row r="26" spans="1:32" s="96" customFormat="1" ht="134.25" customHeight="1" x14ac:dyDescent="0.35">
      <c r="A26" s="113"/>
      <c r="B26" s="152" t="s">
        <v>259</v>
      </c>
      <c r="C26" s="152" t="s">
        <v>113</v>
      </c>
      <c r="D26" s="214" t="s">
        <v>257</v>
      </c>
      <c r="E26" s="221">
        <v>44728</v>
      </c>
      <c r="F26" s="154" t="s">
        <v>258</v>
      </c>
      <c r="G26" s="155"/>
      <c r="H26" s="156"/>
      <c r="I26" s="157">
        <v>6253</v>
      </c>
      <c r="J26" s="158">
        <v>0</v>
      </c>
      <c r="K26" s="157">
        <f>I26</f>
        <v>6253</v>
      </c>
      <c r="L26" s="160">
        <f t="shared" si="53"/>
        <v>0</v>
      </c>
      <c r="M26" s="160">
        <f t="shared" si="54"/>
        <v>6253</v>
      </c>
      <c r="N26" s="160">
        <f t="shared" si="55"/>
        <v>5490.76</v>
      </c>
      <c r="O26" s="160">
        <f t="shared" si="56"/>
        <v>762.23999999999978</v>
      </c>
      <c r="P26" s="161">
        <f t="shared" si="57"/>
        <v>0.16</v>
      </c>
      <c r="Q26" s="160">
        <f t="shared" si="58"/>
        <v>121.95839999999997</v>
      </c>
      <c r="R26" s="162">
        <f t="shared" si="59"/>
        <v>441</v>
      </c>
      <c r="S26" s="160">
        <f t="shared" si="60"/>
        <v>562.95839999999998</v>
      </c>
      <c r="T26" s="160">
        <f t="shared" si="61"/>
        <v>0</v>
      </c>
      <c r="U26" s="160">
        <f t="shared" si="62"/>
        <v>562.96</v>
      </c>
      <c r="V26" s="159">
        <f t="shared" si="63"/>
        <v>0</v>
      </c>
      <c r="W26" s="159">
        <f t="shared" si="64"/>
        <v>562.96</v>
      </c>
      <c r="X26" s="159">
        <f t="shared" si="52"/>
        <v>562.96</v>
      </c>
      <c r="Y26" s="159">
        <f>K26+V26-X26+J26</f>
        <v>5690.04</v>
      </c>
      <c r="Z26" s="114"/>
      <c r="AF26" s="99"/>
    </row>
    <row r="27" spans="1:32" s="96" customFormat="1" ht="134.25" customHeight="1" x14ac:dyDescent="0.35">
      <c r="A27" s="113"/>
      <c r="B27" s="152" t="s">
        <v>171</v>
      </c>
      <c r="C27" s="152" t="s">
        <v>113</v>
      </c>
      <c r="D27" s="214" t="s">
        <v>161</v>
      </c>
      <c r="E27" s="220">
        <v>43512</v>
      </c>
      <c r="F27" s="154" t="s">
        <v>253</v>
      </c>
      <c r="G27" s="155">
        <v>15</v>
      </c>
      <c r="H27" s="156">
        <f t="shared" ref="H27" si="77">I27/G27</f>
        <v>310.2</v>
      </c>
      <c r="I27" s="157">
        <v>4653</v>
      </c>
      <c r="J27" s="158">
        <v>0</v>
      </c>
      <c r="K27" s="159">
        <f t="shared" ref="K27" si="78">SUM(I27:J27)</f>
        <v>4653</v>
      </c>
      <c r="L27" s="160">
        <f t="shared" si="53"/>
        <v>0</v>
      </c>
      <c r="M27" s="160">
        <f t="shared" ref="M27:M28" si="79">I27+L27</f>
        <v>4653</v>
      </c>
      <c r="N27" s="160">
        <f t="shared" ref="N27" si="80">VLOOKUP(M27,Tarifa1,1)</f>
        <v>3124.36</v>
      </c>
      <c r="O27" s="160">
        <f t="shared" ref="O27:O28" si="81">M27-N27</f>
        <v>1528.6399999999999</v>
      </c>
      <c r="P27" s="161">
        <f t="shared" ref="P27" si="82">VLOOKUP(M27,Tarifa1,3)</f>
        <v>0.10879999999999999</v>
      </c>
      <c r="Q27" s="160">
        <f t="shared" ref="Q27:Q28" si="83">O27*P27</f>
        <v>166.31603199999998</v>
      </c>
      <c r="R27" s="162">
        <f t="shared" ref="R27" si="84">VLOOKUP(M27,Tarifa1,2)</f>
        <v>183.45</v>
      </c>
      <c r="S27" s="160">
        <f t="shared" ref="S27:S28" si="85">Q27+R27</f>
        <v>349.766032</v>
      </c>
      <c r="T27" s="160">
        <f t="shared" ref="T27" si="86">VLOOKUP(M27,Credito1,2)</f>
        <v>0</v>
      </c>
      <c r="U27" s="160">
        <f t="shared" ref="U27:U28" si="87">ROUND(S27-T27,2)</f>
        <v>349.77</v>
      </c>
      <c r="V27" s="159">
        <f t="shared" ref="V27:V28" si="88">-IF(U27&gt;0,0,U27)</f>
        <v>0</v>
      </c>
      <c r="W27" s="159">
        <f t="shared" ref="W27" si="89">IF(I27/15&lt;=SMG,0,IF(U27&lt;0,0,U27))</f>
        <v>349.77</v>
      </c>
      <c r="X27" s="159">
        <f t="shared" si="52"/>
        <v>349.77</v>
      </c>
      <c r="Y27" s="159">
        <f>K27+V27-X27</f>
        <v>4303.2299999999996</v>
      </c>
      <c r="Z27" s="114"/>
      <c r="AF27" s="99"/>
    </row>
    <row r="28" spans="1:32" s="96" customFormat="1" ht="134.25" customHeight="1" x14ac:dyDescent="0.35">
      <c r="A28" s="113"/>
      <c r="B28" s="152" t="s">
        <v>350</v>
      </c>
      <c r="C28" s="152" t="s">
        <v>113</v>
      </c>
      <c r="D28" s="214" t="s">
        <v>349</v>
      </c>
      <c r="E28" s="220">
        <v>45188</v>
      </c>
      <c r="F28" s="154" t="s">
        <v>348</v>
      </c>
      <c r="G28" s="155"/>
      <c r="H28" s="156"/>
      <c r="I28" s="157">
        <v>3275.8</v>
      </c>
      <c r="J28" s="158">
        <v>0</v>
      </c>
      <c r="K28" s="159">
        <f>SUM(I28:J28)</f>
        <v>3275.8</v>
      </c>
      <c r="L28" s="160">
        <f>IF(I28/15&lt;=SMG,0,J28/2)</f>
        <v>0</v>
      </c>
      <c r="M28" s="160">
        <f t="shared" si="79"/>
        <v>3275.8</v>
      </c>
      <c r="N28" s="160">
        <f t="shared" ref="N28" si="90">VLOOKUP(M28,Tarifa1,1)</f>
        <v>3124.36</v>
      </c>
      <c r="O28" s="160">
        <f t="shared" si="81"/>
        <v>151.44000000000005</v>
      </c>
      <c r="P28" s="161">
        <f t="shared" ref="P28" si="91">VLOOKUP(M28,Tarifa1,3)</f>
        <v>0.10879999999999999</v>
      </c>
      <c r="Q28" s="160">
        <f t="shared" si="83"/>
        <v>16.476672000000004</v>
      </c>
      <c r="R28" s="162">
        <f t="shared" ref="R28" si="92">VLOOKUP(M28,Tarifa1,2)</f>
        <v>183.45</v>
      </c>
      <c r="S28" s="160">
        <f t="shared" si="85"/>
        <v>199.926672</v>
      </c>
      <c r="T28" s="160">
        <f t="shared" ref="T28" si="93">VLOOKUP(M28,Credito1,2)</f>
        <v>125.1</v>
      </c>
      <c r="U28" s="160">
        <f t="shared" si="87"/>
        <v>74.83</v>
      </c>
      <c r="V28" s="159">
        <f t="shared" si="88"/>
        <v>0</v>
      </c>
      <c r="W28" s="159">
        <f t="shared" ref="W28" si="94">IF(I28/15&lt;=SMG,0,IF(U28&lt;0,0,U28))</f>
        <v>74.83</v>
      </c>
      <c r="X28" s="159">
        <f t="shared" si="52"/>
        <v>74.83</v>
      </c>
      <c r="Y28" s="159">
        <f>K28+V28-X28</f>
        <v>3200.9700000000003</v>
      </c>
      <c r="Z28" s="114"/>
      <c r="AF28" s="99"/>
    </row>
    <row r="29" spans="1:32" s="53" customFormat="1" ht="39" customHeight="1" thickBot="1" x14ac:dyDescent="0.35">
      <c r="A29" s="286" t="s">
        <v>44</v>
      </c>
      <c r="B29" s="287"/>
      <c r="C29" s="287"/>
      <c r="D29" s="287"/>
      <c r="E29" s="287"/>
      <c r="F29" s="287"/>
      <c r="G29" s="287"/>
      <c r="H29" s="288"/>
      <c r="I29" s="163">
        <f t="shared" ref="I29:Y29" si="95">SUM(I9:I28)</f>
        <v>102251.84999999999</v>
      </c>
      <c r="J29" s="163">
        <f t="shared" si="95"/>
        <v>0</v>
      </c>
      <c r="K29" s="163">
        <f t="shared" si="95"/>
        <v>102251.84999999999</v>
      </c>
      <c r="L29" s="164">
        <f t="shared" si="95"/>
        <v>0</v>
      </c>
      <c r="M29" s="164">
        <f t="shared" si="95"/>
        <v>102251.84999999999</v>
      </c>
      <c r="N29" s="164">
        <f t="shared" si="95"/>
        <v>84462.44</v>
      </c>
      <c r="O29" s="164">
        <f t="shared" si="95"/>
        <v>17789.409999999996</v>
      </c>
      <c r="P29" s="164">
        <f t="shared" si="95"/>
        <v>2.4464000000000001</v>
      </c>
      <c r="Q29" s="164">
        <f t="shared" si="95"/>
        <v>3338.1631519999992</v>
      </c>
      <c r="R29" s="164">
        <f t="shared" si="95"/>
        <v>7896.15</v>
      </c>
      <c r="S29" s="164">
        <f t="shared" si="95"/>
        <v>11234.313151999999</v>
      </c>
      <c r="T29" s="164">
        <f t="shared" si="95"/>
        <v>125.1</v>
      </c>
      <c r="U29" s="164">
        <f t="shared" si="95"/>
        <v>11109.250000000002</v>
      </c>
      <c r="V29" s="163">
        <f t="shared" si="95"/>
        <v>0</v>
      </c>
      <c r="W29" s="163">
        <f t="shared" si="95"/>
        <v>11109.250000000002</v>
      </c>
      <c r="X29" s="163">
        <f t="shared" si="95"/>
        <v>11109.250000000002</v>
      </c>
      <c r="Y29" s="163">
        <f t="shared" si="95"/>
        <v>91142.599999999991</v>
      </c>
      <c r="Z29" s="115"/>
    </row>
    <row r="30" spans="1:32" s="53" customFormat="1" ht="39" customHeight="1" thickTop="1" x14ac:dyDescent="0.25">
      <c r="A30" s="109"/>
      <c r="B30" s="109"/>
      <c r="C30" s="109"/>
      <c r="D30" s="109"/>
      <c r="E30" s="109"/>
      <c r="F30" s="109"/>
      <c r="G30" s="109"/>
      <c r="H30" s="109"/>
      <c r="I30" s="110"/>
      <c r="J30" s="110"/>
      <c r="K30" s="110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0"/>
      <c r="W30" s="110"/>
      <c r="X30" s="110"/>
      <c r="Y30" s="110"/>
    </row>
    <row r="31" spans="1:32" s="53" customFormat="1" ht="11.4" x14ac:dyDescent="0.2"/>
    <row r="32" spans="1:32" s="53" customFormat="1" ht="11.4" x14ac:dyDescent="0.2"/>
    <row r="33" s="53" customFormat="1" ht="11.4" x14ac:dyDescent="0.2"/>
  </sheetData>
  <mergeCells count="11">
    <mergeCell ref="A29:H29"/>
    <mergeCell ref="C5:C7"/>
    <mergeCell ref="A1:Z1"/>
    <mergeCell ref="A2:Z2"/>
    <mergeCell ref="A3:Z3"/>
    <mergeCell ref="I5:K5"/>
    <mergeCell ref="N5:S5"/>
    <mergeCell ref="W5:X5"/>
    <mergeCell ref="B19:AA19"/>
    <mergeCell ref="B20:AA20"/>
    <mergeCell ref="B21:AA2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27:E28 D15 E24:E25 D24:D28 D16:E18 D23:E23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B1" zoomScale="69" zoomScaleNormal="69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3" customFormat="1" ht="12" x14ac:dyDescent="0.25">
      <c r="A5" s="49"/>
      <c r="B5" s="49"/>
      <c r="C5" s="49"/>
      <c r="D5" s="49"/>
      <c r="E5" s="49"/>
      <c r="F5" s="49"/>
      <c r="G5" s="50" t="s">
        <v>22</v>
      </c>
      <c r="H5" s="50" t="s">
        <v>5</v>
      </c>
      <c r="I5" s="311" t="s">
        <v>1</v>
      </c>
      <c r="J5" s="312"/>
      <c r="K5" s="313"/>
      <c r="L5" s="51" t="s">
        <v>25</v>
      </c>
      <c r="M5" s="52"/>
      <c r="N5" s="314" t="s">
        <v>8</v>
      </c>
      <c r="O5" s="315"/>
      <c r="P5" s="315"/>
      <c r="Q5" s="315"/>
      <c r="R5" s="315"/>
      <c r="S5" s="316"/>
      <c r="T5" s="51" t="s">
        <v>29</v>
      </c>
      <c r="U5" s="51" t="s">
        <v>9</v>
      </c>
      <c r="V5" s="50" t="s">
        <v>52</v>
      </c>
      <c r="W5" s="317" t="s">
        <v>2</v>
      </c>
      <c r="X5" s="318"/>
      <c r="Y5" s="50" t="s">
        <v>0</v>
      </c>
      <c r="Z5" s="49"/>
    </row>
    <row r="6" spans="1:26" s="53" customFormat="1" ht="24" x14ac:dyDescent="0.25">
      <c r="A6" s="54" t="s">
        <v>105</v>
      </c>
      <c r="B6" s="48" t="s">
        <v>100</v>
      </c>
      <c r="C6" s="48" t="s">
        <v>122</v>
      </c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88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277</v>
      </c>
      <c r="X6" s="50" t="s">
        <v>6</v>
      </c>
      <c r="Y6" s="54" t="s">
        <v>3</v>
      </c>
      <c r="Z6" s="54" t="s">
        <v>56</v>
      </c>
    </row>
    <row r="7" spans="1:26" s="53" customFormat="1" ht="12" x14ac:dyDescent="0.25">
      <c r="A7" s="54"/>
      <c r="B7" s="54"/>
      <c r="C7" s="54"/>
      <c r="D7" s="54"/>
      <c r="E7" s="54"/>
      <c r="F7" s="54"/>
      <c r="G7" s="54"/>
      <c r="H7" s="54"/>
      <c r="I7" s="54" t="s">
        <v>46</v>
      </c>
      <c r="J7" s="54" t="s">
        <v>58</v>
      </c>
      <c r="K7" s="54" t="s">
        <v>28</v>
      </c>
      <c r="L7" s="56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89" t="s">
        <v>14</v>
      </c>
      <c r="S7" s="51" t="s">
        <v>38</v>
      </c>
      <c r="T7" s="56" t="s">
        <v>18</v>
      </c>
      <c r="U7" s="57" t="s">
        <v>123</v>
      </c>
      <c r="V7" s="54" t="s">
        <v>51</v>
      </c>
      <c r="W7" s="54"/>
      <c r="X7" s="54" t="s">
        <v>43</v>
      </c>
      <c r="Y7" s="54" t="s">
        <v>4</v>
      </c>
      <c r="Z7" s="58"/>
    </row>
    <row r="8" spans="1:26" s="4" customFormat="1" ht="39.75" customHeight="1" x14ac:dyDescent="0.3">
      <c r="A8" s="101"/>
      <c r="B8" s="120"/>
      <c r="C8" s="120"/>
      <c r="D8" s="120" t="s">
        <v>68</v>
      </c>
      <c r="E8" s="139" t="s">
        <v>293</v>
      </c>
      <c r="F8" s="120" t="s">
        <v>60</v>
      </c>
      <c r="G8" s="120"/>
      <c r="H8" s="120"/>
      <c r="I8" s="121">
        <f>SUM(I9:I20)</f>
        <v>51753.78</v>
      </c>
      <c r="J8" s="121">
        <f>SUM(J9:J20)</f>
        <v>0</v>
      </c>
      <c r="K8" s="121">
        <f>SUM(K9:K20)</f>
        <v>51753.78</v>
      </c>
      <c r="L8" s="120"/>
      <c r="M8" s="120"/>
      <c r="N8" s="120"/>
      <c r="O8" s="120"/>
      <c r="P8" s="120"/>
      <c r="Q8" s="120"/>
      <c r="R8" s="122"/>
      <c r="S8" s="120"/>
      <c r="T8" s="120"/>
      <c r="U8" s="120"/>
      <c r="V8" s="121">
        <f>SUM(V9:V20)</f>
        <v>0</v>
      </c>
      <c r="W8" s="121">
        <f>SUM(W9:W20)</f>
        <v>3374.4500000000007</v>
      </c>
      <c r="X8" s="121">
        <f>SUM(X9:X20)</f>
        <v>3374.4500000000007</v>
      </c>
      <c r="Y8" s="121">
        <f>SUM(Y9:Y20)</f>
        <v>48379.329999999994</v>
      </c>
      <c r="Z8" s="102"/>
    </row>
    <row r="9" spans="1:26" s="4" customFormat="1" ht="77.25" customHeight="1" x14ac:dyDescent="0.35">
      <c r="A9" s="45"/>
      <c r="B9" s="152" t="s">
        <v>172</v>
      </c>
      <c r="C9" s="152" t="s">
        <v>113</v>
      </c>
      <c r="D9" s="216" t="s">
        <v>167</v>
      </c>
      <c r="E9" s="221">
        <v>43512</v>
      </c>
      <c r="F9" s="154" t="s">
        <v>166</v>
      </c>
      <c r="G9" s="155">
        <v>15</v>
      </c>
      <c r="H9" s="156">
        <f>I9/G9</f>
        <v>291.84866666666665</v>
      </c>
      <c r="I9" s="157">
        <v>4377.7299999999996</v>
      </c>
      <c r="J9" s="158">
        <v>0</v>
      </c>
      <c r="K9" s="159">
        <f>SUM(I9:J9)</f>
        <v>4377.7299999999996</v>
      </c>
      <c r="L9" s="160">
        <f>IF(I9/15&lt;=SMG,0,J9/2)</f>
        <v>0</v>
      </c>
      <c r="M9" s="160">
        <f t="shared" ref="M9:M10" si="0">I9+L9</f>
        <v>4377.7299999999996</v>
      </c>
      <c r="N9" s="160">
        <f>VLOOKUP(M9,Tarifa1,1)</f>
        <v>3124.36</v>
      </c>
      <c r="O9" s="160">
        <f t="shared" ref="O9:O10" si="1">M9-N9</f>
        <v>1253.3699999999994</v>
      </c>
      <c r="P9" s="161">
        <f>VLOOKUP(M9,Tarifa1,3)</f>
        <v>0.10879999999999999</v>
      </c>
      <c r="Q9" s="160">
        <f t="shared" ref="Q9:Q10" si="2">O9*P9</f>
        <v>136.36665599999992</v>
      </c>
      <c r="R9" s="162">
        <f>VLOOKUP(M9,Tarifa1,2)</f>
        <v>183.45</v>
      </c>
      <c r="S9" s="160">
        <f t="shared" ref="S9:S10" si="3">Q9+R9</f>
        <v>319.81665599999991</v>
      </c>
      <c r="T9" s="160">
        <f>VLOOKUP(M9,Credito1,2)</f>
        <v>0</v>
      </c>
      <c r="U9" s="160">
        <f t="shared" ref="U9:U10" si="4">ROUND(S9-T9,2)</f>
        <v>319.82</v>
      </c>
      <c r="V9" s="159">
        <f t="shared" ref="V9:V10" si="5">-IF(U9&gt;0,0,U9)</f>
        <v>0</v>
      </c>
      <c r="W9" s="159">
        <f>IF(I9/15&lt;=SMG,0,IF(U9&lt;0,0,U9))</f>
        <v>319.82</v>
      </c>
      <c r="X9" s="159">
        <f t="shared" ref="X9:X20" si="6">SUM(W9:W9)</f>
        <v>319.82</v>
      </c>
      <c r="Y9" s="159">
        <f t="shared" ref="Y9:Y20" si="7">K9+V9-X9</f>
        <v>4057.9099999999994</v>
      </c>
      <c r="Z9" s="92"/>
    </row>
    <row r="10" spans="1:26" s="4" customFormat="1" ht="77.25" customHeight="1" x14ac:dyDescent="0.35">
      <c r="A10" s="45"/>
      <c r="B10" s="152" t="s">
        <v>102</v>
      </c>
      <c r="C10" s="152" t="s">
        <v>113</v>
      </c>
      <c r="D10" s="216" t="s">
        <v>69</v>
      </c>
      <c r="E10" s="221">
        <v>39448</v>
      </c>
      <c r="F10" s="154" t="s">
        <v>70</v>
      </c>
      <c r="G10" s="155">
        <v>15</v>
      </c>
      <c r="H10" s="156">
        <f>I10/G10</f>
        <v>291.84866666666665</v>
      </c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si="0"/>
        <v>4377.7299999999996</v>
      </c>
      <c r="N10" s="160">
        <f>VLOOKUP(M10,Tarifa1,1)</f>
        <v>3124.36</v>
      </c>
      <c r="O10" s="160">
        <f t="shared" si="1"/>
        <v>1253.3699999999994</v>
      </c>
      <c r="P10" s="161">
        <f>VLOOKUP(M10,Tarifa1,3)</f>
        <v>0.10879999999999999</v>
      </c>
      <c r="Q10" s="160">
        <f t="shared" si="2"/>
        <v>136.36665599999992</v>
      </c>
      <c r="R10" s="162">
        <f>VLOOKUP(M10,Tarifa1,2)</f>
        <v>183.45</v>
      </c>
      <c r="S10" s="160">
        <f t="shared" si="3"/>
        <v>319.81665599999991</v>
      </c>
      <c r="T10" s="160">
        <f>VLOOKUP(M10,Credito1,2)</f>
        <v>0</v>
      </c>
      <c r="U10" s="160">
        <f t="shared" si="4"/>
        <v>319.82</v>
      </c>
      <c r="V10" s="159">
        <f t="shared" si="5"/>
        <v>0</v>
      </c>
      <c r="W10" s="159">
        <f>IF(I10/15&lt;=SMG,0,IF(U10&lt;0,0,U10))</f>
        <v>319.82</v>
      </c>
      <c r="X10" s="159">
        <f t="shared" si="6"/>
        <v>319.82</v>
      </c>
      <c r="Y10" s="159">
        <f t="shared" si="7"/>
        <v>4057.9099999999994</v>
      </c>
      <c r="Z10" s="92"/>
    </row>
    <row r="11" spans="1:26" s="4" customFormat="1" ht="77.25" customHeight="1" x14ac:dyDescent="0.35">
      <c r="A11" s="45"/>
      <c r="B11" s="152" t="s">
        <v>261</v>
      </c>
      <c r="C11" s="152" t="s">
        <v>113</v>
      </c>
      <c r="D11" s="216" t="s">
        <v>265</v>
      </c>
      <c r="E11" s="227">
        <v>44743</v>
      </c>
      <c r="F11" s="154" t="s">
        <v>166</v>
      </c>
      <c r="G11" s="155">
        <v>15</v>
      </c>
      <c r="H11" s="156"/>
      <c r="I11" s="157">
        <v>4489.93</v>
      </c>
      <c r="J11" s="158">
        <v>0</v>
      </c>
      <c r="K11" s="159">
        <f>SUM(I11:J11)</f>
        <v>4489.93</v>
      </c>
      <c r="L11" s="160">
        <f>IF(I11/15&lt;=SMG,0,J11/2)</f>
        <v>0</v>
      </c>
      <c r="M11" s="160">
        <f t="shared" ref="M11:M20" si="8">I11+L11</f>
        <v>4489.93</v>
      </c>
      <c r="N11" s="160">
        <f>VLOOKUP(M11,Tarifa1,1)</f>
        <v>3124.36</v>
      </c>
      <c r="O11" s="160">
        <f t="shared" ref="O11:O20" si="9">M11-N11</f>
        <v>1365.5700000000002</v>
      </c>
      <c r="P11" s="161">
        <f>VLOOKUP(M11,Tarifa1,3)</f>
        <v>0.10879999999999999</v>
      </c>
      <c r="Q11" s="160">
        <f t="shared" ref="Q11:Q20" si="10">O11*P11</f>
        <v>148.574016</v>
      </c>
      <c r="R11" s="162">
        <f>VLOOKUP(M11,Tarifa1,2)</f>
        <v>183.45</v>
      </c>
      <c r="S11" s="160">
        <f t="shared" ref="S11:S20" si="11">Q11+R11</f>
        <v>332.02401599999996</v>
      </c>
      <c r="T11" s="160">
        <f>VLOOKUP(M11,Credito1,2)</f>
        <v>0</v>
      </c>
      <c r="U11" s="160">
        <f t="shared" ref="U11:U20" si="12">ROUND(S11-T11,2)</f>
        <v>332.02</v>
      </c>
      <c r="V11" s="159">
        <f t="shared" ref="V11:V20" si="13">-IF(U11&gt;0,0,U11)</f>
        <v>0</v>
      </c>
      <c r="W11" s="159">
        <f>IF(I11/15&lt;=SMG,0,IF(U11&lt;0,0,U11))</f>
        <v>332.02</v>
      </c>
      <c r="X11" s="159">
        <f t="shared" si="6"/>
        <v>332.02</v>
      </c>
      <c r="Y11" s="159">
        <f t="shared" si="7"/>
        <v>4157.91</v>
      </c>
      <c r="Z11" s="92"/>
    </row>
    <row r="12" spans="1:26" s="4" customFormat="1" ht="77.25" customHeight="1" x14ac:dyDescent="0.35">
      <c r="A12" s="45"/>
      <c r="B12" s="152" t="s">
        <v>130</v>
      </c>
      <c r="C12" s="152" t="s">
        <v>113</v>
      </c>
      <c r="D12" s="218" t="s">
        <v>129</v>
      </c>
      <c r="E12" s="225">
        <v>42948</v>
      </c>
      <c r="F12" s="154" t="s">
        <v>302</v>
      </c>
      <c r="G12" s="155">
        <v>15</v>
      </c>
      <c r="H12" s="156">
        <f>I12/G12</f>
        <v>347.36066666666665</v>
      </c>
      <c r="I12" s="157">
        <v>5210.41</v>
      </c>
      <c r="J12" s="158">
        <v>0</v>
      </c>
      <c r="K12" s="159">
        <f t="shared" ref="K12" si="14">SUM(I12:J12)</f>
        <v>5210.41</v>
      </c>
      <c r="L12" s="160">
        <f t="shared" ref="L12" si="15">IF(I12/15&lt;=SMG,0,J12/2)</f>
        <v>0</v>
      </c>
      <c r="M12" s="160">
        <f t="shared" si="8"/>
        <v>5210.41</v>
      </c>
      <c r="N12" s="160">
        <f t="shared" ref="N12" si="16">VLOOKUP(M12,Tarifa1,1)</f>
        <v>3124.36</v>
      </c>
      <c r="O12" s="160">
        <f t="shared" si="9"/>
        <v>2086.0499999999997</v>
      </c>
      <c r="P12" s="161">
        <f t="shared" ref="P12" si="17">VLOOKUP(M12,Tarifa1,3)</f>
        <v>0.10879999999999999</v>
      </c>
      <c r="Q12" s="160">
        <f t="shared" si="10"/>
        <v>226.96223999999995</v>
      </c>
      <c r="R12" s="162">
        <f t="shared" ref="R12" si="18">VLOOKUP(M12,Tarifa1,2)</f>
        <v>183.45</v>
      </c>
      <c r="S12" s="160">
        <f t="shared" si="11"/>
        <v>410.41223999999994</v>
      </c>
      <c r="T12" s="160">
        <f t="shared" ref="T12" si="19">VLOOKUP(M12,Credito1,2)</f>
        <v>0</v>
      </c>
      <c r="U12" s="160">
        <f t="shared" si="12"/>
        <v>410.41</v>
      </c>
      <c r="V12" s="159">
        <f t="shared" si="13"/>
        <v>0</v>
      </c>
      <c r="W12" s="159">
        <f t="shared" ref="W12" si="20">IF(I12/15&lt;=SMG,0,IF(U12&lt;0,0,U12))</f>
        <v>410.41</v>
      </c>
      <c r="X12" s="159">
        <f t="shared" si="6"/>
        <v>410.41</v>
      </c>
      <c r="Y12" s="159">
        <f t="shared" si="7"/>
        <v>4800</v>
      </c>
      <c r="Z12" s="92"/>
    </row>
    <row r="13" spans="1:26" s="4" customFormat="1" ht="77.25" customHeight="1" x14ac:dyDescent="0.35">
      <c r="A13" s="45"/>
      <c r="B13" s="152" t="s">
        <v>312</v>
      </c>
      <c r="C13" s="152" t="s">
        <v>113</v>
      </c>
      <c r="D13" s="218" t="s">
        <v>313</v>
      </c>
      <c r="E13" s="225">
        <v>45078</v>
      </c>
      <c r="F13" s="154" t="s">
        <v>101</v>
      </c>
      <c r="G13" s="155"/>
      <c r="H13" s="156"/>
      <c r="I13" s="157">
        <v>4032.23</v>
      </c>
      <c r="J13" s="158">
        <v>0</v>
      </c>
      <c r="K13" s="159">
        <f t="shared" ref="K13" si="21">SUM(I13:J13)</f>
        <v>4032.23</v>
      </c>
      <c r="L13" s="160">
        <f t="shared" ref="L13" si="22">IF(I13/15&lt;=SMG,0,J13/2)</f>
        <v>0</v>
      </c>
      <c r="M13" s="160">
        <f t="shared" ref="M13" si="23">I13+L13</f>
        <v>4032.23</v>
      </c>
      <c r="N13" s="160">
        <f t="shared" ref="N13" si="24">VLOOKUP(M13,Tarifa1,1)</f>
        <v>3124.36</v>
      </c>
      <c r="O13" s="160">
        <f t="shared" ref="O13" si="25">M13-N13</f>
        <v>907.86999999999989</v>
      </c>
      <c r="P13" s="161">
        <f t="shared" ref="P13" si="26">VLOOKUP(M13,Tarifa1,3)</f>
        <v>0.10879999999999999</v>
      </c>
      <c r="Q13" s="160">
        <f t="shared" ref="Q13" si="27">O13*P13</f>
        <v>98.776255999999989</v>
      </c>
      <c r="R13" s="162">
        <f t="shared" ref="R13" si="28">VLOOKUP(M13,Tarifa1,2)</f>
        <v>183.45</v>
      </c>
      <c r="S13" s="160">
        <f t="shared" ref="S13" si="29">Q13+R13</f>
        <v>282.22625599999998</v>
      </c>
      <c r="T13" s="160">
        <f t="shared" ref="T13" si="30">VLOOKUP(M13,Credito1,2)</f>
        <v>0</v>
      </c>
      <c r="U13" s="160">
        <f t="shared" ref="U13" si="31">ROUND(S13-T13,2)</f>
        <v>282.23</v>
      </c>
      <c r="V13" s="159">
        <f t="shared" ref="V13" si="32">-IF(U13&gt;0,0,U13)</f>
        <v>0</v>
      </c>
      <c r="W13" s="159">
        <f t="shared" ref="W13" si="33">IF(I13/15&lt;=SMG,0,IF(U13&lt;0,0,U13))</f>
        <v>282.23</v>
      </c>
      <c r="X13" s="159">
        <f t="shared" si="6"/>
        <v>282.23</v>
      </c>
      <c r="Y13" s="159">
        <f t="shared" si="7"/>
        <v>3750</v>
      </c>
      <c r="Z13" s="92"/>
    </row>
    <row r="14" spans="1:26" s="4" customFormat="1" ht="77.25" customHeight="1" x14ac:dyDescent="0.35">
      <c r="A14" s="45"/>
      <c r="B14" s="152" t="s">
        <v>181</v>
      </c>
      <c r="C14" s="152" t="s">
        <v>113</v>
      </c>
      <c r="D14" s="218" t="s">
        <v>182</v>
      </c>
      <c r="E14" s="225">
        <v>43709</v>
      </c>
      <c r="F14" s="154" t="s">
        <v>239</v>
      </c>
      <c r="G14" s="155">
        <v>15</v>
      </c>
      <c r="H14" s="156"/>
      <c r="I14" s="157">
        <v>3403</v>
      </c>
      <c r="J14" s="158">
        <v>0</v>
      </c>
      <c r="K14" s="159">
        <f t="shared" ref="K14" si="34">SUM(I14:J14)</f>
        <v>3403</v>
      </c>
      <c r="L14" s="160">
        <f t="shared" ref="L14:L15" si="35">IF(I14/15&lt;=SMG,0,J14/2)</f>
        <v>0</v>
      </c>
      <c r="M14" s="160">
        <f t="shared" si="8"/>
        <v>3403</v>
      </c>
      <c r="N14" s="160">
        <f t="shared" ref="N14:N20" si="36">VLOOKUP(M14,Tarifa1,1)</f>
        <v>3124.36</v>
      </c>
      <c r="O14" s="160">
        <f t="shared" si="9"/>
        <v>278.63999999999987</v>
      </c>
      <c r="P14" s="161">
        <f t="shared" ref="P14:P20" si="37">VLOOKUP(M14,Tarifa1,3)</f>
        <v>0.10879999999999999</v>
      </c>
      <c r="Q14" s="160">
        <f t="shared" si="10"/>
        <v>30.316031999999986</v>
      </c>
      <c r="R14" s="162">
        <f t="shared" ref="R14:R20" si="38">VLOOKUP(M14,Tarifa1,2)</f>
        <v>183.45</v>
      </c>
      <c r="S14" s="160">
        <f t="shared" si="11"/>
        <v>213.76603199999997</v>
      </c>
      <c r="T14" s="160">
        <f t="shared" ref="T14:T20" si="39">VLOOKUP(M14,Credito1,2)</f>
        <v>125.1</v>
      </c>
      <c r="U14" s="160">
        <f t="shared" si="12"/>
        <v>88.67</v>
      </c>
      <c r="V14" s="159">
        <f t="shared" si="13"/>
        <v>0</v>
      </c>
      <c r="W14" s="159">
        <f t="shared" ref="W14:W20" si="40">IF(I14/15&lt;=SMG,0,IF(U14&lt;0,0,U14))</f>
        <v>88.67</v>
      </c>
      <c r="X14" s="159">
        <f t="shared" si="6"/>
        <v>88.67</v>
      </c>
      <c r="Y14" s="159">
        <f t="shared" si="7"/>
        <v>3314.33</v>
      </c>
      <c r="Z14" s="92"/>
    </row>
    <row r="15" spans="1:26" s="4" customFormat="1" ht="77.25" customHeight="1" x14ac:dyDescent="0.35">
      <c r="A15" s="45"/>
      <c r="B15" s="152" t="s">
        <v>329</v>
      </c>
      <c r="C15" s="152" t="s">
        <v>113</v>
      </c>
      <c r="D15" s="218" t="s">
        <v>326</v>
      </c>
      <c r="E15" s="225">
        <v>45123</v>
      </c>
      <c r="F15" s="154" t="s">
        <v>325</v>
      </c>
      <c r="G15" s="155">
        <v>15</v>
      </c>
      <c r="H15" s="156"/>
      <c r="I15" s="157">
        <v>4312.75</v>
      </c>
      <c r="J15" s="158">
        <v>0</v>
      </c>
      <c r="K15" s="159">
        <f>SUM(I15:J15)</f>
        <v>4312.75</v>
      </c>
      <c r="L15" s="160">
        <f t="shared" si="35"/>
        <v>0</v>
      </c>
      <c r="M15" s="160">
        <f t="shared" si="8"/>
        <v>4312.75</v>
      </c>
      <c r="N15" s="160">
        <f t="shared" si="36"/>
        <v>3124.36</v>
      </c>
      <c r="O15" s="160">
        <f t="shared" si="9"/>
        <v>1188.3899999999999</v>
      </c>
      <c r="P15" s="161">
        <f t="shared" si="37"/>
        <v>0.10879999999999999</v>
      </c>
      <c r="Q15" s="160">
        <f t="shared" si="10"/>
        <v>129.29683199999997</v>
      </c>
      <c r="R15" s="162">
        <f t="shared" si="38"/>
        <v>183.45</v>
      </c>
      <c r="S15" s="160">
        <f t="shared" si="11"/>
        <v>312.74683199999993</v>
      </c>
      <c r="T15" s="160">
        <f t="shared" si="39"/>
        <v>0</v>
      </c>
      <c r="U15" s="160">
        <f t="shared" si="12"/>
        <v>312.75</v>
      </c>
      <c r="V15" s="159">
        <f t="shared" si="13"/>
        <v>0</v>
      </c>
      <c r="W15" s="159">
        <f t="shared" si="40"/>
        <v>312.75</v>
      </c>
      <c r="X15" s="159">
        <f t="shared" si="6"/>
        <v>312.75</v>
      </c>
      <c r="Y15" s="159">
        <f t="shared" si="7"/>
        <v>4000</v>
      </c>
      <c r="Z15" s="92"/>
    </row>
    <row r="16" spans="1:26" s="4" customFormat="1" ht="77.25" customHeight="1" x14ac:dyDescent="0.35">
      <c r="A16" s="45"/>
      <c r="B16" s="152" t="s">
        <v>283</v>
      </c>
      <c r="C16" s="152" t="s">
        <v>113</v>
      </c>
      <c r="D16" s="218" t="s">
        <v>284</v>
      </c>
      <c r="E16" s="225">
        <v>44973</v>
      </c>
      <c r="F16" s="154" t="s">
        <v>285</v>
      </c>
      <c r="G16" s="155"/>
      <c r="H16" s="156"/>
      <c r="I16" s="157">
        <v>3403</v>
      </c>
      <c r="J16" s="158">
        <v>0</v>
      </c>
      <c r="K16" s="159">
        <f t="shared" ref="K16" si="41">SUM(I16:J16)</f>
        <v>3403</v>
      </c>
      <c r="L16" s="160">
        <f t="shared" ref="L16" si="42">IF(I16/15&lt;=SMG,0,J16/2)</f>
        <v>0</v>
      </c>
      <c r="M16" s="160">
        <f t="shared" ref="M16:M17" si="43">I16+L16</f>
        <v>3403</v>
      </c>
      <c r="N16" s="160">
        <f t="shared" ref="N16:N17" si="44">VLOOKUP(M16,Tarifa1,1)</f>
        <v>3124.36</v>
      </c>
      <c r="O16" s="160">
        <f t="shared" ref="O16:O17" si="45">M16-N16</f>
        <v>278.63999999999987</v>
      </c>
      <c r="P16" s="161">
        <f t="shared" ref="P16:P17" si="46">VLOOKUP(M16,Tarifa1,3)</f>
        <v>0.10879999999999999</v>
      </c>
      <c r="Q16" s="160">
        <f t="shared" ref="Q16:Q17" si="47">O16*P16</f>
        <v>30.316031999999986</v>
      </c>
      <c r="R16" s="162">
        <f t="shared" ref="R16:R17" si="48">VLOOKUP(M16,Tarifa1,2)</f>
        <v>183.45</v>
      </c>
      <c r="S16" s="160">
        <f t="shared" ref="S16:S17" si="49">Q16+R16</f>
        <v>213.76603199999997</v>
      </c>
      <c r="T16" s="160">
        <f t="shared" ref="T16:T17" si="50">VLOOKUP(M16,Credito1,2)</f>
        <v>125.1</v>
      </c>
      <c r="U16" s="160">
        <f t="shared" ref="U16:U17" si="51">ROUND(S16-T16,2)</f>
        <v>88.67</v>
      </c>
      <c r="V16" s="159">
        <f t="shared" ref="V16:V17" si="52">-IF(U16&gt;0,0,U16)</f>
        <v>0</v>
      </c>
      <c r="W16" s="159">
        <f t="shared" ref="W16:W17" si="53">IF(I16/15&lt;=SMG,0,IF(U16&lt;0,0,U16))</f>
        <v>88.67</v>
      </c>
      <c r="X16" s="159">
        <f t="shared" si="6"/>
        <v>88.67</v>
      </c>
      <c r="Y16" s="159">
        <f t="shared" si="7"/>
        <v>3314.33</v>
      </c>
      <c r="Z16" s="92"/>
    </row>
    <row r="17" spans="1:32" s="4" customFormat="1" ht="77.25" customHeight="1" x14ac:dyDescent="0.35">
      <c r="A17" s="45"/>
      <c r="B17" s="152" t="s">
        <v>309</v>
      </c>
      <c r="C17" s="152" t="s">
        <v>113</v>
      </c>
      <c r="D17" s="218" t="s">
        <v>310</v>
      </c>
      <c r="E17" s="225">
        <v>45078</v>
      </c>
      <c r="F17" s="154" t="s">
        <v>311</v>
      </c>
      <c r="G17" s="155"/>
      <c r="H17" s="156"/>
      <c r="I17" s="157">
        <v>3221</v>
      </c>
      <c r="J17" s="158">
        <v>0</v>
      </c>
      <c r="K17" s="159">
        <f>SUM(I17:J17)</f>
        <v>3221</v>
      </c>
      <c r="L17" s="160">
        <f>IF(I17/15&lt;=SMG,0,J17/2)</f>
        <v>0</v>
      </c>
      <c r="M17" s="160">
        <f t="shared" si="43"/>
        <v>3221</v>
      </c>
      <c r="N17" s="160">
        <f t="shared" si="44"/>
        <v>3124.36</v>
      </c>
      <c r="O17" s="160">
        <f t="shared" si="45"/>
        <v>96.639999999999873</v>
      </c>
      <c r="P17" s="161">
        <f t="shared" si="46"/>
        <v>0.10879999999999999</v>
      </c>
      <c r="Q17" s="160">
        <f t="shared" si="47"/>
        <v>10.514431999999985</v>
      </c>
      <c r="R17" s="162">
        <f t="shared" si="48"/>
        <v>183.45</v>
      </c>
      <c r="S17" s="160">
        <f t="shared" si="49"/>
        <v>193.96443199999999</v>
      </c>
      <c r="T17" s="160">
        <f t="shared" si="50"/>
        <v>125.1</v>
      </c>
      <c r="U17" s="160">
        <f t="shared" si="51"/>
        <v>68.86</v>
      </c>
      <c r="V17" s="159">
        <f t="shared" si="52"/>
        <v>0</v>
      </c>
      <c r="W17" s="159">
        <f t="shared" si="53"/>
        <v>68.86</v>
      </c>
      <c r="X17" s="159">
        <f t="shared" si="6"/>
        <v>68.86</v>
      </c>
      <c r="Y17" s="159">
        <f t="shared" si="7"/>
        <v>3152.14</v>
      </c>
      <c r="Z17" s="92"/>
    </row>
    <row r="18" spans="1:32" s="4" customFormat="1" ht="77.25" customHeight="1" x14ac:dyDescent="0.35">
      <c r="A18" s="45"/>
      <c r="B18" s="151" t="s">
        <v>210</v>
      </c>
      <c r="C18" s="152" t="s">
        <v>113</v>
      </c>
      <c r="D18" s="216" t="s">
        <v>227</v>
      </c>
      <c r="E18" s="221">
        <v>44470</v>
      </c>
      <c r="F18" s="153" t="s">
        <v>71</v>
      </c>
      <c r="G18" s="155">
        <v>15</v>
      </c>
      <c r="H18" s="156">
        <f>I18/G18</f>
        <v>497.6</v>
      </c>
      <c r="I18" s="157">
        <v>7464</v>
      </c>
      <c r="J18" s="158">
        <v>0</v>
      </c>
      <c r="K18" s="159">
        <f t="shared" ref="K18" si="54">SUM(I18:J18)</f>
        <v>7464</v>
      </c>
      <c r="L18" s="160">
        <f t="shared" ref="L18" si="55">IF(I18/15&lt;=SMG,0,J18/2)</f>
        <v>0</v>
      </c>
      <c r="M18" s="160">
        <f t="shared" si="8"/>
        <v>7464</v>
      </c>
      <c r="N18" s="160">
        <f t="shared" si="36"/>
        <v>6382.81</v>
      </c>
      <c r="O18" s="160">
        <f t="shared" si="9"/>
        <v>1081.1899999999996</v>
      </c>
      <c r="P18" s="161">
        <f t="shared" si="37"/>
        <v>0.1792</v>
      </c>
      <c r="Q18" s="160">
        <f t="shared" si="10"/>
        <v>193.74924799999994</v>
      </c>
      <c r="R18" s="162">
        <f t="shared" si="38"/>
        <v>583.65</v>
      </c>
      <c r="S18" s="160">
        <f t="shared" si="11"/>
        <v>777.39924799999994</v>
      </c>
      <c r="T18" s="160">
        <f t="shared" si="39"/>
        <v>0</v>
      </c>
      <c r="U18" s="160">
        <f t="shared" si="12"/>
        <v>777.4</v>
      </c>
      <c r="V18" s="159">
        <f t="shared" si="13"/>
        <v>0</v>
      </c>
      <c r="W18" s="159">
        <f t="shared" si="40"/>
        <v>777.4</v>
      </c>
      <c r="X18" s="159">
        <f t="shared" si="6"/>
        <v>777.4</v>
      </c>
      <c r="Y18" s="159">
        <f t="shared" si="7"/>
        <v>6686.6</v>
      </c>
      <c r="Z18" s="92"/>
    </row>
    <row r="19" spans="1:32" s="4" customFormat="1" ht="77.25" customHeight="1" x14ac:dyDescent="0.35">
      <c r="A19" s="45"/>
      <c r="B19" s="151" t="s">
        <v>337</v>
      </c>
      <c r="C19" s="152" t="s">
        <v>113</v>
      </c>
      <c r="D19" s="216" t="s">
        <v>338</v>
      </c>
      <c r="E19" s="221">
        <v>45173</v>
      </c>
      <c r="F19" s="154" t="s">
        <v>165</v>
      </c>
      <c r="G19" s="155">
        <v>15</v>
      </c>
      <c r="H19" s="156"/>
      <c r="I19" s="157">
        <v>4241</v>
      </c>
      <c r="J19" s="158">
        <v>0</v>
      </c>
      <c r="K19" s="159">
        <f>SUM(I19:J19)</f>
        <v>4241</v>
      </c>
      <c r="L19" s="160">
        <f>IF(I19/15&lt;=SMG,0,J19/2)</f>
        <v>0</v>
      </c>
      <c r="M19" s="160">
        <f t="shared" si="8"/>
        <v>4241</v>
      </c>
      <c r="N19" s="160">
        <f t="shared" ref="N19" si="56">VLOOKUP(M19,Tarifa1,1)</f>
        <v>3124.36</v>
      </c>
      <c r="O19" s="160">
        <f t="shared" si="9"/>
        <v>1116.6399999999999</v>
      </c>
      <c r="P19" s="161">
        <f t="shared" ref="P19" si="57">VLOOKUP(M19,Tarifa1,3)</f>
        <v>0.10879999999999999</v>
      </c>
      <c r="Q19" s="160">
        <f t="shared" si="10"/>
        <v>121.49043199999998</v>
      </c>
      <c r="R19" s="162">
        <f t="shared" ref="R19" si="58">VLOOKUP(M19,Tarifa1,2)</f>
        <v>183.45</v>
      </c>
      <c r="S19" s="160">
        <f t="shared" si="11"/>
        <v>304.94043199999999</v>
      </c>
      <c r="T19" s="160">
        <f t="shared" ref="T19" si="59">VLOOKUP(M19,Credito1,2)</f>
        <v>0</v>
      </c>
      <c r="U19" s="160">
        <f t="shared" si="12"/>
        <v>304.94</v>
      </c>
      <c r="V19" s="159">
        <f t="shared" si="13"/>
        <v>0</v>
      </c>
      <c r="W19" s="159">
        <f t="shared" ref="W19" si="60">IF(I19/15&lt;=SMG,0,IF(U19&lt;0,0,U19))</f>
        <v>304.94</v>
      </c>
      <c r="X19" s="159">
        <f t="shared" si="6"/>
        <v>304.94</v>
      </c>
      <c r="Y19" s="159">
        <f t="shared" si="7"/>
        <v>3936.06</v>
      </c>
      <c r="Z19" s="92"/>
    </row>
    <row r="20" spans="1:32" s="4" customFormat="1" ht="77.25" customHeight="1" x14ac:dyDescent="0.35">
      <c r="A20" s="116"/>
      <c r="B20" s="151" t="s">
        <v>187</v>
      </c>
      <c r="C20" s="152" t="s">
        <v>113</v>
      </c>
      <c r="D20" s="216" t="s">
        <v>80</v>
      </c>
      <c r="E20" s="221">
        <v>41410</v>
      </c>
      <c r="F20" s="154" t="s">
        <v>177</v>
      </c>
      <c r="G20" s="155">
        <v>15</v>
      </c>
      <c r="H20" s="156">
        <f>I20/G20</f>
        <v>214.73333333333332</v>
      </c>
      <c r="I20" s="157">
        <v>3221</v>
      </c>
      <c r="J20" s="158">
        <v>0</v>
      </c>
      <c r="K20" s="159">
        <f>SUM(I20:J20)</f>
        <v>3221</v>
      </c>
      <c r="L20" s="160">
        <f>IF(I20/15&lt;=SMG,0,J20/2)</f>
        <v>0</v>
      </c>
      <c r="M20" s="160">
        <f t="shared" si="8"/>
        <v>3221</v>
      </c>
      <c r="N20" s="160">
        <f t="shared" si="36"/>
        <v>3124.36</v>
      </c>
      <c r="O20" s="160">
        <f t="shared" si="9"/>
        <v>96.639999999999873</v>
      </c>
      <c r="P20" s="161">
        <f t="shared" si="37"/>
        <v>0.10879999999999999</v>
      </c>
      <c r="Q20" s="160">
        <f t="shared" si="10"/>
        <v>10.514431999999985</v>
      </c>
      <c r="R20" s="162">
        <f t="shared" si="38"/>
        <v>183.45</v>
      </c>
      <c r="S20" s="160">
        <f t="shared" si="11"/>
        <v>193.96443199999999</v>
      </c>
      <c r="T20" s="160">
        <f t="shared" si="39"/>
        <v>125.1</v>
      </c>
      <c r="U20" s="160">
        <f t="shared" si="12"/>
        <v>68.86</v>
      </c>
      <c r="V20" s="159">
        <f t="shared" si="13"/>
        <v>0</v>
      </c>
      <c r="W20" s="159">
        <f t="shared" si="40"/>
        <v>68.86</v>
      </c>
      <c r="X20" s="159">
        <f t="shared" si="6"/>
        <v>68.86</v>
      </c>
      <c r="Y20" s="159">
        <f t="shared" si="7"/>
        <v>3152.14</v>
      </c>
      <c r="Z20" s="92"/>
      <c r="AA20" s="90"/>
    </row>
    <row r="21" spans="1:32" s="4" customFormat="1" ht="52.5" customHeight="1" x14ac:dyDescent="0.3">
      <c r="A21" s="116"/>
      <c r="B21" s="140"/>
      <c r="C21" s="116"/>
      <c r="D21" s="147"/>
      <c r="E21" s="147"/>
      <c r="F21" s="147"/>
      <c r="G21" s="141"/>
      <c r="H21" s="142"/>
      <c r="I21" s="143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AA21" s="90"/>
    </row>
    <row r="22" spans="1:32" s="4" customFormat="1" ht="27.75" customHeight="1" x14ac:dyDescent="0.3">
      <c r="A22" s="116"/>
      <c r="B22" s="140"/>
      <c r="C22" s="116"/>
      <c r="D22" s="147"/>
      <c r="E22" s="147"/>
      <c r="F22" s="147"/>
      <c r="G22" s="141"/>
      <c r="H22" s="142"/>
      <c r="I22" s="143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AA22" s="90"/>
    </row>
    <row r="23" spans="1:32" s="4" customFormat="1" ht="24" customHeight="1" x14ac:dyDescent="0.3">
      <c r="A23" s="116"/>
      <c r="B23" s="299" t="s">
        <v>77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</row>
    <row r="24" spans="1:32" s="4" customFormat="1" ht="24" customHeight="1" x14ac:dyDescent="0.3">
      <c r="A24" s="116"/>
      <c r="B24" s="299" t="s">
        <v>63</v>
      </c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</row>
    <row r="25" spans="1:32" s="4" customFormat="1" ht="25.5" customHeight="1" x14ac:dyDescent="0.3">
      <c r="A25" s="116"/>
      <c r="B25" s="290" t="s">
        <v>344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</row>
    <row r="26" spans="1:32" s="4" customFormat="1" ht="25.5" customHeight="1" x14ac:dyDescent="0.3">
      <c r="A26" s="11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</row>
    <row r="27" spans="1:32" s="4" customFormat="1" ht="57.75" customHeight="1" x14ac:dyDescent="0.3">
      <c r="A27" s="116"/>
      <c r="B27" s="119" t="s">
        <v>100</v>
      </c>
      <c r="C27" s="119" t="s">
        <v>122</v>
      </c>
      <c r="D27" s="120" t="s">
        <v>68</v>
      </c>
      <c r="E27" s="139" t="s">
        <v>293</v>
      </c>
      <c r="F27" s="120" t="s">
        <v>60</v>
      </c>
      <c r="G27" s="120"/>
      <c r="H27" s="120"/>
      <c r="I27" s="121">
        <f>SUM(I28:I30)</f>
        <v>10238</v>
      </c>
      <c r="J27" s="121">
        <f>SUM(J28:J30)</f>
        <v>0</v>
      </c>
      <c r="K27" s="121">
        <f>SUM(K28:K30)</f>
        <v>10238</v>
      </c>
      <c r="L27" s="120"/>
      <c r="M27" s="120"/>
      <c r="N27" s="120"/>
      <c r="O27" s="120"/>
      <c r="P27" s="120"/>
      <c r="Q27" s="120"/>
      <c r="R27" s="122"/>
      <c r="S27" s="120"/>
      <c r="T27" s="120"/>
      <c r="U27" s="120"/>
      <c r="V27" s="121">
        <f>SUM(V28:V30)</f>
        <v>0</v>
      </c>
      <c r="W27" s="121">
        <f>SUM(W28:W30)</f>
        <v>259.74</v>
      </c>
      <c r="X27" s="121">
        <f>SUM(X28:X30)</f>
        <v>259.74</v>
      </c>
      <c r="Y27" s="121">
        <f>SUM(Y28:Y30)</f>
        <v>9978.26</v>
      </c>
      <c r="Z27" s="102"/>
      <c r="AA27" s="197"/>
    </row>
    <row r="28" spans="1:32" s="4" customFormat="1" ht="99.75" customHeight="1" x14ac:dyDescent="0.35">
      <c r="A28" s="116"/>
      <c r="B28" s="151" t="s">
        <v>211</v>
      </c>
      <c r="C28" s="152" t="s">
        <v>113</v>
      </c>
      <c r="D28" s="216" t="s">
        <v>223</v>
      </c>
      <c r="E28" s="221">
        <v>44470</v>
      </c>
      <c r="F28" s="154" t="s">
        <v>138</v>
      </c>
      <c r="G28" s="155">
        <v>15</v>
      </c>
      <c r="H28" s="156"/>
      <c r="I28" s="157">
        <v>3619</v>
      </c>
      <c r="J28" s="158">
        <v>0</v>
      </c>
      <c r="K28" s="159">
        <f t="shared" ref="K28" si="61">SUM(I28:J28)</f>
        <v>3619</v>
      </c>
      <c r="L28" s="160">
        <f t="shared" ref="L28" si="62">IF(I28/15&lt;=SMG,0,J28/2)</f>
        <v>0</v>
      </c>
      <c r="M28" s="160">
        <f t="shared" ref="M28:M30" si="63">I28+L28</f>
        <v>3619</v>
      </c>
      <c r="N28" s="160">
        <f t="shared" ref="N28:N30" si="64">VLOOKUP(M28,Tarifa1,1)</f>
        <v>3124.36</v>
      </c>
      <c r="O28" s="160">
        <f t="shared" ref="O28:O30" si="65">M28-N28</f>
        <v>494.63999999999987</v>
      </c>
      <c r="P28" s="161">
        <f t="shared" ref="P28:P30" si="66">VLOOKUP(M28,Tarifa1,3)</f>
        <v>0.10879999999999999</v>
      </c>
      <c r="Q28" s="160">
        <f t="shared" ref="Q28:Q30" si="67">O28*P28</f>
        <v>53.816831999999984</v>
      </c>
      <c r="R28" s="162">
        <f t="shared" ref="R28:R30" si="68">VLOOKUP(M28,Tarifa1,2)</f>
        <v>183.45</v>
      </c>
      <c r="S28" s="160">
        <f t="shared" ref="S28:S30" si="69">Q28+R28</f>
        <v>237.26683199999997</v>
      </c>
      <c r="T28" s="160">
        <f t="shared" ref="T28:T30" si="70">VLOOKUP(M28,Credito1,2)</f>
        <v>107.4</v>
      </c>
      <c r="U28" s="160">
        <f t="shared" ref="U28:U30" si="71">ROUND(S28-T28,2)</f>
        <v>129.87</v>
      </c>
      <c r="V28" s="159">
        <f t="shared" ref="V28:V30" si="72">-IF(U28&gt;0,0,U28)</f>
        <v>0</v>
      </c>
      <c r="W28" s="159">
        <f t="shared" ref="W28:W30" si="73">IF(I28/15&lt;=SMG,0,IF(U28&lt;0,0,U28))</f>
        <v>129.87</v>
      </c>
      <c r="X28" s="159">
        <f>SUM(W28:W28)</f>
        <v>129.87</v>
      </c>
      <c r="Y28" s="159">
        <f>K28+V28-X28</f>
        <v>3489.13</v>
      </c>
      <c r="Z28" s="92"/>
      <c r="AA28" s="90"/>
    </row>
    <row r="29" spans="1:32" s="4" customFormat="1" ht="99.75" customHeight="1" x14ac:dyDescent="0.35">
      <c r="A29" s="116"/>
      <c r="B29" s="151" t="s">
        <v>241</v>
      </c>
      <c r="C29" s="152" t="s">
        <v>113</v>
      </c>
      <c r="D29" s="216" t="s">
        <v>225</v>
      </c>
      <c r="E29" s="221">
        <v>44473</v>
      </c>
      <c r="F29" s="154" t="s">
        <v>138</v>
      </c>
      <c r="G29" s="155">
        <v>15</v>
      </c>
      <c r="H29" s="156"/>
      <c r="I29" s="157">
        <v>3619</v>
      </c>
      <c r="J29" s="158">
        <v>0</v>
      </c>
      <c r="K29" s="159">
        <f>SUM(I29:J29)</f>
        <v>3619</v>
      </c>
      <c r="L29" s="160">
        <f>IF(I29/15&lt;=SMG,0,J29/2)</f>
        <v>0</v>
      </c>
      <c r="M29" s="160">
        <f t="shared" si="63"/>
        <v>3619</v>
      </c>
      <c r="N29" s="160">
        <f t="shared" si="64"/>
        <v>3124.36</v>
      </c>
      <c r="O29" s="160">
        <f t="shared" si="65"/>
        <v>494.63999999999987</v>
      </c>
      <c r="P29" s="161">
        <f t="shared" si="66"/>
        <v>0.10879999999999999</v>
      </c>
      <c r="Q29" s="160">
        <f t="shared" si="67"/>
        <v>53.816831999999984</v>
      </c>
      <c r="R29" s="162">
        <f t="shared" si="68"/>
        <v>183.45</v>
      </c>
      <c r="S29" s="160">
        <f t="shared" si="69"/>
        <v>237.26683199999997</v>
      </c>
      <c r="T29" s="160">
        <f t="shared" si="70"/>
        <v>107.4</v>
      </c>
      <c r="U29" s="160">
        <f t="shared" si="71"/>
        <v>129.87</v>
      </c>
      <c r="V29" s="159">
        <f t="shared" si="72"/>
        <v>0</v>
      </c>
      <c r="W29" s="159">
        <f t="shared" si="73"/>
        <v>129.87</v>
      </c>
      <c r="X29" s="159">
        <f>SUM(W29:W29)</f>
        <v>129.87</v>
      </c>
      <c r="Y29" s="159">
        <f>K29+V29-X29</f>
        <v>3489.13</v>
      </c>
      <c r="Z29" s="92"/>
      <c r="AA29" s="90"/>
    </row>
    <row r="30" spans="1:32" s="4" customFormat="1" ht="99.75" customHeight="1" x14ac:dyDescent="0.35">
      <c r="A30" s="116"/>
      <c r="B30" s="151" t="s">
        <v>339</v>
      </c>
      <c r="C30" s="152" t="s">
        <v>113</v>
      </c>
      <c r="D30" s="216" t="s">
        <v>340</v>
      </c>
      <c r="E30" s="221">
        <v>45154</v>
      </c>
      <c r="F30" s="154" t="s">
        <v>341</v>
      </c>
      <c r="G30" s="155"/>
      <c r="H30" s="156"/>
      <c r="I30" s="157">
        <v>3000</v>
      </c>
      <c r="J30" s="158">
        <v>0</v>
      </c>
      <c r="K30" s="159">
        <f>SUM(I30:J30)</f>
        <v>3000</v>
      </c>
      <c r="L30" s="160">
        <f>IF(I30/15&lt;=SMG,0,J30/2)</f>
        <v>0</v>
      </c>
      <c r="M30" s="160">
        <f t="shared" si="63"/>
        <v>3000</v>
      </c>
      <c r="N30" s="160">
        <f t="shared" si="64"/>
        <v>368.11</v>
      </c>
      <c r="O30" s="160">
        <f t="shared" si="65"/>
        <v>2631.89</v>
      </c>
      <c r="P30" s="161">
        <f t="shared" si="66"/>
        <v>6.4000000000000001E-2</v>
      </c>
      <c r="Q30" s="160">
        <f t="shared" si="67"/>
        <v>168.44095999999999</v>
      </c>
      <c r="R30" s="162">
        <f t="shared" si="68"/>
        <v>7.05</v>
      </c>
      <c r="S30" s="160">
        <f t="shared" si="69"/>
        <v>175.49096</v>
      </c>
      <c r="T30" s="160">
        <f t="shared" si="70"/>
        <v>145.35</v>
      </c>
      <c r="U30" s="160">
        <f t="shared" si="71"/>
        <v>30.14</v>
      </c>
      <c r="V30" s="159">
        <f t="shared" si="72"/>
        <v>0</v>
      </c>
      <c r="W30" s="159">
        <f t="shared" si="73"/>
        <v>0</v>
      </c>
      <c r="X30" s="159">
        <f>SUM(W30:W30)</f>
        <v>0</v>
      </c>
      <c r="Y30" s="159">
        <f>K30+V30-X30</f>
        <v>3000</v>
      </c>
      <c r="Z30" s="92"/>
      <c r="AA30" s="90"/>
    </row>
    <row r="31" spans="1:32" s="4" customFormat="1" ht="57.75" customHeight="1" x14ac:dyDescent="0.3">
      <c r="A31" s="112"/>
      <c r="B31" s="119" t="s">
        <v>100</v>
      </c>
      <c r="C31" s="119" t="s">
        <v>122</v>
      </c>
      <c r="D31" s="120" t="s">
        <v>121</v>
      </c>
      <c r="E31" s="139" t="s">
        <v>293</v>
      </c>
      <c r="F31" s="120" t="s">
        <v>60</v>
      </c>
      <c r="G31" s="120"/>
      <c r="H31" s="120"/>
      <c r="I31" s="121">
        <f>SUM(I32:I34)</f>
        <v>15897.77</v>
      </c>
      <c r="J31" s="121">
        <f>SUM(J32:J34)</f>
        <v>0</v>
      </c>
      <c r="K31" s="121">
        <f>SUM(K32:K34)</f>
        <v>15897.77</v>
      </c>
      <c r="L31" s="120"/>
      <c r="M31" s="120"/>
      <c r="N31" s="120"/>
      <c r="O31" s="120"/>
      <c r="P31" s="120"/>
      <c r="Q31" s="120"/>
      <c r="R31" s="122"/>
      <c r="S31" s="120"/>
      <c r="T31" s="120"/>
      <c r="U31" s="120"/>
      <c r="V31" s="121">
        <f>SUM(V32:V34)</f>
        <v>0</v>
      </c>
      <c r="W31" s="121">
        <f>SUM(W32:W34)</f>
        <v>1291.31</v>
      </c>
      <c r="X31" s="121">
        <f>SUM(X32:X34)</f>
        <v>1291.31</v>
      </c>
      <c r="Y31" s="121">
        <f>SUM(Y32:Y34)</f>
        <v>14606.460000000001</v>
      </c>
      <c r="Z31" s="102"/>
    </row>
    <row r="32" spans="1:32" s="4" customFormat="1" ht="99.75" customHeight="1" x14ac:dyDescent="0.35">
      <c r="A32" s="113" t="s">
        <v>83</v>
      </c>
      <c r="B32" s="151" t="s">
        <v>154</v>
      </c>
      <c r="C32" s="152" t="s">
        <v>113</v>
      </c>
      <c r="D32" s="216" t="s">
        <v>140</v>
      </c>
      <c r="E32" s="221">
        <v>43374</v>
      </c>
      <c r="F32" s="154" t="s">
        <v>139</v>
      </c>
      <c r="G32" s="155">
        <v>15</v>
      </c>
      <c r="H32" s="156">
        <f>I32/G32</f>
        <v>386.16733333333337</v>
      </c>
      <c r="I32" s="157">
        <v>5792.51</v>
      </c>
      <c r="J32" s="158">
        <v>0</v>
      </c>
      <c r="K32" s="157">
        <f>I32</f>
        <v>5792.51</v>
      </c>
      <c r="L32" s="160">
        <f t="shared" ref="L32" si="74">IF(I32/15&lt;=SMG,0,J32/2)</f>
        <v>0</v>
      </c>
      <c r="M32" s="160">
        <f t="shared" ref="M32" si="75">I32+L32</f>
        <v>5792.51</v>
      </c>
      <c r="N32" s="160">
        <f t="shared" ref="N32" si="76">VLOOKUP(M32,Tarifa1,1)</f>
        <v>5490.76</v>
      </c>
      <c r="O32" s="160">
        <f t="shared" ref="O32" si="77">M32-N32</f>
        <v>301.75</v>
      </c>
      <c r="P32" s="161">
        <f t="shared" ref="P32" si="78">VLOOKUP(M32,Tarifa1,3)</f>
        <v>0.16</v>
      </c>
      <c r="Q32" s="160">
        <f t="shared" ref="Q32" si="79">O32*P32</f>
        <v>48.28</v>
      </c>
      <c r="R32" s="162">
        <f t="shared" ref="R32" si="80">VLOOKUP(M32,Tarifa1,2)</f>
        <v>441</v>
      </c>
      <c r="S32" s="160">
        <f t="shared" ref="S32" si="81">Q32+R32</f>
        <v>489.28</v>
      </c>
      <c r="T32" s="160">
        <f t="shared" ref="T32" si="82">VLOOKUP(M32,Credito1,2)</f>
        <v>0</v>
      </c>
      <c r="U32" s="160">
        <f t="shared" ref="U32" si="83">ROUND(S32-T32,2)</f>
        <v>489.28</v>
      </c>
      <c r="V32" s="159">
        <f t="shared" ref="V32" si="84">-IF(U32&gt;0,0,U32)</f>
        <v>0</v>
      </c>
      <c r="W32" s="159">
        <f t="shared" ref="W32" si="85">IF(I32/15&lt;=SMG,0,IF(U32&lt;0,0,U32))</f>
        <v>489.28</v>
      </c>
      <c r="X32" s="159">
        <f>SUM(W32:W32)</f>
        <v>489.28</v>
      </c>
      <c r="Y32" s="159">
        <f>K32+V32-X32+J32</f>
        <v>5303.2300000000005</v>
      </c>
      <c r="Z32" s="92"/>
      <c r="AF32" s="97"/>
    </row>
    <row r="33" spans="1:38" s="4" customFormat="1" ht="99.75" customHeight="1" x14ac:dyDescent="0.35">
      <c r="A33" s="113"/>
      <c r="B33" s="151" t="s">
        <v>173</v>
      </c>
      <c r="C33" s="152" t="s">
        <v>113</v>
      </c>
      <c r="D33" s="216" t="s">
        <v>163</v>
      </c>
      <c r="E33" s="221">
        <v>43512</v>
      </c>
      <c r="F33" s="154" t="s">
        <v>164</v>
      </c>
      <c r="G33" s="155">
        <v>15</v>
      </c>
      <c r="H33" s="156"/>
      <c r="I33" s="157">
        <v>5792.51</v>
      </c>
      <c r="J33" s="158">
        <v>0</v>
      </c>
      <c r="K33" s="157">
        <f>I33</f>
        <v>5792.51</v>
      </c>
      <c r="L33" s="160">
        <f t="shared" ref="L33:L34" si="86">IF(I33/15&lt;=SMG,0,J33/2)</f>
        <v>0</v>
      </c>
      <c r="M33" s="160">
        <f t="shared" ref="M33:M34" si="87">I33+L33</f>
        <v>5792.51</v>
      </c>
      <c r="N33" s="160">
        <f t="shared" ref="N33:N34" si="88">VLOOKUP(M33,Tarifa1,1)</f>
        <v>5490.76</v>
      </c>
      <c r="O33" s="160">
        <f t="shared" ref="O33:O34" si="89">M33-N33</f>
        <v>301.75</v>
      </c>
      <c r="P33" s="161">
        <f t="shared" ref="P33:P34" si="90">VLOOKUP(M33,Tarifa1,3)</f>
        <v>0.16</v>
      </c>
      <c r="Q33" s="160">
        <f t="shared" ref="Q33:Q34" si="91">O33*P33</f>
        <v>48.28</v>
      </c>
      <c r="R33" s="162">
        <f t="shared" ref="R33:R34" si="92">VLOOKUP(M33,Tarifa1,2)</f>
        <v>441</v>
      </c>
      <c r="S33" s="160">
        <f t="shared" ref="S33:S34" si="93">Q33+R33</f>
        <v>489.28</v>
      </c>
      <c r="T33" s="160">
        <f t="shared" ref="T33:T34" si="94">VLOOKUP(M33,Credito1,2)</f>
        <v>0</v>
      </c>
      <c r="U33" s="160">
        <f t="shared" ref="U33:U34" si="95">ROUND(S33-T33,2)</f>
        <v>489.28</v>
      </c>
      <c r="V33" s="159">
        <f t="shared" ref="V33:V34" si="96">-IF(U33&gt;0,0,U33)</f>
        <v>0</v>
      </c>
      <c r="W33" s="159">
        <f t="shared" ref="W33:W34" si="97">IF(I33/15&lt;=SMG,0,IF(U33&lt;0,0,U33))</f>
        <v>489.28</v>
      </c>
      <c r="X33" s="159">
        <f>SUM(W33:W33)</f>
        <v>489.28</v>
      </c>
      <c r="Y33" s="159">
        <f>K33+V33-X33+J33</f>
        <v>5303.2300000000005</v>
      </c>
      <c r="Z33" s="92"/>
      <c r="AF33" s="97"/>
    </row>
    <row r="34" spans="1:38" s="4" customFormat="1" ht="99.75" customHeight="1" x14ac:dyDescent="0.35">
      <c r="A34" s="113"/>
      <c r="B34" s="151" t="s">
        <v>303</v>
      </c>
      <c r="C34" s="152" t="s">
        <v>113</v>
      </c>
      <c r="D34" s="216" t="s">
        <v>304</v>
      </c>
      <c r="E34" s="221">
        <v>45078</v>
      </c>
      <c r="F34" s="154" t="s">
        <v>164</v>
      </c>
      <c r="G34" s="155">
        <v>15</v>
      </c>
      <c r="H34" s="156"/>
      <c r="I34" s="157">
        <v>4312.75</v>
      </c>
      <c r="J34" s="158">
        <v>0</v>
      </c>
      <c r="K34" s="159">
        <f>SUM(I34:J34)</f>
        <v>4312.75</v>
      </c>
      <c r="L34" s="160">
        <f t="shared" si="86"/>
        <v>0</v>
      </c>
      <c r="M34" s="160">
        <f t="shared" si="87"/>
        <v>4312.75</v>
      </c>
      <c r="N34" s="160">
        <f t="shared" si="88"/>
        <v>3124.36</v>
      </c>
      <c r="O34" s="160">
        <f t="shared" si="89"/>
        <v>1188.3899999999999</v>
      </c>
      <c r="P34" s="161">
        <f t="shared" si="90"/>
        <v>0.10879999999999999</v>
      </c>
      <c r="Q34" s="160">
        <f t="shared" si="91"/>
        <v>129.29683199999997</v>
      </c>
      <c r="R34" s="162">
        <f t="shared" si="92"/>
        <v>183.45</v>
      </c>
      <c r="S34" s="160">
        <f t="shared" si="93"/>
        <v>312.74683199999993</v>
      </c>
      <c r="T34" s="160">
        <f t="shared" si="94"/>
        <v>0</v>
      </c>
      <c r="U34" s="160">
        <f t="shared" si="95"/>
        <v>312.75</v>
      </c>
      <c r="V34" s="159">
        <f t="shared" si="96"/>
        <v>0</v>
      </c>
      <c r="W34" s="159">
        <f t="shared" si="97"/>
        <v>312.75</v>
      </c>
      <c r="X34" s="159">
        <f>SUM(W34:W34)</f>
        <v>312.75</v>
      </c>
      <c r="Y34" s="159">
        <f>K34+V34-X34</f>
        <v>4000</v>
      </c>
      <c r="Z34" s="92"/>
      <c r="AF34" s="97"/>
    </row>
    <row r="35" spans="1:38" s="4" customFormat="1" ht="27.75" customHeight="1" x14ac:dyDescent="0.3">
      <c r="A35" s="176"/>
      <c r="B35" s="176"/>
      <c r="C35" s="176"/>
      <c r="D35" s="176"/>
      <c r="E35" s="176"/>
      <c r="F35" s="176"/>
      <c r="G35" s="176"/>
      <c r="H35" s="176"/>
      <c r="I35" s="182"/>
      <c r="J35" s="182"/>
      <c r="K35" s="182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</row>
    <row r="36" spans="1:38" s="4" customFormat="1" ht="75" customHeight="1" thickBot="1" x14ac:dyDescent="0.35">
      <c r="A36" s="286" t="s">
        <v>44</v>
      </c>
      <c r="B36" s="287"/>
      <c r="C36" s="287"/>
      <c r="D36" s="287"/>
      <c r="E36" s="287"/>
      <c r="F36" s="287"/>
      <c r="G36" s="287"/>
      <c r="H36" s="288"/>
      <c r="I36" s="163">
        <f>I8+I31+I27</f>
        <v>77889.55</v>
      </c>
      <c r="J36" s="163">
        <f>J8+J31+J27</f>
        <v>0</v>
      </c>
      <c r="K36" s="163">
        <f>K8+K31+K27</f>
        <v>77889.55</v>
      </c>
      <c r="L36" s="164">
        <f t="shared" ref="L36:U36" si="98">SUM(L9:L35)</f>
        <v>0</v>
      </c>
      <c r="M36" s="164">
        <f t="shared" si="98"/>
        <v>77889.549999999988</v>
      </c>
      <c r="N36" s="164">
        <f t="shared" si="98"/>
        <v>61473.48000000001</v>
      </c>
      <c r="O36" s="164">
        <f t="shared" si="98"/>
        <v>16416.069999999992</v>
      </c>
      <c r="P36" s="164">
        <f t="shared" si="98"/>
        <v>2.0863999999999998</v>
      </c>
      <c r="Q36" s="164">
        <f t="shared" si="98"/>
        <v>1775.1747199999993</v>
      </c>
      <c r="R36" s="164">
        <f t="shared" si="98"/>
        <v>4040.9999999999995</v>
      </c>
      <c r="S36" s="164">
        <f t="shared" si="98"/>
        <v>5816.1747199999991</v>
      </c>
      <c r="T36" s="164">
        <f t="shared" si="98"/>
        <v>860.55</v>
      </c>
      <c r="U36" s="164">
        <f t="shared" si="98"/>
        <v>4955.6400000000003</v>
      </c>
      <c r="V36" s="163">
        <f>V8+V31+V27</f>
        <v>0</v>
      </c>
      <c r="W36" s="163">
        <f>W8+W31+W27</f>
        <v>4925.5</v>
      </c>
      <c r="X36" s="163">
        <f>X8+X31+X27</f>
        <v>4925.5</v>
      </c>
      <c r="Y36" s="163">
        <f>Y8+Y31+Y27</f>
        <v>72964.049999999988</v>
      </c>
    </row>
    <row r="37" spans="1:38" s="4" customFormat="1" ht="18" customHeight="1" thickTop="1" x14ac:dyDescent="0.3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49"/>
      <c r="W37" s="149"/>
      <c r="X37" s="149"/>
      <c r="Y37" s="149"/>
    </row>
    <row r="38" spans="1:38" s="4" customFormat="1" ht="18" customHeight="1" x14ac:dyDescent="0.3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49"/>
      <c r="W38" s="149"/>
      <c r="X38" s="149"/>
      <c r="Y38" s="149"/>
    </row>
    <row r="39" spans="1:38" s="4" customFormat="1" ht="18" customHeight="1" x14ac:dyDescent="0.3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49"/>
      <c r="W39" s="149"/>
      <c r="X39" s="149"/>
      <c r="Y39" s="149"/>
    </row>
    <row r="40" spans="1:38" s="4" customFormat="1" ht="18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49"/>
      <c r="W40" s="149"/>
      <c r="X40" s="149"/>
      <c r="Y40" s="149"/>
    </row>
    <row r="41" spans="1:38" s="4" customFormat="1" ht="18" customHeight="1" x14ac:dyDescent="0.3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49"/>
      <c r="W41" s="149"/>
      <c r="X41" s="149"/>
      <c r="Y41" s="149"/>
    </row>
    <row r="42" spans="1:38" s="4" customFormat="1" x14ac:dyDescent="0.25"/>
    <row r="43" spans="1:38" s="4" customFormat="1" x14ac:dyDescent="0.25"/>
    <row r="44" spans="1:38" s="4" customFormat="1" x14ac:dyDescent="0.25"/>
    <row r="45" spans="1:38" s="4" customFormat="1" ht="13.8" x14ac:dyDescent="0.25">
      <c r="D45" s="100" t="s">
        <v>204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100" t="s">
        <v>151</v>
      </c>
      <c r="X45" s="96"/>
      <c r="Y45" s="96"/>
    </row>
    <row r="46" spans="1:38" s="4" customFormat="1" ht="13.8" x14ac:dyDescent="0.25">
      <c r="D46" s="100" t="s">
        <v>203</v>
      </c>
      <c r="E46" s="100"/>
      <c r="F46" s="100"/>
      <c r="G46" s="100"/>
      <c r="H46" s="100"/>
      <c r="I46" s="100"/>
      <c r="J46" s="100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100" t="s">
        <v>236</v>
      </c>
      <c r="X46" s="100"/>
      <c r="Y46" s="100"/>
      <c r="Z46" s="43"/>
      <c r="AA46" s="43"/>
      <c r="AB46" s="43"/>
      <c r="AC46" s="43"/>
      <c r="AD46" s="43"/>
      <c r="AE46" s="43"/>
      <c r="AF46" s="43"/>
      <c r="AG46" s="43"/>
      <c r="AH46" s="43"/>
      <c r="AK46" s="43"/>
      <c r="AL46" s="43"/>
    </row>
    <row r="47" spans="1:38" s="4" customFormat="1" x14ac:dyDescent="0.25"/>
    <row r="48" spans="1:38" s="4" customFormat="1" x14ac:dyDescent="0.25"/>
    <row r="49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B41" zoomScale="55" zoomScaleNormal="55" workbookViewId="0">
      <selection activeCell="B51" sqref="A51:XFD58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</row>
    <row r="2" spans="1:32" ht="19.8" x14ac:dyDescent="0.3">
      <c r="A2" s="289" t="s">
        <v>63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32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21" customHeight="1" x14ac:dyDescent="0.3">
      <c r="A5" s="49"/>
      <c r="B5" s="49"/>
      <c r="C5" s="320" t="s">
        <v>122</v>
      </c>
      <c r="D5" s="49"/>
      <c r="E5" s="49"/>
      <c r="F5" s="49"/>
      <c r="G5" s="50" t="s">
        <v>22</v>
      </c>
      <c r="H5" s="50" t="s">
        <v>5</v>
      </c>
      <c r="I5" s="291" t="s">
        <v>1</v>
      </c>
      <c r="J5" s="292"/>
      <c r="K5" s="293"/>
      <c r="L5" s="125" t="s">
        <v>25</v>
      </c>
      <c r="M5" s="126"/>
      <c r="N5" s="294" t="s">
        <v>8</v>
      </c>
      <c r="O5" s="295"/>
      <c r="P5" s="295"/>
      <c r="Q5" s="295"/>
      <c r="R5" s="295"/>
      <c r="S5" s="296"/>
      <c r="T5" s="125" t="s">
        <v>29</v>
      </c>
      <c r="U5" s="125" t="s">
        <v>9</v>
      </c>
      <c r="V5" s="124" t="s">
        <v>52</v>
      </c>
      <c r="W5" s="297" t="s">
        <v>2</v>
      </c>
      <c r="X5" s="298"/>
      <c r="Y5" s="124" t="s">
        <v>0</v>
      </c>
      <c r="Z5" s="49"/>
    </row>
    <row r="6" spans="1:32" s="53" customFormat="1" ht="31.2" x14ac:dyDescent="0.3">
      <c r="A6" s="54" t="s">
        <v>20</v>
      </c>
      <c r="B6" s="127" t="s">
        <v>100</v>
      </c>
      <c r="C6" s="321"/>
      <c r="D6" s="128" t="s">
        <v>21</v>
      </c>
      <c r="E6" s="54"/>
      <c r="F6" s="54"/>
      <c r="G6" s="55" t="s">
        <v>23</v>
      </c>
      <c r="H6" s="54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2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277</v>
      </c>
      <c r="X6" s="124" t="s">
        <v>6</v>
      </c>
      <c r="Y6" s="128" t="s">
        <v>3</v>
      </c>
      <c r="Z6" s="128" t="s">
        <v>56</v>
      </c>
    </row>
    <row r="7" spans="1:32" s="53" customFormat="1" ht="15.6" x14ac:dyDescent="0.3">
      <c r="A7" s="54"/>
      <c r="B7" s="54"/>
      <c r="C7" s="322"/>
      <c r="D7" s="54"/>
      <c r="E7" s="54"/>
      <c r="F7" s="54"/>
      <c r="G7" s="54"/>
      <c r="H7" s="54"/>
      <c r="I7" s="128" t="s">
        <v>46</v>
      </c>
      <c r="J7" s="128" t="s">
        <v>58</v>
      </c>
      <c r="K7" s="128" t="s">
        <v>28</v>
      </c>
      <c r="L7" s="129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255" t="s">
        <v>14</v>
      </c>
      <c r="S7" s="125" t="s">
        <v>38</v>
      </c>
      <c r="T7" s="129" t="s">
        <v>18</v>
      </c>
      <c r="U7" s="133" t="s">
        <v>205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3" customFormat="1" ht="84.9" customHeight="1" x14ac:dyDescent="0.3">
      <c r="A8" s="37"/>
      <c r="B8" s="196" t="s">
        <v>100</v>
      </c>
      <c r="C8" s="196" t="s">
        <v>122</v>
      </c>
      <c r="D8" s="196" t="s">
        <v>143</v>
      </c>
      <c r="E8" s="196" t="s">
        <v>293</v>
      </c>
      <c r="F8" s="247" t="s">
        <v>60</v>
      </c>
      <c r="G8" s="247"/>
      <c r="H8" s="247"/>
      <c r="I8" s="248">
        <f>SUM(I9:I9)</f>
        <v>7013</v>
      </c>
      <c r="J8" s="248">
        <f>SUM(J9:J9)</f>
        <v>0</v>
      </c>
      <c r="K8" s="248">
        <f>SUM(K9:K9)</f>
        <v>7013</v>
      </c>
      <c r="L8" s="247"/>
      <c r="M8" s="247"/>
      <c r="N8" s="247"/>
      <c r="O8" s="247"/>
      <c r="P8" s="247"/>
      <c r="Q8" s="247"/>
      <c r="R8" s="250"/>
      <c r="S8" s="247"/>
      <c r="T8" s="247"/>
      <c r="U8" s="247"/>
      <c r="V8" s="248">
        <f>SUM(V9:V9)</f>
        <v>0</v>
      </c>
      <c r="W8" s="248">
        <f>SUM(W9:W9)</f>
        <v>696.58</v>
      </c>
      <c r="X8" s="248">
        <f>SUM(X9:X9)</f>
        <v>696.58</v>
      </c>
      <c r="Y8" s="248">
        <f>SUM(Y9:Y9)</f>
        <v>6316.42</v>
      </c>
      <c r="Z8" s="103"/>
    </row>
    <row r="9" spans="1:32" s="53" customFormat="1" ht="150" customHeight="1" x14ac:dyDescent="0.35">
      <c r="A9" s="37"/>
      <c r="B9" s="183">
        <v>275</v>
      </c>
      <c r="C9" s="184" t="s">
        <v>113</v>
      </c>
      <c r="D9" s="262" t="s">
        <v>238</v>
      </c>
      <c r="E9" s="226">
        <v>44476</v>
      </c>
      <c r="F9" s="185" t="s">
        <v>208</v>
      </c>
      <c r="G9" s="170">
        <v>15</v>
      </c>
      <c r="H9" s="170"/>
      <c r="I9" s="157">
        <v>7013</v>
      </c>
      <c r="J9" s="158">
        <v>0</v>
      </c>
      <c r="K9" s="159">
        <f>SUM(I9:J9)</f>
        <v>7013</v>
      </c>
      <c r="L9" s="160">
        <f>IF(I9/15&lt;=SMG,0,J9/2)</f>
        <v>0</v>
      </c>
      <c r="M9" s="160">
        <f>I9+L9</f>
        <v>7013</v>
      </c>
      <c r="N9" s="160">
        <f>VLOOKUP(M9,Tarifa1,1)</f>
        <v>6382.81</v>
      </c>
      <c r="O9" s="160">
        <f>M9-N9</f>
        <v>630.1899999999996</v>
      </c>
      <c r="P9" s="161">
        <f>VLOOKUP(M9,Tarifa1,3)</f>
        <v>0.1792</v>
      </c>
      <c r="Q9" s="160">
        <f>O9*P9</f>
        <v>112.93004799999993</v>
      </c>
      <c r="R9" s="162">
        <f>VLOOKUP(M9,Tarifa1,2)</f>
        <v>583.65</v>
      </c>
      <c r="S9" s="160">
        <f>Q9+R9</f>
        <v>696.58004799999992</v>
      </c>
      <c r="T9" s="160">
        <f>VLOOKUP(M9,Credito1,2)</f>
        <v>0</v>
      </c>
      <c r="U9" s="160">
        <f>ROUND(S9-T9,2)</f>
        <v>696.58</v>
      </c>
      <c r="V9" s="159">
        <f>-IF(U9&gt;0,0,U9)</f>
        <v>0</v>
      </c>
      <c r="W9" s="159">
        <f>IF(I9/15&lt;=SMG,0,IF(U9&lt;0,0,U9))</f>
        <v>696.58</v>
      </c>
      <c r="X9" s="159">
        <f>SUM(W9:W9)</f>
        <v>696.58</v>
      </c>
      <c r="Y9" s="159">
        <f>K9+V9-X9</f>
        <v>6316.42</v>
      </c>
      <c r="Z9" s="146"/>
    </row>
    <row r="10" spans="1:32" s="53" customFormat="1" ht="150" customHeight="1" x14ac:dyDescent="0.3">
      <c r="A10" s="37"/>
      <c r="B10" s="151" t="s">
        <v>152</v>
      </c>
      <c r="C10" s="152" t="s">
        <v>113</v>
      </c>
      <c r="D10" s="263" t="s">
        <v>136</v>
      </c>
      <c r="E10" s="221">
        <v>43374</v>
      </c>
      <c r="F10" s="154" t="s">
        <v>262</v>
      </c>
      <c r="G10" s="155">
        <v>15</v>
      </c>
      <c r="H10" s="156">
        <v>341.11</v>
      </c>
      <c r="I10" s="157">
        <v>4814</v>
      </c>
      <c r="J10" s="158">
        <v>0</v>
      </c>
      <c r="K10" s="159">
        <f>SUM(I10:J10)</f>
        <v>4814</v>
      </c>
      <c r="L10" s="160">
        <f>IF(I10/15&lt;=SMG,0,J10/2)</f>
        <v>0</v>
      </c>
      <c r="M10" s="160">
        <f>I10+L10</f>
        <v>4814</v>
      </c>
      <c r="N10" s="160">
        <f>VLOOKUP(M10,Tarifa1,1)</f>
        <v>3124.36</v>
      </c>
      <c r="O10" s="160">
        <f>M10-N10</f>
        <v>1689.6399999999999</v>
      </c>
      <c r="P10" s="161">
        <f>VLOOKUP(M10,Tarifa1,3)</f>
        <v>0.10879999999999999</v>
      </c>
      <c r="Q10" s="160">
        <f>O10*P10</f>
        <v>183.83283199999997</v>
      </c>
      <c r="R10" s="162">
        <f>VLOOKUP(M10,Tarifa1,2)</f>
        <v>183.45</v>
      </c>
      <c r="S10" s="160">
        <f>Q10+R10</f>
        <v>367.28283199999998</v>
      </c>
      <c r="T10" s="160">
        <f>VLOOKUP(M10,Credito1,2)</f>
        <v>0</v>
      </c>
      <c r="U10" s="160">
        <f>ROUND(S10-T10,2)</f>
        <v>367.28</v>
      </c>
      <c r="V10" s="159">
        <f>-IF(U10&gt;0,0,U10)</f>
        <v>0</v>
      </c>
      <c r="W10" s="159">
        <f>IF(I10/15&lt;=SMG,0,IF(U10&lt;0,0,U10))</f>
        <v>367.28</v>
      </c>
      <c r="X10" s="159">
        <f>SUM(W10:W10)</f>
        <v>367.28</v>
      </c>
      <c r="Y10" s="159">
        <f>K10+V10-X10</f>
        <v>4446.72</v>
      </c>
      <c r="Z10" s="146"/>
    </row>
    <row r="11" spans="1:32" s="53" customFormat="1" ht="84.75" customHeight="1" x14ac:dyDescent="0.3">
      <c r="A11" s="47"/>
      <c r="B11" s="196" t="s">
        <v>100</v>
      </c>
      <c r="C11" s="196" t="s">
        <v>122</v>
      </c>
      <c r="D11" s="247" t="s">
        <v>125</v>
      </c>
      <c r="E11" s="196" t="s">
        <v>293</v>
      </c>
      <c r="F11" s="247" t="s">
        <v>60</v>
      </c>
      <c r="G11" s="247"/>
      <c r="H11" s="247"/>
      <c r="I11" s="248">
        <f>SUM(I12:I12)</f>
        <v>6873</v>
      </c>
      <c r="J11" s="248">
        <f>SUM(J12:J12)</f>
        <v>0</v>
      </c>
      <c r="K11" s="248">
        <f>SUM(K12:K12)</f>
        <v>6873</v>
      </c>
      <c r="L11" s="247"/>
      <c r="M11" s="247"/>
      <c r="N11" s="247"/>
      <c r="O11" s="247"/>
      <c r="P11" s="247"/>
      <c r="Q11" s="247"/>
      <c r="R11" s="250"/>
      <c r="S11" s="247"/>
      <c r="T11" s="247"/>
      <c r="U11" s="247"/>
      <c r="V11" s="248">
        <f>SUM(V12:V12)</f>
        <v>0</v>
      </c>
      <c r="W11" s="248">
        <f>SUM(W12:W12)</f>
        <v>671.49</v>
      </c>
      <c r="X11" s="248">
        <f>SUM(X12:X12)</f>
        <v>671.49</v>
      </c>
      <c r="Y11" s="248">
        <f>SUM(Y12:Y12)</f>
        <v>6201.51</v>
      </c>
      <c r="Z11" s="103"/>
      <c r="AF11" s="61"/>
    </row>
    <row r="12" spans="1:32" s="53" customFormat="1" ht="149.25" customHeight="1" x14ac:dyDescent="0.3">
      <c r="A12" s="47" t="s">
        <v>86</v>
      </c>
      <c r="B12" s="152" t="s">
        <v>112</v>
      </c>
      <c r="C12" s="152" t="s">
        <v>113</v>
      </c>
      <c r="D12" s="263" t="s">
        <v>92</v>
      </c>
      <c r="E12" s="224">
        <v>42278</v>
      </c>
      <c r="F12" s="154" t="s">
        <v>93</v>
      </c>
      <c r="G12" s="155">
        <v>15</v>
      </c>
      <c r="H12" s="156">
        <f t="shared" ref="H12:H36" si="0">I12/G12</f>
        <v>458.2</v>
      </c>
      <c r="I12" s="157">
        <v>6873</v>
      </c>
      <c r="J12" s="158">
        <v>0</v>
      </c>
      <c r="K12" s="159">
        <f>SUM(I12:J12)</f>
        <v>6873</v>
      </c>
      <c r="L12" s="160">
        <f>IF(I12/15&lt;=SMG,0,J12/2)</f>
        <v>0</v>
      </c>
      <c r="M12" s="160">
        <f>I12+L12</f>
        <v>6873</v>
      </c>
      <c r="N12" s="160">
        <f>VLOOKUP(M12,Tarifa1,1)</f>
        <v>6382.81</v>
      </c>
      <c r="O12" s="160">
        <f>M12-N12</f>
        <v>490.1899999999996</v>
      </c>
      <c r="P12" s="161">
        <f>VLOOKUP(M12,Tarifa1,3)</f>
        <v>0.1792</v>
      </c>
      <c r="Q12" s="160">
        <f>O12*P12</f>
        <v>87.842047999999934</v>
      </c>
      <c r="R12" s="162">
        <f>VLOOKUP(M12,Tarifa1,2)</f>
        <v>583.65</v>
      </c>
      <c r="S12" s="160">
        <f>Q12+R12</f>
        <v>671.49204799999995</v>
      </c>
      <c r="T12" s="160">
        <f>VLOOKUP(M12,Credito1,2)</f>
        <v>0</v>
      </c>
      <c r="U12" s="160">
        <f>ROUND(S12-T12,2)</f>
        <v>671.49</v>
      </c>
      <c r="V12" s="159">
        <f>-IF(U12&gt;0,0,U12)</f>
        <v>0</v>
      </c>
      <c r="W12" s="159">
        <f>IF(I12/15&lt;=SMG,0,IF(U12&lt;0,0,U12))</f>
        <v>671.49</v>
      </c>
      <c r="X12" s="159">
        <f>SUM(W12:W12)</f>
        <v>671.49</v>
      </c>
      <c r="Y12" s="159">
        <f>K12+V12-X12</f>
        <v>6201.51</v>
      </c>
      <c r="Z12" s="95"/>
      <c r="AF12" s="66"/>
    </row>
    <row r="13" spans="1:32" s="53" customFormat="1" ht="51.75" customHeight="1" x14ac:dyDescent="0.3">
      <c r="A13" s="47"/>
      <c r="B13" s="196" t="s">
        <v>100</v>
      </c>
      <c r="C13" s="196" t="s">
        <v>122</v>
      </c>
      <c r="D13" s="196" t="s">
        <v>126</v>
      </c>
      <c r="E13" s="196" t="s">
        <v>293</v>
      </c>
      <c r="F13" s="247" t="s">
        <v>60</v>
      </c>
      <c r="G13" s="247"/>
      <c r="H13" s="247"/>
      <c r="I13" s="248">
        <f>SUM(I14:I16)</f>
        <v>17332.93</v>
      </c>
      <c r="J13" s="248">
        <f>SUM(J14:J16)</f>
        <v>0</v>
      </c>
      <c r="K13" s="248">
        <f>SUM(K14:K16)</f>
        <v>17332.93</v>
      </c>
      <c r="L13" s="247"/>
      <c r="M13" s="247"/>
      <c r="N13" s="247"/>
      <c r="O13" s="247"/>
      <c r="P13" s="247"/>
      <c r="Q13" s="247"/>
      <c r="R13" s="250"/>
      <c r="S13" s="247"/>
      <c r="T13" s="247"/>
      <c r="U13" s="247"/>
      <c r="V13" s="248">
        <f>SUM(V14:V16)</f>
        <v>0</v>
      </c>
      <c r="W13" s="248">
        <f>SUM(W14:W16)</f>
        <v>1538.17</v>
      </c>
      <c r="X13" s="248">
        <f>SUM(X14:X16)</f>
        <v>1538.17</v>
      </c>
      <c r="Y13" s="248">
        <f>SUM(Y14:Y16)</f>
        <v>15794.76</v>
      </c>
      <c r="Z13" s="103"/>
      <c r="AF13" s="66"/>
    </row>
    <row r="14" spans="1:32" s="53" customFormat="1" ht="149.25" customHeight="1" x14ac:dyDescent="0.35">
      <c r="A14" s="47" t="s">
        <v>87</v>
      </c>
      <c r="B14" s="186">
        <v>185</v>
      </c>
      <c r="C14" s="152" t="s">
        <v>113</v>
      </c>
      <c r="D14" s="264" t="s">
        <v>148</v>
      </c>
      <c r="E14" s="223">
        <v>43374</v>
      </c>
      <c r="F14" s="154" t="s">
        <v>94</v>
      </c>
      <c r="G14" s="155">
        <v>15</v>
      </c>
      <c r="H14" s="156">
        <f t="shared" si="0"/>
        <v>497.6</v>
      </c>
      <c r="I14" s="157">
        <v>7464</v>
      </c>
      <c r="J14" s="158">
        <v>0</v>
      </c>
      <c r="K14" s="159">
        <f t="shared" ref="K14" si="1">SUM(I14:J14)</f>
        <v>7464</v>
      </c>
      <c r="L14" s="160">
        <f>IF(I14/15&lt;=SMG,0,J14/2)</f>
        <v>0</v>
      </c>
      <c r="M14" s="160">
        <f>I14+L14</f>
        <v>7464</v>
      </c>
      <c r="N14" s="160">
        <f>VLOOKUP(M14,Tarifa1,1)</f>
        <v>6382.81</v>
      </c>
      <c r="O14" s="160">
        <f>M14-N14</f>
        <v>1081.1899999999996</v>
      </c>
      <c r="P14" s="161">
        <f>VLOOKUP(M14,Tarifa1,3)</f>
        <v>0.1792</v>
      </c>
      <c r="Q14" s="160">
        <f>O14*P14</f>
        <v>193.74924799999994</v>
      </c>
      <c r="R14" s="162">
        <f>VLOOKUP(M14,Tarifa1,2)</f>
        <v>583.65</v>
      </c>
      <c r="S14" s="160">
        <f>Q14+R14</f>
        <v>777.39924799999994</v>
      </c>
      <c r="T14" s="160">
        <f>VLOOKUP(M14,Credito1,2)</f>
        <v>0</v>
      </c>
      <c r="U14" s="160">
        <f>ROUND(S14-T14,2)</f>
        <v>777.4</v>
      </c>
      <c r="V14" s="159">
        <f>-IF(U14&gt;0,0,U14)</f>
        <v>0</v>
      </c>
      <c r="W14" s="159">
        <f>IF(I14/15&lt;=SMG,0,IF(U14&lt;0,0,U14))</f>
        <v>777.4</v>
      </c>
      <c r="X14" s="159">
        <f>SUM(W14:W14)</f>
        <v>777.4</v>
      </c>
      <c r="Y14" s="159">
        <f>K14+V14-X14</f>
        <v>6686.6</v>
      </c>
      <c r="Z14" s="95"/>
      <c r="AF14" s="66"/>
    </row>
    <row r="15" spans="1:32" s="53" customFormat="1" ht="149.25" customHeight="1" x14ac:dyDescent="0.35">
      <c r="A15" s="47"/>
      <c r="B15" s="151" t="s">
        <v>282</v>
      </c>
      <c r="C15" s="152" t="s">
        <v>113</v>
      </c>
      <c r="D15" s="218" t="s">
        <v>281</v>
      </c>
      <c r="E15" s="225">
        <v>44958</v>
      </c>
      <c r="F15" s="154" t="s">
        <v>141</v>
      </c>
      <c r="G15" s="155">
        <v>15</v>
      </c>
      <c r="H15" s="156">
        <f>I15/G15</f>
        <v>358.6</v>
      </c>
      <c r="I15" s="157">
        <v>5379</v>
      </c>
      <c r="J15" s="158">
        <v>0</v>
      </c>
      <c r="K15" s="159">
        <f>SUM(I15:J15)</f>
        <v>5379</v>
      </c>
      <c r="L15" s="160">
        <f>IF(I15/15&lt;=SMG,0,J15/2)</f>
        <v>0</v>
      </c>
      <c r="M15" s="160">
        <f t="shared" ref="M15:M16" si="2">I15+L15</f>
        <v>5379</v>
      </c>
      <c r="N15" s="160">
        <f>VLOOKUP(M15,Tarifa1,1)</f>
        <v>3124.36</v>
      </c>
      <c r="O15" s="160">
        <f t="shared" ref="O15:O16" si="3">M15-N15</f>
        <v>2254.64</v>
      </c>
      <c r="P15" s="161">
        <f>VLOOKUP(M15,Tarifa1,3)</f>
        <v>0.10879999999999999</v>
      </c>
      <c r="Q15" s="160">
        <f t="shared" ref="Q15:Q16" si="4">O15*P15</f>
        <v>245.30483199999998</v>
      </c>
      <c r="R15" s="162">
        <f>VLOOKUP(M15,Tarifa1,2)</f>
        <v>183.45</v>
      </c>
      <c r="S15" s="160">
        <f t="shared" ref="S15:S16" si="5">Q15+R15</f>
        <v>428.75483199999996</v>
      </c>
      <c r="T15" s="160">
        <f>VLOOKUP(M15,Credito1,2)</f>
        <v>0</v>
      </c>
      <c r="U15" s="160">
        <f t="shared" ref="U15:U16" si="6">ROUND(S15-T15,2)</f>
        <v>428.75</v>
      </c>
      <c r="V15" s="159">
        <f t="shared" ref="V15:V16" si="7">-IF(U15&gt;0,0,U15)</f>
        <v>0</v>
      </c>
      <c r="W15" s="159">
        <f>IF(I15/15&lt;=SMG,0,IF(U15&lt;0,0,U15))</f>
        <v>428.75</v>
      </c>
      <c r="X15" s="159">
        <f>SUM(W15:W15)</f>
        <v>428.75</v>
      </c>
      <c r="Y15" s="159">
        <f>K15+V15-X15</f>
        <v>4950.25</v>
      </c>
      <c r="Z15" s="95"/>
      <c r="AF15" s="66"/>
    </row>
    <row r="16" spans="1:32" s="53" customFormat="1" ht="149.25" customHeight="1" x14ac:dyDescent="0.35">
      <c r="A16" s="47"/>
      <c r="B16" s="151" t="s">
        <v>180</v>
      </c>
      <c r="C16" s="152" t="s">
        <v>113</v>
      </c>
      <c r="D16" s="265" t="s">
        <v>178</v>
      </c>
      <c r="E16" s="225">
        <v>43617</v>
      </c>
      <c r="F16" s="154" t="s">
        <v>179</v>
      </c>
      <c r="G16" s="155">
        <v>15</v>
      </c>
      <c r="H16" s="156"/>
      <c r="I16" s="157">
        <v>4489.93</v>
      </c>
      <c r="J16" s="158">
        <v>0</v>
      </c>
      <c r="K16" s="159">
        <f>SUM(I16:J16)</f>
        <v>4489.93</v>
      </c>
      <c r="L16" s="160">
        <f>IF(I16/15&lt;=SMG,0,J16/2)</f>
        <v>0</v>
      </c>
      <c r="M16" s="160">
        <f t="shared" si="2"/>
        <v>4489.93</v>
      </c>
      <c r="N16" s="160">
        <f>VLOOKUP(M16,Tarifa1,1)</f>
        <v>3124.36</v>
      </c>
      <c r="O16" s="160">
        <f t="shared" si="3"/>
        <v>1365.5700000000002</v>
      </c>
      <c r="P16" s="161">
        <f>VLOOKUP(M16,Tarifa1,3)</f>
        <v>0.10879999999999999</v>
      </c>
      <c r="Q16" s="160">
        <f t="shared" si="4"/>
        <v>148.574016</v>
      </c>
      <c r="R16" s="162">
        <f>VLOOKUP(M16,Tarifa1,2)</f>
        <v>183.45</v>
      </c>
      <c r="S16" s="160">
        <f t="shared" si="5"/>
        <v>332.02401599999996</v>
      </c>
      <c r="T16" s="160">
        <f>VLOOKUP(M16,Credito1,2)</f>
        <v>0</v>
      </c>
      <c r="U16" s="160">
        <f t="shared" si="6"/>
        <v>332.02</v>
      </c>
      <c r="V16" s="159">
        <f t="shared" si="7"/>
        <v>0</v>
      </c>
      <c r="W16" s="159">
        <f>IF(I16/15&lt;=SMG,0,IF(U16&lt;0,0,U16))</f>
        <v>332.02</v>
      </c>
      <c r="X16" s="159">
        <f>SUM(W16:W16)</f>
        <v>332.02</v>
      </c>
      <c r="Y16" s="159">
        <f>K16+V16-X16</f>
        <v>4157.91</v>
      </c>
      <c r="Z16" s="95"/>
      <c r="AF16" s="66"/>
    </row>
    <row r="17" spans="1:32" s="53" customFormat="1" ht="24" customHeight="1" x14ac:dyDescent="0.3">
      <c r="A17" s="47"/>
      <c r="B17" s="207"/>
      <c r="C17" s="193"/>
      <c r="D17" s="208"/>
      <c r="E17" s="208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96"/>
      <c r="AF17" s="66"/>
    </row>
    <row r="18" spans="1:32" s="53" customFormat="1" ht="24" customHeight="1" x14ac:dyDescent="0.3">
      <c r="A18" s="47"/>
      <c r="B18" s="207"/>
      <c r="C18" s="193"/>
      <c r="D18" s="208"/>
      <c r="E18" s="208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96"/>
      <c r="AF18" s="66"/>
    </row>
    <row r="19" spans="1:32" s="53" customFormat="1" ht="24" customHeight="1" x14ac:dyDescent="0.3">
      <c r="A19" s="47"/>
      <c r="B19" s="207"/>
      <c r="C19" s="193"/>
      <c r="D19" s="208"/>
      <c r="E19" s="208"/>
      <c r="F19" s="200"/>
      <c r="G19" s="201"/>
      <c r="H19" s="202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96"/>
      <c r="AF19" s="66"/>
    </row>
    <row r="20" spans="1:32" s="53" customFormat="1" ht="24" customHeight="1" x14ac:dyDescent="0.3">
      <c r="A20" s="47"/>
      <c r="B20" s="207"/>
      <c r="C20" s="193"/>
      <c r="D20" s="208"/>
      <c r="E20" s="208"/>
      <c r="F20" s="200"/>
      <c r="G20" s="201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96"/>
      <c r="AF20" s="66"/>
    </row>
    <row r="21" spans="1:32" s="53" customFormat="1" ht="24" customHeight="1" x14ac:dyDescent="0.3">
      <c r="A21" s="47"/>
      <c r="B21" s="207"/>
      <c r="C21" s="193"/>
      <c r="D21" s="208"/>
      <c r="E21" s="208"/>
      <c r="F21" s="200"/>
      <c r="G21" s="201"/>
      <c r="H21" s="202"/>
      <c r="I21" s="203"/>
      <c r="J21" s="204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96"/>
      <c r="AF21" s="66"/>
    </row>
    <row r="22" spans="1:32" s="53" customFormat="1" ht="24" customHeight="1" x14ac:dyDescent="0.3">
      <c r="A22" s="47"/>
      <c r="B22" s="207"/>
      <c r="C22" s="193"/>
      <c r="D22" s="208"/>
      <c r="E22" s="208"/>
      <c r="F22" s="200"/>
      <c r="G22" s="201"/>
      <c r="H22" s="202"/>
      <c r="I22" s="203"/>
      <c r="J22" s="204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96"/>
      <c r="AF22" s="66"/>
    </row>
    <row r="23" spans="1:32" s="53" customFormat="1" ht="24" customHeight="1" x14ac:dyDescent="0.3">
      <c r="A23" s="47"/>
      <c r="B23" s="207"/>
      <c r="C23" s="193"/>
      <c r="D23" s="208"/>
      <c r="E23" s="208"/>
      <c r="F23" s="200"/>
      <c r="G23" s="201"/>
      <c r="H23" s="202"/>
      <c r="I23" s="203"/>
      <c r="J23" s="204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96"/>
      <c r="AF23" s="66"/>
    </row>
    <row r="24" spans="1:32" s="53" customFormat="1" ht="24" customHeight="1" x14ac:dyDescent="0.3">
      <c r="A24" s="47"/>
      <c r="B24" s="207"/>
      <c r="C24" s="193"/>
      <c r="D24" s="208"/>
      <c r="E24" s="208"/>
      <c r="F24" s="200"/>
      <c r="G24" s="201"/>
      <c r="H24" s="202"/>
      <c r="I24" s="203"/>
      <c r="J24" s="204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96"/>
      <c r="AF24" s="66"/>
    </row>
    <row r="25" spans="1:32" s="53" customFormat="1" ht="24" customHeight="1" x14ac:dyDescent="0.3">
      <c r="A25" s="47"/>
      <c r="B25" s="207"/>
      <c r="C25" s="193"/>
      <c r="D25" s="208"/>
      <c r="E25" s="208"/>
      <c r="F25" s="200"/>
      <c r="G25" s="201"/>
      <c r="H25" s="202"/>
      <c r="I25" s="203"/>
      <c r="J25" s="204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96"/>
      <c r="AF25" s="66"/>
    </row>
    <row r="26" spans="1:32" s="53" customFormat="1" ht="26.25" customHeight="1" x14ac:dyDescent="0.3">
      <c r="A26" s="47"/>
      <c r="B26" s="299" t="s">
        <v>77</v>
      </c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F26" s="66"/>
    </row>
    <row r="27" spans="1:32" s="53" customFormat="1" ht="21.75" customHeight="1" x14ac:dyDescent="0.3">
      <c r="A27" s="47"/>
      <c r="B27" s="299" t="s">
        <v>63</v>
      </c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F27" s="66"/>
    </row>
    <row r="28" spans="1:32" s="53" customFormat="1" ht="25.5" customHeight="1" x14ac:dyDescent="0.3">
      <c r="A28" s="47"/>
      <c r="B28" s="290" t="s">
        <v>344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F28" s="66"/>
    </row>
    <row r="29" spans="1:32" s="53" customFormat="1" ht="25.5" customHeight="1" x14ac:dyDescent="0.3">
      <c r="A29" s="20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F29" s="66"/>
    </row>
    <row r="30" spans="1:32" s="53" customFormat="1" ht="72.75" customHeight="1" x14ac:dyDescent="0.3">
      <c r="A30" s="206"/>
      <c r="B30" s="196" t="s">
        <v>100</v>
      </c>
      <c r="C30" s="196" t="s">
        <v>122</v>
      </c>
      <c r="D30" s="247" t="s">
        <v>274</v>
      </c>
      <c r="E30" s="196" t="s">
        <v>293</v>
      </c>
      <c r="F30" s="247" t="s">
        <v>60</v>
      </c>
      <c r="G30" s="247"/>
      <c r="H30" s="247"/>
      <c r="I30" s="248">
        <f>SUM(I31:I35)</f>
        <v>36893.020000000004</v>
      </c>
      <c r="J30" s="248">
        <f>SUM(J31:J35)</f>
        <v>0</v>
      </c>
      <c r="K30" s="248">
        <f>SUM(K31:K35)</f>
        <v>36893.020000000004</v>
      </c>
      <c r="L30" s="247"/>
      <c r="M30" s="247"/>
      <c r="N30" s="247"/>
      <c r="O30" s="247"/>
      <c r="P30" s="247"/>
      <c r="Q30" s="247"/>
      <c r="R30" s="250"/>
      <c r="S30" s="247"/>
      <c r="T30" s="247"/>
      <c r="U30" s="247"/>
      <c r="V30" s="248">
        <f>SUM(V31:V35)</f>
        <v>0</v>
      </c>
      <c r="W30" s="248">
        <f>SUM(W31:W35)</f>
        <v>3889.85</v>
      </c>
      <c r="X30" s="248">
        <f>SUM(X31:X35)</f>
        <v>3889.85</v>
      </c>
      <c r="Y30" s="248">
        <f>SUM(Y31:Y35)</f>
        <v>33003.17</v>
      </c>
      <c r="Z30" s="103"/>
      <c r="AA30" s="197"/>
      <c r="AF30" s="66"/>
    </row>
    <row r="31" spans="1:32" s="53" customFormat="1" ht="149.25" customHeight="1" x14ac:dyDescent="0.35">
      <c r="A31" s="206"/>
      <c r="B31" s="151" t="s">
        <v>271</v>
      </c>
      <c r="C31" s="152" t="s">
        <v>113</v>
      </c>
      <c r="D31" s="218" t="s">
        <v>272</v>
      </c>
      <c r="E31" s="225">
        <v>44805</v>
      </c>
      <c r="F31" s="154" t="s">
        <v>273</v>
      </c>
      <c r="G31" s="155"/>
      <c r="H31" s="156"/>
      <c r="I31" s="157">
        <v>7013</v>
      </c>
      <c r="J31" s="158">
        <v>0</v>
      </c>
      <c r="K31" s="159">
        <f>SUM(I31:J31)</f>
        <v>7013</v>
      </c>
      <c r="L31" s="160">
        <f>IF(I31/15&lt;=SMG,0,J31/2)</f>
        <v>0</v>
      </c>
      <c r="M31" s="160">
        <f t="shared" ref="M31" si="8">I31+L31</f>
        <v>7013</v>
      </c>
      <c r="N31" s="160">
        <f>VLOOKUP(M31,Tarifa1,1)</f>
        <v>6382.81</v>
      </c>
      <c r="O31" s="160">
        <f t="shared" ref="O31" si="9">M31-N31</f>
        <v>630.1899999999996</v>
      </c>
      <c r="P31" s="161">
        <f>VLOOKUP(M31,Tarifa1,3)</f>
        <v>0.1792</v>
      </c>
      <c r="Q31" s="160">
        <f t="shared" ref="Q31" si="10">O31*P31</f>
        <v>112.93004799999993</v>
      </c>
      <c r="R31" s="162">
        <f>VLOOKUP(M31,Tarifa1,2)</f>
        <v>583.65</v>
      </c>
      <c r="S31" s="160">
        <f t="shared" ref="S31" si="11">Q31+R31</f>
        <v>696.58004799999992</v>
      </c>
      <c r="T31" s="160">
        <f>VLOOKUP(M31,Credito1,2)</f>
        <v>0</v>
      </c>
      <c r="U31" s="160">
        <f t="shared" ref="U31" si="12">ROUND(S31-T31,2)</f>
        <v>696.58</v>
      </c>
      <c r="V31" s="159">
        <f t="shared" ref="V31" si="13">-IF(U31&gt;0,0,U31)</f>
        <v>0</v>
      </c>
      <c r="W31" s="159">
        <f>IF(I31/15&lt;=SMG,0,IF(U31&lt;0,0,U31))</f>
        <v>696.58</v>
      </c>
      <c r="X31" s="159">
        <f>SUM(W31:W31)</f>
        <v>696.58</v>
      </c>
      <c r="Y31" s="159">
        <f>K31+V31-X31</f>
        <v>6316.42</v>
      </c>
      <c r="Z31" s="95"/>
      <c r="AA31" s="197"/>
      <c r="AF31" s="66"/>
    </row>
    <row r="32" spans="1:32" s="53" customFormat="1" ht="60.75" customHeight="1" x14ac:dyDescent="0.3">
      <c r="A32" s="206"/>
      <c r="B32" s="196" t="s">
        <v>100</v>
      </c>
      <c r="C32" s="196" t="s">
        <v>122</v>
      </c>
      <c r="D32" s="247" t="s">
        <v>320</v>
      </c>
      <c r="E32" s="196" t="s">
        <v>293</v>
      </c>
      <c r="F32" s="247" t="s">
        <v>60</v>
      </c>
      <c r="G32" s="247"/>
      <c r="H32" s="247"/>
      <c r="I32" s="248">
        <f>I34</f>
        <v>8490.51</v>
      </c>
      <c r="J32" s="248">
        <f>J34</f>
        <v>0</v>
      </c>
      <c r="K32" s="248">
        <f>K34</f>
        <v>8490.51</v>
      </c>
      <c r="L32" s="247"/>
      <c r="M32" s="247"/>
      <c r="N32" s="247"/>
      <c r="O32" s="247"/>
      <c r="P32" s="247"/>
      <c r="Q32" s="247"/>
      <c r="R32" s="250"/>
      <c r="S32" s="247"/>
      <c r="T32" s="247"/>
      <c r="U32" s="247"/>
      <c r="V32" s="248">
        <f>V34</f>
        <v>0</v>
      </c>
      <c r="W32" s="248">
        <f>W34</f>
        <v>990.51</v>
      </c>
      <c r="X32" s="248">
        <f>X34</f>
        <v>990.51</v>
      </c>
      <c r="Y32" s="248">
        <f>Y34</f>
        <v>7500</v>
      </c>
      <c r="Z32" s="103"/>
      <c r="AA32" s="197"/>
      <c r="AF32" s="66"/>
    </row>
    <row r="33" spans="1:32" s="53" customFormat="1" ht="88.5" customHeight="1" x14ac:dyDescent="0.35">
      <c r="A33" s="206"/>
      <c r="B33" s="151" t="s">
        <v>342</v>
      </c>
      <c r="C33" s="152" t="s">
        <v>113</v>
      </c>
      <c r="D33" s="218" t="s">
        <v>343</v>
      </c>
      <c r="E33" s="225">
        <v>45170</v>
      </c>
      <c r="F33" s="275" t="s">
        <v>351</v>
      </c>
      <c r="G33" s="155"/>
      <c r="H33" s="156"/>
      <c r="I33" s="157">
        <v>7464</v>
      </c>
      <c r="J33" s="158">
        <v>0</v>
      </c>
      <c r="K33" s="159">
        <f>SUM(I33:J33)</f>
        <v>7464</v>
      </c>
      <c r="L33" s="160">
        <f>IF(I33/15&lt;=SMG,0,J33/2)</f>
        <v>0</v>
      </c>
      <c r="M33" s="160">
        <f t="shared" ref="M33" si="14">I33+L33</f>
        <v>7464</v>
      </c>
      <c r="N33" s="160">
        <f>VLOOKUP(M33,Tarifa1,1)</f>
        <v>6382.81</v>
      </c>
      <c r="O33" s="160">
        <f t="shared" ref="O33" si="15">M33-N33</f>
        <v>1081.1899999999996</v>
      </c>
      <c r="P33" s="161">
        <f>VLOOKUP(M33,Tarifa1,3)</f>
        <v>0.1792</v>
      </c>
      <c r="Q33" s="160">
        <f t="shared" ref="Q33" si="16">O33*P33</f>
        <v>193.74924799999994</v>
      </c>
      <c r="R33" s="162">
        <f>VLOOKUP(M33,Tarifa1,2)</f>
        <v>583.65</v>
      </c>
      <c r="S33" s="160">
        <f t="shared" ref="S33" si="17">Q33+R33</f>
        <v>777.39924799999994</v>
      </c>
      <c r="T33" s="160">
        <f>VLOOKUP(M33,Credito1,2)</f>
        <v>0</v>
      </c>
      <c r="U33" s="160">
        <f t="shared" ref="U33" si="18">ROUND(S33-T33,2)</f>
        <v>777.4</v>
      </c>
      <c r="V33" s="159">
        <f t="shared" ref="V33" si="19">-IF(U33&gt;0,0,U33)</f>
        <v>0</v>
      </c>
      <c r="W33" s="159">
        <f>IF(I33/15&lt;=SMG,0,IF(U33&lt;0,0,U33))</f>
        <v>777.4</v>
      </c>
      <c r="X33" s="159">
        <f>SUM(W33:W33)</f>
        <v>777.4</v>
      </c>
      <c r="Y33" s="159">
        <f>K33+V33-X33</f>
        <v>6686.6</v>
      </c>
      <c r="Z33" s="95"/>
      <c r="AA33" s="197"/>
      <c r="AF33" s="66"/>
    </row>
    <row r="34" spans="1:32" s="53" customFormat="1" ht="149.25" customHeight="1" x14ac:dyDescent="0.35">
      <c r="A34" s="206"/>
      <c r="B34" s="151" t="s">
        <v>333</v>
      </c>
      <c r="C34" s="152" t="s">
        <v>113</v>
      </c>
      <c r="D34" s="218" t="s">
        <v>321</v>
      </c>
      <c r="E34" s="225">
        <v>45108</v>
      </c>
      <c r="F34" s="275" t="s">
        <v>322</v>
      </c>
      <c r="G34" s="155"/>
      <c r="H34" s="156"/>
      <c r="I34" s="157">
        <v>8490.51</v>
      </c>
      <c r="J34" s="158">
        <v>0</v>
      </c>
      <c r="K34" s="159">
        <f t="shared" ref="K34" si="20">SUM(I34:J34)</f>
        <v>8490.51</v>
      </c>
      <c r="L34" s="160">
        <f t="shared" ref="L34" si="21">IF(I34/15&lt;=SMG,0,J34/2)</f>
        <v>0</v>
      </c>
      <c r="M34" s="160">
        <f t="shared" ref="M34" si="22">I34+L34</f>
        <v>8490.51</v>
      </c>
      <c r="N34" s="160">
        <f t="shared" ref="N34" si="23">VLOOKUP(M34,Tarifa1,1)</f>
        <v>7641.91</v>
      </c>
      <c r="O34" s="160">
        <f t="shared" ref="O34" si="24">M34-N34</f>
        <v>848.60000000000036</v>
      </c>
      <c r="P34" s="161">
        <f t="shared" ref="P34" si="25">VLOOKUP(M34,Tarifa1,3)</f>
        <v>0.21360000000000001</v>
      </c>
      <c r="Q34" s="160">
        <f t="shared" ref="Q34" si="26">O34*P34</f>
        <v>181.2609600000001</v>
      </c>
      <c r="R34" s="162">
        <f t="shared" ref="R34" si="27">VLOOKUP(M34,Tarifa1,2)</f>
        <v>809.25</v>
      </c>
      <c r="S34" s="160">
        <f t="shared" ref="S34" si="28">Q34+R34</f>
        <v>990.51096000000007</v>
      </c>
      <c r="T34" s="160">
        <f t="shared" ref="T34" si="29">VLOOKUP(M34,Credito1,2)</f>
        <v>0</v>
      </c>
      <c r="U34" s="160">
        <f t="shared" ref="U34" si="30">ROUND(S34-T34,2)</f>
        <v>990.51</v>
      </c>
      <c r="V34" s="159">
        <f t="shared" ref="V34" si="31">-IF(U34&gt;0,0,U34)</f>
        <v>0</v>
      </c>
      <c r="W34" s="159">
        <f t="shared" ref="W34" si="32">IF(I34/15&lt;=SMG,0,IF(U34&lt;0,0,U34))</f>
        <v>990.51</v>
      </c>
      <c r="X34" s="159">
        <f>SUM(W34:W34)</f>
        <v>990.51</v>
      </c>
      <c r="Y34" s="159">
        <f>K34+V34-X34</f>
        <v>7500</v>
      </c>
      <c r="Z34" s="95"/>
      <c r="AA34" s="197"/>
      <c r="AF34" s="66"/>
    </row>
    <row r="35" spans="1:32" s="115" customFormat="1" ht="71.25" customHeight="1" x14ac:dyDescent="0.3">
      <c r="A35" s="152"/>
      <c r="B35" s="196" t="s">
        <v>100</v>
      </c>
      <c r="C35" s="196" t="s">
        <v>122</v>
      </c>
      <c r="D35" s="196" t="s">
        <v>127</v>
      </c>
      <c r="E35" s="196" t="s">
        <v>293</v>
      </c>
      <c r="F35" s="247" t="s">
        <v>60</v>
      </c>
      <c r="G35" s="247"/>
      <c r="H35" s="247"/>
      <c r="I35" s="248">
        <f>SUM(I36)</f>
        <v>5435</v>
      </c>
      <c r="J35" s="248">
        <f>SUM(J36)</f>
        <v>0</v>
      </c>
      <c r="K35" s="248">
        <f>SUM(K36)</f>
        <v>5435</v>
      </c>
      <c r="L35" s="247"/>
      <c r="M35" s="247"/>
      <c r="N35" s="247"/>
      <c r="O35" s="247"/>
      <c r="P35" s="247"/>
      <c r="Q35" s="247"/>
      <c r="R35" s="250"/>
      <c r="S35" s="247"/>
      <c r="T35" s="247"/>
      <c r="U35" s="247"/>
      <c r="V35" s="248">
        <f>SUM(V36)</f>
        <v>0</v>
      </c>
      <c r="W35" s="248">
        <f>SUM(W36)</f>
        <v>434.85</v>
      </c>
      <c r="X35" s="248">
        <f>SUM(X36)</f>
        <v>434.85</v>
      </c>
      <c r="Y35" s="248">
        <f>SUM(Y36)</f>
        <v>5000.1499999999996</v>
      </c>
      <c r="Z35" s="251"/>
      <c r="AF35" s="252"/>
    </row>
    <row r="36" spans="1:32" s="115" customFormat="1" ht="150" customHeight="1" x14ac:dyDescent="0.35">
      <c r="A36" s="152" t="s">
        <v>88</v>
      </c>
      <c r="B36" s="151" t="s">
        <v>156</v>
      </c>
      <c r="C36" s="152" t="s">
        <v>113</v>
      </c>
      <c r="D36" s="216" t="s">
        <v>202</v>
      </c>
      <c r="E36" s="221">
        <v>43374</v>
      </c>
      <c r="F36" s="154" t="s">
        <v>99</v>
      </c>
      <c r="G36" s="155">
        <v>15</v>
      </c>
      <c r="H36" s="156">
        <f t="shared" si="0"/>
        <v>362.33333333333331</v>
      </c>
      <c r="I36" s="157">
        <v>5435</v>
      </c>
      <c r="J36" s="158">
        <v>0</v>
      </c>
      <c r="K36" s="159">
        <f>SUM(I36:J36)</f>
        <v>5435</v>
      </c>
      <c r="L36" s="160">
        <f>IF(I36/15&lt;=SMG,0,J36/2)</f>
        <v>0</v>
      </c>
      <c r="M36" s="160">
        <f t="shared" ref="M36" si="33">I36+L36</f>
        <v>5435</v>
      </c>
      <c r="N36" s="160">
        <f>VLOOKUP(M36,Tarifa1,1)</f>
        <v>3124.36</v>
      </c>
      <c r="O36" s="160">
        <f t="shared" ref="O36" si="34">M36-N36</f>
        <v>2310.64</v>
      </c>
      <c r="P36" s="161">
        <f>VLOOKUP(M36,Tarifa1,3)</f>
        <v>0.10879999999999999</v>
      </c>
      <c r="Q36" s="160">
        <f t="shared" ref="Q36" si="35">O36*P36</f>
        <v>251.39763199999996</v>
      </c>
      <c r="R36" s="162">
        <f>VLOOKUP(M36,Tarifa1,2)</f>
        <v>183.45</v>
      </c>
      <c r="S36" s="160">
        <f t="shared" ref="S36" si="36">Q36+R36</f>
        <v>434.84763199999998</v>
      </c>
      <c r="T36" s="160">
        <f>VLOOKUP(M36,Credito1,2)</f>
        <v>0</v>
      </c>
      <c r="U36" s="160">
        <f t="shared" ref="U36" si="37">ROUND(S36-T36,2)</f>
        <v>434.85</v>
      </c>
      <c r="V36" s="159">
        <f>-IF(U36&gt;0,0,U36)</f>
        <v>0</v>
      </c>
      <c r="W36" s="159">
        <f>IF(I36/15&lt;=SMG,0,IF(U36&lt;0,0,U36))</f>
        <v>434.85</v>
      </c>
      <c r="X36" s="159">
        <f>SUM(W36:W36)</f>
        <v>434.85</v>
      </c>
      <c r="Y36" s="159">
        <f>K36+V36-X36</f>
        <v>5000.1499999999996</v>
      </c>
      <c r="Z36" s="114"/>
      <c r="AF36" s="252"/>
    </row>
    <row r="37" spans="1:32" s="115" customFormat="1" ht="61.5" customHeight="1" x14ac:dyDescent="0.3">
      <c r="A37" s="152"/>
      <c r="B37" s="196" t="s">
        <v>100</v>
      </c>
      <c r="C37" s="196" t="s">
        <v>122</v>
      </c>
      <c r="D37" s="196" t="s">
        <v>263</v>
      </c>
      <c r="E37" s="196" t="s">
        <v>293</v>
      </c>
      <c r="F37" s="247" t="s">
        <v>60</v>
      </c>
      <c r="G37" s="247"/>
      <c r="H37" s="247"/>
      <c r="I37" s="248">
        <f>SUM(I38)</f>
        <v>0</v>
      </c>
      <c r="J37" s="248">
        <f>SUM(J38)</f>
        <v>0</v>
      </c>
      <c r="K37" s="248">
        <f>SUM(K38)</f>
        <v>0</v>
      </c>
      <c r="L37" s="247"/>
      <c r="M37" s="247"/>
      <c r="N37" s="247"/>
      <c r="O37" s="247"/>
      <c r="P37" s="247"/>
      <c r="Q37" s="247"/>
      <c r="R37" s="250"/>
      <c r="S37" s="247"/>
      <c r="T37" s="247"/>
      <c r="U37" s="247"/>
      <c r="V37" s="248">
        <f>SUM(V38)</f>
        <v>0</v>
      </c>
      <c r="W37" s="248">
        <f>SUM(W38)</f>
        <v>0</v>
      </c>
      <c r="X37" s="248">
        <f>SUM(X38)</f>
        <v>0</v>
      </c>
      <c r="Y37" s="248">
        <f>SUM(Y38)</f>
        <v>0</v>
      </c>
      <c r="Z37" s="251"/>
      <c r="AF37" s="252"/>
    </row>
    <row r="38" spans="1:32" s="115" customFormat="1" ht="149.25" customHeight="1" x14ac:dyDescent="0.35">
      <c r="A38" s="152"/>
      <c r="B38" s="152" t="s">
        <v>107</v>
      </c>
      <c r="C38" s="152" t="s">
        <v>113</v>
      </c>
      <c r="D38" s="216" t="s">
        <v>97</v>
      </c>
      <c r="E38" s="221">
        <v>40102</v>
      </c>
      <c r="F38" s="154" t="s">
        <v>267</v>
      </c>
      <c r="G38" s="155">
        <v>15</v>
      </c>
      <c r="H38" s="156">
        <v>305.35000000000002</v>
      </c>
      <c r="I38" s="157">
        <v>0</v>
      </c>
      <c r="J38" s="158">
        <v>0</v>
      </c>
      <c r="K38" s="159">
        <f>SUM(I38:J38)</f>
        <v>0</v>
      </c>
      <c r="L38" s="160">
        <f>IF(I38/15&lt;=SMG,0,J38/2)</f>
        <v>0</v>
      </c>
      <c r="M38" s="160">
        <f t="shared" ref="M38" si="38">I38+L38</f>
        <v>0</v>
      </c>
      <c r="N38" s="160" t="e">
        <f>VLOOKUP(M38,Tarifa1,1)</f>
        <v>#N/A</v>
      </c>
      <c r="O38" s="160" t="e">
        <f t="shared" ref="O38" si="39">M38-N38</f>
        <v>#N/A</v>
      </c>
      <c r="P38" s="161" t="e">
        <f>VLOOKUP(M38,Tarifa1,3)</f>
        <v>#N/A</v>
      </c>
      <c r="Q38" s="160" t="e">
        <f t="shared" ref="Q38" si="40">O38*P38</f>
        <v>#N/A</v>
      </c>
      <c r="R38" s="162" t="e">
        <f>VLOOKUP(M38,Tarifa1,2)</f>
        <v>#N/A</v>
      </c>
      <c r="S38" s="160" t="e">
        <f t="shared" ref="S38" si="41">Q38+R38</f>
        <v>#N/A</v>
      </c>
      <c r="T38" s="160" t="e">
        <f>VLOOKUP(M38,Credito1,2)</f>
        <v>#N/A</v>
      </c>
      <c r="U38" s="160" t="e">
        <f t="shared" ref="U38" si="42">ROUND(S38-T38,2)</f>
        <v>#N/A</v>
      </c>
      <c r="V38" s="159">
        <v>0</v>
      </c>
      <c r="W38" s="159">
        <f>IF(I38/15&lt;=SMG,0,IF(U38&lt;0,0,U38))</f>
        <v>0</v>
      </c>
      <c r="X38" s="159">
        <f>SUM(W38:W38)</f>
        <v>0</v>
      </c>
      <c r="Y38" s="159">
        <f>K38+V38-X38</f>
        <v>0</v>
      </c>
      <c r="Z38" s="114"/>
      <c r="AF38" s="252"/>
    </row>
    <row r="39" spans="1:32" s="115" customFormat="1" ht="57.75" customHeight="1" x14ac:dyDescent="0.3">
      <c r="A39" s="228"/>
      <c r="B39" s="196" t="s">
        <v>100</v>
      </c>
      <c r="C39" s="196" t="s">
        <v>122</v>
      </c>
      <c r="D39" s="247" t="s">
        <v>142</v>
      </c>
      <c r="E39" s="196" t="s">
        <v>293</v>
      </c>
      <c r="F39" s="247" t="s">
        <v>60</v>
      </c>
      <c r="G39" s="247"/>
      <c r="H39" s="247"/>
      <c r="I39" s="248">
        <f>SUM(I40)</f>
        <v>7013</v>
      </c>
      <c r="J39" s="248">
        <f>SUM(J40)</f>
        <v>0</v>
      </c>
      <c r="K39" s="248">
        <f>SUM(K40)</f>
        <v>7013</v>
      </c>
      <c r="L39" s="247"/>
      <c r="M39" s="247"/>
      <c r="N39" s="247"/>
      <c r="O39" s="247"/>
      <c r="P39" s="247"/>
      <c r="Q39" s="247"/>
      <c r="R39" s="250"/>
      <c r="S39" s="247"/>
      <c r="T39" s="247"/>
      <c r="U39" s="247"/>
      <c r="V39" s="248">
        <f>SUM(V40)</f>
        <v>0</v>
      </c>
      <c r="W39" s="248">
        <f>SUM(W40)</f>
        <v>696.58</v>
      </c>
      <c r="X39" s="248">
        <f>SUM(X40)</f>
        <v>696.58</v>
      </c>
      <c r="Y39" s="248">
        <f>SUM(Y40)</f>
        <v>6316.42</v>
      </c>
      <c r="Z39" s="251"/>
    </row>
    <row r="40" spans="1:32" s="115" customFormat="1" ht="150.75" customHeight="1" x14ac:dyDescent="0.35">
      <c r="A40" s="228"/>
      <c r="B40" s="151" t="s">
        <v>155</v>
      </c>
      <c r="C40" s="152" t="s">
        <v>113</v>
      </c>
      <c r="D40" s="216" t="s">
        <v>145</v>
      </c>
      <c r="E40" s="225">
        <v>43101</v>
      </c>
      <c r="F40" s="154" t="s">
        <v>146</v>
      </c>
      <c r="G40" s="155">
        <v>15</v>
      </c>
      <c r="H40" s="156">
        <f>I40/G40</f>
        <v>467.53333333333336</v>
      </c>
      <c r="I40" s="157">
        <v>7013</v>
      </c>
      <c r="J40" s="158">
        <v>0</v>
      </c>
      <c r="K40" s="159">
        <f>SUM(I40:J40)</f>
        <v>7013</v>
      </c>
      <c r="L40" s="160">
        <f>IF(I40/15&lt;=SMG,0,J40/2)</f>
        <v>0</v>
      </c>
      <c r="M40" s="160">
        <f t="shared" ref="M40" si="43">I40+L40</f>
        <v>7013</v>
      </c>
      <c r="N40" s="160">
        <f>VLOOKUP(M40,Tarifa1,1)</f>
        <v>6382.81</v>
      </c>
      <c r="O40" s="160">
        <f t="shared" ref="O40" si="44">M40-N40</f>
        <v>630.1899999999996</v>
      </c>
      <c r="P40" s="161">
        <f>VLOOKUP(M40,Tarifa1,3)</f>
        <v>0.1792</v>
      </c>
      <c r="Q40" s="160">
        <f t="shared" ref="Q40" si="45">O40*P40</f>
        <v>112.93004799999993</v>
      </c>
      <c r="R40" s="162">
        <f>VLOOKUP(M40,Tarifa1,2)</f>
        <v>583.65</v>
      </c>
      <c r="S40" s="160">
        <f t="shared" ref="S40" si="46">Q40+R40</f>
        <v>696.58004799999992</v>
      </c>
      <c r="T40" s="160">
        <f>VLOOKUP(M40,Credito1,2)</f>
        <v>0</v>
      </c>
      <c r="U40" s="160">
        <f t="shared" ref="U40" si="47">ROUND(S40-T40,2)</f>
        <v>696.58</v>
      </c>
      <c r="V40" s="159">
        <f t="shared" ref="V40" si="48">-IF(U40&gt;0,0,U40)</f>
        <v>0</v>
      </c>
      <c r="W40" s="159">
        <f>IF(I40/15&lt;=SMG,0,IF(U40&lt;0,0,U40))</f>
        <v>696.58</v>
      </c>
      <c r="X40" s="159">
        <f>SUM(W40:W40)</f>
        <v>696.58</v>
      </c>
      <c r="Y40" s="159">
        <f>K40+V40-X40</f>
        <v>6316.42</v>
      </c>
      <c r="Z40" s="114"/>
    </row>
    <row r="41" spans="1:32" s="115" customFormat="1" ht="17.399999999999999" x14ac:dyDescent="0.3">
      <c r="A41" s="228"/>
      <c r="B41" s="228"/>
      <c r="C41" s="228"/>
      <c r="D41" s="228"/>
      <c r="E41" s="228"/>
      <c r="F41" s="228"/>
      <c r="G41" s="228"/>
      <c r="H41" s="228"/>
      <c r="I41" s="253"/>
      <c r="J41" s="253"/>
      <c r="K41" s="253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114"/>
    </row>
    <row r="42" spans="1:32" s="115" customFormat="1" ht="39" customHeight="1" x14ac:dyDescent="0.3">
      <c r="A42" s="319" t="s">
        <v>44</v>
      </c>
      <c r="B42" s="319"/>
      <c r="C42" s="319"/>
      <c r="D42" s="319"/>
      <c r="E42" s="319"/>
      <c r="F42" s="319"/>
      <c r="G42" s="319"/>
      <c r="H42" s="319"/>
      <c r="I42" s="187">
        <f>SUM(I8+I11+I13+I30+I35+I37+I39+I32)</f>
        <v>89050.46</v>
      </c>
      <c r="J42" s="187">
        <f>SUM(J8+J11+J13+J30+J35+J37+J39+J32)</f>
        <v>0</v>
      </c>
      <c r="K42" s="187">
        <f>SUM(K8+K11+K13+K30+K35+K37+K39+K32)</f>
        <v>89050.46</v>
      </c>
      <c r="L42" s="188">
        <f t="shared" ref="L42:U42" si="49">SUM(L11:L41)</f>
        <v>0</v>
      </c>
      <c r="M42" s="188">
        <f t="shared" si="49"/>
        <v>59621.440000000002</v>
      </c>
      <c r="N42" s="188" t="e">
        <f t="shared" si="49"/>
        <v>#N/A</v>
      </c>
      <c r="O42" s="188" t="e">
        <f t="shared" si="49"/>
        <v>#N/A</v>
      </c>
      <c r="P42" s="188" t="e">
        <f t="shared" si="49"/>
        <v>#N/A</v>
      </c>
      <c r="Q42" s="188" t="e">
        <f t="shared" si="49"/>
        <v>#N/A</v>
      </c>
      <c r="R42" s="188" t="e">
        <f t="shared" si="49"/>
        <v>#N/A</v>
      </c>
      <c r="S42" s="188" t="e">
        <f t="shared" si="49"/>
        <v>#N/A</v>
      </c>
      <c r="T42" s="188" t="e">
        <f t="shared" si="49"/>
        <v>#N/A</v>
      </c>
      <c r="U42" s="188" t="e">
        <f t="shared" si="49"/>
        <v>#N/A</v>
      </c>
      <c r="V42" s="187">
        <f>SUM(V8+V11+V13+V30+V35+V37+V39+V32)</f>
        <v>0</v>
      </c>
      <c r="W42" s="187">
        <f>SUM(W8+W11+W13+W30+W35+W37+W39+W32)</f>
        <v>8918.0300000000007</v>
      </c>
      <c r="X42" s="187">
        <f>SUM(X8+X11+X13+X30+X35+X37+X39+X32)</f>
        <v>8918.0300000000007</v>
      </c>
      <c r="Y42" s="187">
        <f>SUM(Y8+Y11+Y13+Y30+Y35+Y37+Y39+Y32)</f>
        <v>80132.429999999993</v>
      </c>
      <c r="Z42" s="114"/>
    </row>
    <row r="43" spans="1:32" s="53" customFormat="1" ht="11.4" x14ac:dyDescent="0.2"/>
    <row r="44" spans="1:32" s="53" customFormat="1" ht="11.4" x14ac:dyDescent="0.2"/>
    <row r="45" spans="1:32" s="53" customFormat="1" ht="11.4" x14ac:dyDescent="0.2"/>
    <row r="46" spans="1:32" s="53" customFormat="1" ht="11.4" x14ac:dyDescent="0.2"/>
    <row r="47" spans="1:32" s="53" customFormat="1" ht="11.4" x14ac:dyDescent="0.2"/>
    <row r="48" spans="1:32" s="53" customFormat="1" ht="11.4" x14ac:dyDescent="0.2"/>
    <row r="49" s="53" customFormat="1" ht="11.4" x14ac:dyDescent="0.2"/>
    <row r="50" s="53" customFormat="1" ht="11.4" x14ac:dyDescent="0.2"/>
  </sheetData>
  <mergeCells count="11">
    <mergeCell ref="A42:H42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2" zoomScale="77" zoomScaleNormal="77" workbookViewId="0">
      <selection activeCell="B20" sqref="A20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0" t="s">
        <v>1</v>
      </c>
      <c r="J6" s="301"/>
      <c r="K6" s="302"/>
      <c r="L6" s="24" t="s">
        <v>25</v>
      </c>
      <c r="M6" s="25"/>
      <c r="N6" s="303" t="s">
        <v>8</v>
      </c>
      <c r="O6" s="304"/>
      <c r="P6" s="304"/>
      <c r="Q6" s="304"/>
      <c r="R6" s="304"/>
      <c r="S6" s="305"/>
      <c r="T6" s="24" t="s">
        <v>29</v>
      </c>
      <c r="U6" s="24" t="s">
        <v>9</v>
      </c>
      <c r="V6" s="23" t="s">
        <v>52</v>
      </c>
      <c r="W6" s="306" t="s">
        <v>2</v>
      </c>
      <c r="X6" s="307"/>
      <c r="Y6" s="23" t="s">
        <v>0</v>
      </c>
      <c r="Z6" s="34"/>
    </row>
    <row r="7" spans="1:26" ht="21" x14ac:dyDescent="0.25">
      <c r="A7" s="26" t="s">
        <v>20</v>
      </c>
      <c r="B7" s="46" t="s">
        <v>100</v>
      </c>
      <c r="C7" s="46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277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6"/>
      <c r="B9" s="136"/>
      <c r="C9" s="136"/>
      <c r="D9" s="135" t="s">
        <v>111</v>
      </c>
      <c r="E9" s="136" t="s">
        <v>293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105"/>
    </row>
    <row r="10" spans="1:26" s="4" customFormat="1" ht="131.25" customHeight="1" x14ac:dyDescent="0.35">
      <c r="A10" s="113" t="s">
        <v>82</v>
      </c>
      <c r="B10" s="152" t="s">
        <v>109</v>
      </c>
      <c r="C10" s="152" t="s">
        <v>113</v>
      </c>
      <c r="D10" s="216" t="s">
        <v>98</v>
      </c>
      <c r="E10" s="219">
        <v>42278</v>
      </c>
      <c r="F10" s="154" t="s">
        <v>206</v>
      </c>
      <c r="G10" s="155">
        <v>15</v>
      </c>
      <c r="H10" s="156">
        <f>I10/G10</f>
        <v>1110.0666666666666</v>
      </c>
      <c r="I10" s="157">
        <v>16651</v>
      </c>
      <c r="J10" s="158">
        <v>0</v>
      </c>
      <c r="K10" s="159">
        <f>SUM(I10:J10)</f>
        <v>16651</v>
      </c>
      <c r="L10" s="160">
        <f>IF(I10/15&lt;=SMG,0,J10/2)</f>
        <v>0</v>
      </c>
      <c r="M10" s="160">
        <f>I10+L10</f>
        <v>16651</v>
      </c>
      <c r="N10" s="160">
        <f>VLOOKUP(M10,Tarifa1,1)</f>
        <v>15412.81</v>
      </c>
      <c r="O10" s="160">
        <f>M10-N10</f>
        <v>1238.1900000000005</v>
      </c>
      <c r="P10" s="161">
        <f>VLOOKUP(M10,Tarifa1,3)</f>
        <v>0.23519999999999999</v>
      </c>
      <c r="Q10" s="160">
        <f>O10*P10</f>
        <v>291.22228800000011</v>
      </c>
      <c r="R10" s="162">
        <f>VLOOKUP(M10,Tarifa1,2)</f>
        <v>2469.15</v>
      </c>
      <c r="S10" s="160">
        <f>Q10+R10</f>
        <v>2760.372288</v>
      </c>
      <c r="T10" s="160">
        <f>VLOOKUP(M10,Credito1,2)</f>
        <v>0</v>
      </c>
      <c r="U10" s="160">
        <f>ROUND(S10-T10,2)</f>
        <v>2760.37</v>
      </c>
      <c r="V10" s="159">
        <f>-IF(U10&gt;0,0,U10)</f>
        <v>0</v>
      </c>
      <c r="W10" s="159">
        <f>IF(I10/15&lt;=SMG,0,IF(U10&lt;0,0,U10))</f>
        <v>2760.37</v>
      </c>
      <c r="X10" s="159">
        <f>SUM(W10:W10)</f>
        <v>2760.37</v>
      </c>
      <c r="Y10" s="159">
        <f>K10+V10-X10</f>
        <v>13890.630000000001</v>
      </c>
      <c r="Z10" s="92"/>
    </row>
    <row r="11" spans="1:26" s="4" customFormat="1" ht="131.25" customHeight="1" x14ac:dyDescent="0.35">
      <c r="A11" s="113" t="s">
        <v>84</v>
      </c>
      <c r="B11" s="152" t="s">
        <v>103</v>
      </c>
      <c r="C11" s="152" t="s">
        <v>113</v>
      </c>
      <c r="D11" s="216" t="s">
        <v>72</v>
      </c>
      <c r="E11" s="219">
        <v>39462</v>
      </c>
      <c r="F11" s="154" t="s">
        <v>207</v>
      </c>
      <c r="G11" s="155">
        <v>15</v>
      </c>
      <c r="H11" s="156">
        <f>I11/G11</f>
        <v>704.86666666666667</v>
      </c>
      <c r="I11" s="157">
        <v>10573</v>
      </c>
      <c r="J11" s="158">
        <v>0</v>
      </c>
      <c r="K11" s="159">
        <f>I11</f>
        <v>10573</v>
      </c>
      <c r="L11" s="160">
        <f>IF(I11/15&lt;=SMG,0,J11/2)</f>
        <v>0</v>
      </c>
      <c r="M11" s="160">
        <f t="shared" ref="M11:M12" si="0">I11+L11</f>
        <v>10573</v>
      </c>
      <c r="N11" s="160">
        <f>VLOOKUP(M11,Tarifa1,1)</f>
        <v>7641.91</v>
      </c>
      <c r="O11" s="160">
        <f t="shared" ref="O11:O12" si="1">M11-N11</f>
        <v>2931.09</v>
      </c>
      <c r="P11" s="161">
        <f>VLOOKUP(M11,Tarifa1,3)</f>
        <v>0.21360000000000001</v>
      </c>
      <c r="Q11" s="160">
        <f t="shared" ref="Q11:Q12" si="2">O11*P11</f>
        <v>626.08082400000012</v>
      </c>
      <c r="R11" s="162">
        <f>VLOOKUP(M11,Tarifa1,2)</f>
        <v>809.25</v>
      </c>
      <c r="S11" s="160">
        <f t="shared" ref="S11:S12" si="3">Q11+R11</f>
        <v>1435.3308240000001</v>
      </c>
      <c r="T11" s="160">
        <f>VLOOKUP(M11,Credito1,2)</f>
        <v>0</v>
      </c>
      <c r="U11" s="160">
        <f t="shared" ref="U11:U12" si="4">ROUND(S11-T11,2)</f>
        <v>1435.33</v>
      </c>
      <c r="V11" s="159">
        <f t="shared" ref="V11:V12" si="5">-IF(U11&gt;0,0,U11)</f>
        <v>0</v>
      </c>
      <c r="W11" s="159">
        <f>IF(I11/15&lt;=SMG,0,IF(U11&lt;0,0,U11))</f>
        <v>1435.33</v>
      </c>
      <c r="X11" s="159">
        <f>SUM(W11:W11)</f>
        <v>1435.33</v>
      </c>
      <c r="Y11" s="159">
        <f>K11+V11-X11</f>
        <v>9137.67</v>
      </c>
      <c r="Z11" s="92"/>
    </row>
    <row r="12" spans="1:26" s="4" customFormat="1" ht="131.25" customHeight="1" x14ac:dyDescent="0.35">
      <c r="A12" s="113" t="s">
        <v>85</v>
      </c>
      <c r="B12" s="152" t="s">
        <v>110</v>
      </c>
      <c r="C12" s="152" t="s">
        <v>113</v>
      </c>
      <c r="D12" s="216" t="s">
        <v>95</v>
      </c>
      <c r="E12" s="219">
        <v>42278</v>
      </c>
      <c r="F12" s="154" t="s">
        <v>207</v>
      </c>
      <c r="G12" s="155">
        <v>15</v>
      </c>
      <c r="H12" s="156">
        <f>I12/G12</f>
        <v>418.33333333333331</v>
      </c>
      <c r="I12" s="157">
        <v>6275</v>
      </c>
      <c r="J12" s="158">
        <v>0</v>
      </c>
      <c r="K12" s="159">
        <f>SUM(I12:J12)</f>
        <v>6275</v>
      </c>
      <c r="L12" s="160">
        <f>IF(I12/15&lt;=SMG,0,J12/2)</f>
        <v>0</v>
      </c>
      <c r="M12" s="160">
        <f t="shared" si="0"/>
        <v>6275</v>
      </c>
      <c r="N12" s="160">
        <f>VLOOKUP(M12,Tarifa1,1)</f>
        <v>5490.76</v>
      </c>
      <c r="O12" s="160">
        <f t="shared" si="1"/>
        <v>784.23999999999978</v>
      </c>
      <c r="P12" s="161">
        <f>VLOOKUP(M12,Tarifa1,3)</f>
        <v>0.16</v>
      </c>
      <c r="Q12" s="160">
        <f t="shared" si="2"/>
        <v>125.47839999999997</v>
      </c>
      <c r="R12" s="162">
        <f>VLOOKUP(M12,Tarifa1,2)</f>
        <v>441</v>
      </c>
      <c r="S12" s="160">
        <f t="shared" si="3"/>
        <v>566.47839999999997</v>
      </c>
      <c r="T12" s="160">
        <f>VLOOKUP(M12,Credito1,2)</f>
        <v>0</v>
      </c>
      <c r="U12" s="160">
        <f t="shared" si="4"/>
        <v>566.48</v>
      </c>
      <c r="V12" s="159">
        <f t="shared" si="5"/>
        <v>0</v>
      </c>
      <c r="W12" s="159">
        <f>IF(I12/15&lt;=SMG,0,IF(U12&lt;0,0,U12))</f>
        <v>566.48</v>
      </c>
      <c r="X12" s="159">
        <f>SUM(W12:W12)</f>
        <v>566.48</v>
      </c>
      <c r="Y12" s="159">
        <f>K12+V12-X12</f>
        <v>5708.52</v>
      </c>
      <c r="Z12" s="92"/>
    </row>
    <row r="13" spans="1:26" s="4" customFormat="1" ht="36" customHeight="1" x14ac:dyDescent="0.3">
      <c r="A13" s="176"/>
      <c r="B13" s="176"/>
      <c r="C13" s="176"/>
      <c r="D13" s="176"/>
      <c r="E13" s="176"/>
      <c r="F13" s="176"/>
      <c r="G13" s="176"/>
      <c r="H13" s="176"/>
      <c r="I13" s="182"/>
      <c r="J13" s="182"/>
      <c r="K13" s="182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</row>
    <row r="14" spans="1:26" s="4" customFormat="1" ht="60" customHeight="1" thickBot="1" x14ac:dyDescent="0.35">
      <c r="A14" s="286" t="s">
        <v>44</v>
      </c>
      <c r="B14" s="287"/>
      <c r="C14" s="287"/>
      <c r="D14" s="287"/>
      <c r="E14" s="287"/>
      <c r="F14" s="287"/>
      <c r="G14" s="287"/>
      <c r="H14" s="288"/>
      <c r="I14" s="163">
        <f>SUM(I10:I13)</f>
        <v>33499</v>
      </c>
      <c r="J14" s="163">
        <f>SUM(J10:J13)</f>
        <v>0</v>
      </c>
      <c r="K14" s="163">
        <f>SUM(K10:K13)</f>
        <v>33499</v>
      </c>
      <c r="L14" s="164">
        <f t="shared" ref="L14:U14" si="6">SUM(L10:L13)</f>
        <v>0</v>
      </c>
      <c r="M14" s="164">
        <f t="shared" si="6"/>
        <v>33499</v>
      </c>
      <c r="N14" s="164">
        <f t="shared" si="6"/>
        <v>28545.480000000003</v>
      </c>
      <c r="O14" s="164">
        <f t="shared" si="6"/>
        <v>4953.5200000000004</v>
      </c>
      <c r="P14" s="164">
        <f t="shared" si="6"/>
        <v>0.60880000000000001</v>
      </c>
      <c r="Q14" s="164">
        <f t="shared" si="6"/>
        <v>1042.7815120000002</v>
      </c>
      <c r="R14" s="164">
        <f t="shared" si="6"/>
        <v>3719.4</v>
      </c>
      <c r="S14" s="164">
        <f t="shared" si="6"/>
        <v>4762.1815120000001</v>
      </c>
      <c r="T14" s="164">
        <f t="shared" si="6"/>
        <v>0</v>
      </c>
      <c r="U14" s="164">
        <f t="shared" si="6"/>
        <v>4762.18</v>
      </c>
      <c r="V14" s="163">
        <f>SUM(V10:V13)</f>
        <v>0</v>
      </c>
      <c r="W14" s="163">
        <f>SUM(W10:W13)</f>
        <v>4762.18</v>
      </c>
      <c r="X14" s="163">
        <f>SUM(X10:X13)</f>
        <v>4762.18</v>
      </c>
      <c r="Y14" s="163">
        <f>SUM(Y10:Y12)</f>
        <v>28736.820000000003</v>
      </c>
    </row>
    <row r="15" spans="1:26" ht="35.1" customHeight="1" thickTop="1" x14ac:dyDescent="0.25"/>
    <row r="16" spans="1:26" ht="35.1" customHeight="1" x14ac:dyDescent="0.25"/>
    <row r="19" spans="26:26" x14ac:dyDescent="0.25">
      <c r="Z19" s="44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8" zoomScale="87" zoomScaleNormal="87" workbookViewId="0">
      <selection activeCell="B27" sqref="A27:XFD33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0" t="s">
        <v>1</v>
      </c>
      <c r="J6" s="302"/>
      <c r="K6" s="24" t="s">
        <v>25</v>
      </c>
      <c r="L6" s="25"/>
      <c r="M6" s="303" t="s">
        <v>8</v>
      </c>
      <c r="N6" s="304"/>
      <c r="O6" s="304"/>
      <c r="P6" s="304"/>
      <c r="Q6" s="304"/>
      <c r="R6" s="305"/>
      <c r="S6" s="24" t="s">
        <v>29</v>
      </c>
      <c r="T6" s="24" t="s">
        <v>9</v>
      </c>
      <c r="U6" s="23" t="s">
        <v>52</v>
      </c>
      <c r="V6" s="306" t="s">
        <v>2</v>
      </c>
      <c r="W6" s="307"/>
      <c r="X6" s="23" t="s">
        <v>0</v>
      </c>
      <c r="Y6" s="34"/>
    </row>
    <row r="7" spans="1:26" ht="33.75" customHeight="1" x14ac:dyDescent="0.25">
      <c r="A7" s="26" t="s">
        <v>20</v>
      </c>
      <c r="B7" s="46" t="s">
        <v>100</v>
      </c>
      <c r="C7" s="46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277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3" t="s">
        <v>59</v>
      </c>
      <c r="E9" s="38" t="s">
        <v>293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4"/>
    </row>
    <row r="10" spans="1:26" ht="93.75" customHeight="1" x14ac:dyDescent="0.35">
      <c r="A10" s="113" t="s">
        <v>82</v>
      </c>
      <c r="B10" s="151" t="s">
        <v>230</v>
      </c>
      <c r="C10" s="152" t="s">
        <v>113</v>
      </c>
      <c r="D10" s="216" t="s">
        <v>214</v>
      </c>
      <c r="E10" s="219">
        <v>44470</v>
      </c>
      <c r="F10" s="153" t="s">
        <v>74</v>
      </c>
      <c r="G10" s="155">
        <v>15</v>
      </c>
      <c r="H10" s="189">
        <f>I10/G10</f>
        <v>590</v>
      </c>
      <c r="I10" s="157">
        <v>8850</v>
      </c>
      <c r="J10" s="159">
        <f t="shared" ref="J10:J18" si="0">SUM(I10:I10)</f>
        <v>8850</v>
      </c>
      <c r="K10" s="160">
        <v>0</v>
      </c>
      <c r="L10" s="160">
        <f>J10+K10</f>
        <v>8850</v>
      </c>
      <c r="M10" s="160">
        <f t="shared" ref="M10:M18" si="1">VLOOKUP(L10,Tarifa1,1)</f>
        <v>7641.91</v>
      </c>
      <c r="N10" s="160">
        <f>L10-M10</f>
        <v>1208.0900000000001</v>
      </c>
      <c r="O10" s="161">
        <f t="shared" ref="O10" si="2">VLOOKUP(L10,Tarifa1,3)</f>
        <v>0.21360000000000001</v>
      </c>
      <c r="P10" s="160">
        <f>N10*O10</f>
        <v>258.04802400000005</v>
      </c>
      <c r="Q10" s="162">
        <f t="shared" ref="Q10:Q18" si="3">VLOOKUP(L10,Tarifa1,2)</f>
        <v>809.25</v>
      </c>
      <c r="R10" s="160">
        <f>P10+Q10</f>
        <v>1067.2980240000002</v>
      </c>
      <c r="S10" s="160">
        <f t="shared" ref="S10" si="4">VLOOKUP(L10,Credito1,2)</f>
        <v>0</v>
      </c>
      <c r="T10" s="160">
        <f>ROUND(R10-S10,2)</f>
        <v>1067.3</v>
      </c>
      <c r="U10" s="159">
        <f t="shared" ref="U10:U18" si="5">-IF(T10&gt;0,0,T10)</f>
        <v>0</v>
      </c>
      <c r="V10" s="159">
        <f t="shared" ref="V10:V18" si="6">IF(I10/15&lt;=SMG,0,IF(T10&lt;0,0,T10))</f>
        <v>1067.3</v>
      </c>
      <c r="W10" s="159">
        <f t="shared" ref="W10:W18" si="7">SUM(V10:V10)</f>
        <v>1067.3</v>
      </c>
      <c r="X10" s="159">
        <f t="shared" ref="X10:X18" si="8">J10+U10-W10</f>
        <v>7782.7</v>
      </c>
      <c r="Y10" s="33"/>
    </row>
    <row r="11" spans="1:26" ht="93.75" customHeight="1" x14ac:dyDescent="0.35">
      <c r="A11" s="113" t="s">
        <v>83</v>
      </c>
      <c r="B11" s="151" t="s">
        <v>212</v>
      </c>
      <c r="C11" s="152" t="s">
        <v>113</v>
      </c>
      <c r="D11" s="216" t="s">
        <v>215</v>
      </c>
      <c r="E11" s="219">
        <v>44470</v>
      </c>
      <c r="F11" s="153" t="s">
        <v>74</v>
      </c>
      <c r="G11" s="155">
        <v>15</v>
      </c>
      <c r="H11" s="189">
        <f t="shared" ref="H11:H18" si="9">I11/G11</f>
        <v>590</v>
      </c>
      <c r="I11" s="157">
        <v>8850</v>
      </c>
      <c r="J11" s="159">
        <f t="shared" si="0"/>
        <v>8850</v>
      </c>
      <c r="K11" s="160">
        <v>0</v>
      </c>
      <c r="L11" s="160">
        <f t="shared" ref="L11:L18" si="10">J11+K11</f>
        <v>8850</v>
      </c>
      <c r="M11" s="160">
        <f t="shared" si="1"/>
        <v>7641.91</v>
      </c>
      <c r="N11" s="160">
        <f t="shared" ref="N11" si="11">L11-M11</f>
        <v>1208.0900000000001</v>
      </c>
      <c r="O11" s="161">
        <f t="shared" ref="O11" si="12">VLOOKUP(L11,Tarifa1,3)</f>
        <v>0.21360000000000001</v>
      </c>
      <c r="P11" s="160">
        <f t="shared" ref="P11" si="13">N11*O11</f>
        <v>258.04802400000005</v>
      </c>
      <c r="Q11" s="162">
        <f t="shared" si="3"/>
        <v>809.25</v>
      </c>
      <c r="R11" s="160">
        <f t="shared" ref="R11:R18" si="14">P11+Q11</f>
        <v>1067.2980240000002</v>
      </c>
      <c r="S11" s="160">
        <f t="shared" ref="S11:S18" si="15">VLOOKUP(L11,Credito1,2)</f>
        <v>0</v>
      </c>
      <c r="T11" s="160">
        <f t="shared" ref="T11:T18" si="16">ROUND(R11-S11,2)</f>
        <v>1067.3</v>
      </c>
      <c r="U11" s="159">
        <f t="shared" si="5"/>
        <v>0</v>
      </c>
      <c r="V11" s="159">
        <f t="shared" si="6"/>
        <v>1067.3</v>
      </c>
      <c r="W11" s="159">
        <f t="shared" si="7"/>
        <v>1067.3</v>
      </c>
      <c r="X11" s="159">
        <f t="shared" si="8"/>
        <v>7782.7</v>
      </c>
      <c r="Y11" s="33"/>
    </row>
    <row r="12" spans="1:26" ht="93.75" customHeight="1" x14ac:dyDescent="0.35">
      <c r="A12" s="113" t="s">
        <v>84</v>
      </c>
      <c r="B12" s="151" t="s">
        <v>213</v>
      </c>
      <c r="C12" s="152" t="s">
        <v>113</v>
      </c>
      <c r="D12" s="216" t="s">
        <v>216</v>
      </c>
      <c r="E12" s="219">
        <v>44470</v>
      </c>
      <c r="F12" s="153" t="s">
        <v>74</v>
      </c>
      <c r="G12" s="155">
        <v>15</v>
      </c>
      <c r="H12" s="189">
        <f t="shared" si="9"/>
        <v>590</v>
      </c>
      <c r="I12" s="157">
        <v>8850</v>
      </c>
      <c r="J12" s="159">
        <f t="shared" si="0"/>
        <v>8850</v>
      </c>
      <c r="K12" s="160">
        <v>0</v>
      </c>
      <c r="L12" s="160">
        <f t="shared" si="10"/>
        <v>8850</v>
      </c>
      <c r="M12" s="160">
        <f t="shared" si="1"/>
        <v>7641.91</v>
      </c>
      <c r="N12" s="160">
        <f t="shared" ref="N12:N18" si="17">L12-M12</f>
        <v>1208.0900000000001</v>
      </c>
      <c r="O12" s="161">
        <f t="shared" ref="O12:O18" si="18">VLOOKUP(L12,Tarifa1,3)</f>
        <v>0.21360000000000001</v>
      </c>
      <c r="P12" s="160">
        <f t="shared" ref="P12:P18" si="19">N12*O12</f>
        <v>258.04802400000005</v>
      </c>
      <c r="Q12" s="162">
        <f t="shared" si="3"/>
        <v>809.25</v>
      </c>
      <c r="R12" s="160">
        <f t="shared" si="14"/>
        <v>1067.2980240000002</v>
      </c>
      <c r="S12" s="160">
        <f t="shared" si="15"/>
        <v>0</v>
      </c>
      <c r="T12" s="160">
        <f t="shared" si="16"/>
        <v>1067.3</v>
      </c>
      <c r="U12" s="159">
        <f t="shared" si="5"/>
        <v>0</v>
      </c>
      <c r="V12" s="159">
        <f t="shared" si="6"/>
        <v>1067.3</v>
      </c>
      <c r="W12" s="159">
        <f t="shared" si="7"/>
        <v>1067.3</v>
      </c>
      <c r="X12" s="159">
        <f t="shared" si="8"/>
        <v>7782.7</v>
      </c>
      <c r="Y12" s="33"/>
    </row>
    <row r="13" spans="1:26" ht="93.75" customHeight="1" x14ac:dyDescent="0.35">
      <c r="A13" s="113" t="s">
        <v>85</v>
      </c>
      <c r="B13" s="151" t="s">
        <v>231</v>
      </c>
      <c r="C13" s="152" t="s">
        <v>113</v>
      </c>
      <c r="D13" s="217" t="s">
        <v>217</v>
      </c>
      <c r="E13" s="219">
        <v>44470</v>
      </c>
      <c r="F13" s="153" t="s">
        <v>74</v>
      </c>
      <c r="G13" s="155">
        <v>10</v>
      </c>
      <c r="H13" s="189">
        <f t="shared" si="9"/>
        <v>885</v>
      </c>
      <c r="I13" s="157">
        <v>8850</v>
      </c>
      <c r="J13" s="159">
        <f t="shared" ref="J13" si="20">SUM(I13:I13)</f>
        <v>8850</v>
      </c>
      <c r="K13" s="160">
        <v>0</v>
      </c>
      <c r="L13" s="160">
        <f t="shared" ref="L13" si="21">J13+K13</f>
        <v>8850</v>
      </c>
      <c r="M13" s="160">
        <f t="shared" si="1"/>
        <v>7641.91</v>
      </c>
      <c r="N13" s="160">
        <f t="shared" si="17"/>
        <v>1208.0900000000001</v>
      </c>
      <c r="O13" s="161">
        <f t="shared" si="18"/>
        <v>0.21360000000000001</v>
      </c>
      <c r="P13" s="160">
        <f t="shared" si="19"/>
        <v>258.04802400000005</v>
      </c>
      <c r="Q13" s="162">
        <f t="shared" si="3"/>
        <v>809.25</v>
      </c>
      <c r="R13" s="160">
        <f t="shared" ref="R13" si="22">P13+Q13</f>
        <v>1067.2980240000002</v>
      </c>
      <c r="S13" s="160">
        <f t="shared" ref="S13" si="23">VLOOKUP(L13,Credito1,2)</f>
        <v>0</v>
      </c>
      <c r="T13" s="160">
        <f t="shared" ref="T13" si="24">ROUND(R13-S13,2)</f>
        <v>1067.3</v>
      </c>
      <c r="U13" s="159">
        <f t="shared" si="5"/>
        <v>0</v>
      </c>
      <c r="V13" s="159">
        <f t="shared" si="6"/>
        <v>1067.3</v>
      </c>
      <c r="W13" s="159">
        <f t="shared" si="7"/>
        <v>1067.3</v>
      </c>
      <c r="X13" s="159">
        <f t="shared" si="8"/>
        <v>7782.7</v>
      </c>
      <c r="Y13" s="33"/>
    </row>
    <row r="14" spans="1:26" ht="93.75" customHeight="1" x14ac:dyDescent="0.35">
      <c r="A14" s="113" t="s">
        <v>86</v>
      </c>
      <c r="B14" s="151" t="s">
        <v>232</v>
      </c>
      <c r="C14" s="152" t="s">
        <v>113</v>
      </c>
      <c r="D14" s="218" t="s">
        <v>218</v>
      </c>
      <c r="E14" s="219">
        <v>44470</v>
      </c>
      <c r="F14" s="166" t="s">
        <v>74</v>
      </c>
      <c r="G14" s="167">
        <v>15</v>
      </c>
      <c r="H14" s="190">
        <f t="shared" si="9"/>
        <v>590</v>
      </c>
      <c r="I14" s="157">
        <v>8850</v>
      </c>
      <c r="J14" s="159">
        <f t="shared" ref="J14" si="25">SUM(I14:I14)</f>
        <v>8850</v>
      </c>
      <c r="K14" s="160">
        <v>0</v>
      </c>
      <c r="L14" s="160">
        <f t="shared" si="10"/>
        <v>8850</v>
      </c>
      <c r="M14" s="160">
        <f t="shared" si="1"/>
        <v>7641.91</v>
      </c>
      <c r="N14" s="160">
        <f t="shared" si="17"/>
        <v>1208.0900000000001</v>
      </c>
      <c r="O14" s="161">
        <f t="shared" si="18"/>
        <v>0.21360000000000001</v>
      </c>
      <c r="P14" s="160">
        <f t="shared" si="19"/>
        <v>258.04802400000005</v>
      </c>
      <c r="Q14" s="162">
        <f t="shared" si="3"/>
        <v>809.25</v>
      </c>
      <c r="R14" s="160">
        <f t="shared" si="14"/>
        <v>1067.2980240000002</v>
      </c>
      <c r="S14" s="160">
        <f t="shared" si="15"/>
        <v>0</v>
      </c>
      <c r="T14" s="160">
        <f t="shared" si="16"/>
        <v>1067.3</v>
      </c>
      <c r="U14" s="159">
        <f t="shared" ref="U14" si="26">-IF(T14&gt;0,0,T14)</f>
        <v>0</v>
      </c>
      <c r="V14" s="159">
        <f t="shared" si="6"/>
        <v>1067.3</v>
      </c>
      <c r="W14" s="159">
        <f t="shared" si="7"/>
        <v>1067.3</v>
      </c>
      <c r="X14" s="159">
        <f t="shared" si="8"/>
        <v>7782.7</v>
      </c>
      <c r="Y14" s="33"/>
    </row>
    <row r="15" spans="1:26" ht="93.75" customHeight="1" x14ac:dyDescent="0.35">
      <c r="A15" s="113" t="s">
        <v>87</v>
      </c>
      <c r="B15" s="151" t="s">
        <v>233</v>
      </c>
      <c r="C15" s="152" t="s">
        <v>113</v>
      </c>
      <c r="D15" s="216" t="s">
        <v>219</v>
      </c>
      <c r="E15" s="219">
        <v>44470</v>
      </c>
      <c r="F15" s="153" t="s">
        <v>74</v>
      </c>
      <c r="G15" s="155">
        <v>15</v>
      </c>
      <c r="H15" s="189">
        <f t="shared" si="9"/>
        <v>590</v>
      </c>
      <c r="I15" s="157">
        <v>8850</v>
      </c>
      <c r="J15" s="159">
        <f t="shared" si="0"/>
        <v>8850</v>
      </c>
      <c r="K15" s="160">
        <v>0</v>
      </c>
      <c r="L15" s="160">
        <f t="shared" si="10"/>
        <v>8850</v>
      </c>
      <c r="M15" s="160">
        <f t="shared" si="1"/>
        <v>7641.91</v>
      </c>
      <c r="N15" s="160">
        <f t="shared" si="17"/>
        <v>1208.0900000000001</v>
      </c>
      <c r="O15" s="161">
        <f t="shared" si="18"/>
        <v>0.21360000000000001</v>
      </c>
      <c r="P15" s="160">
        <f t="shared" si="19"/>
        <v>258.04802400000005</v>
      </c>
      <c r="Q15" s="162">
        <f t="shared" si="3"/>
        <v>809.25</v>
      </c>
      <c r="R15" s="160">
        <f t="shared" si="14"/>
        <v>1067.2980240000002</v>
      </c>
      <c r="S15" s="160">
        <f t="shared" si="15"/>
        <v>0</v>
      </c>
      <c r="T15" s="160">
        <f t="shared" si="16"/>
        <v>1067.3</v>
      </c>
      <c r="U15" s="159">
        <f t="shared" si="5"/>
        <v>0</v>
      </c>
      <c r="V15" s="159">
        <f t="shared" si="6"/>
        <v>1067.3</v>
      </c>
      <c r="W15" s="159">
        <f t="shared" si="7"/>
        <v>1067.3</v>
      </c>
      <c r="X15" s="159">
        <f t="shared" si="8"/>
        <v>7782.7</v>
      </c>
      <c r="Y15" s="33"/>
    </row>
    <row r="16" spans="1:26" ht="93.75" customHeight="1" x14ac:dyDescent="0.35">
      <c r="A16" s="113" t="s">
        <v>88</v>
      </c>
      <c r="B16" s="151" t="s">
        <v>220</v>
      </c>
      <c r="C16" s="152" t="s">
        <v>113</v>
      </c>
      <c r="D16" s="216" t="s">
        <v>221</v>
      </c>
      <c r="E16" s="219">
        <v>44470</v>
      </c>
      <c r="F16" s="153" t="s">
        <v>74</v>
      </c>
      <c r="G16" s="155">
        <v>15</v>
      </c>
      <c r="H16" s="189">
        <f t="shared" si="9"/>
        <v>590</v>
      </c>
      <c r="I16" s="157">
        <v>8850</v>
      </c>
      <c r="J16" s="159">
        <f t="shared" si="0"/>
        <v>8850</v>
      </c>
      <c r="K16" s="160">
        <v>0</v>
      </c>
      <c r="L16" s="160">
        <f t="shared" si="10"/>
        <v>8850</v>
      </c>
      <c r="M16" s="160">
        <f t="shared" si="1"/>
        <v>7641.91</v>
      </c>
      <c r="N16" s="160">
        <f t="shared" si="17"/>
        <v>1208.0900000000001</v>
      </c>
      <c r="O16" s="161">
        <f t="shared" si="18"/>
        <v>0.21360000000000001</v>
      </c>
      <c r="P16" s="160">
        <f t="shared" si="19"/>
        <v>258.04802400000005</v>
      </c>
      <c r="Q16" s="162">
        <f t="shared" si="3"/>
        <v>809.25</v>
      </c>
      <c r="R16" s="160">
        <f t="shared" si="14"/>
        <v>1067.2980240000002</v>
      </c>
      <c r="S16" s="160">
        <f t="shared" si="15"/>
        <v>0</v>
      </c>
      <c r="T16" s="160">
        <f t="shared" si="16"/>
        <v>1067.3</v>
      </c>
      <c r="U16" s="159">
        <f t="shared" si="5"/>
        <v>0</v>
      </c>
      <c r="V16" s="159">
        <f t="shared" si="6"/>
        <v>1067.3</v>
      </c>
      <c r="W16" s="159">
        <f t="shared" si="7"/>
        <v>1067.3</v>
      </c>
      <c r="X16" s="159">
        <f t="shared" si="8"/>
        <v>7782.7</v>
      </c>
      <c r="Y16" s="33"/>
    </row>
    <row r="17" spans="1:25" ht="93.75" customHeight="1" x14ac:dyDescent="0.35">
      <c r="A17" s="113" t="s">
        <v>89</v>
      </c>
      <c r="B17" s="151" t="s">
        <v>234</v>
      </c>
      <c r="C17" s="152" t="s">
        <v>113</v>
      </c>
      <c r="D17" s="216" t="s">
        <v>222</v>
      </c>
      <c r="E17" s="219">
        <v>44470</v>
      </c>
      <c r="F17" s="153" t="s">
        <v>74</v>
      </c>
      <c r="G17" s="155">
        <v>15</v>
      </c>
      <c r="H17" s="189">
        <f t="shared" si="9"/>
        <v>590</v>
      </c>
      <c r="I17" s="157">
        <v>8850</v>
      </c>
      <c r="J17" s="159">
        <f t="shared" si="0"/>
        <v>8850</v>
      </c>
      <c r="K17" s="160">
        <v>0</v>
      </c>
      <c r="L17" s="160">
        <f t="shared" si="10"/>
        <v>8850</v>
      </c>
      <c r="M17" s="160">
        <f t="shared" si="1"/>
        <v>7641.91</v>
      </c>
      <c r="N17" s="160">
        <f t="shared" si="17"/>
        <v>1208.0900000000001</v>
      </c>
      <c r="O17" s="161">
        <f t="shared" si="18"/>
        <v>0.21360000000000001</v>
      </c>
      <c r="P17" s="160">
        <f t="shared" si="19"/>
        <v>258.04802400000005</v>
      </c>
      <c r="Q17" s="162">
        <f t="shared" si="3"/>
        <v>809.25</v>
      </c>
      <c r="R17" s="160">
        <f t="shared" si="14"/>
        <v>1067.2980240000002</v>
      </c>
      <c r="S17" s="160">
        <f t="shared" si="15"/>
        <v>0</v>
      </c>
      <c r="T17" s="160">
        <f t="shared" si="16"/>
        <v>1067.3</v>
      </c>
      <c r="U17" s="159">
        <f t="shared" si="5"/>
        <v>0</v>
      </c>
      <c r="V17" s="159">
        <f t="shared" si="6"/>
        <v>1067.3</v>
      </c>
      <c r="W17" s="159">
        <f t="shared" si="7"/>
        <v>1067.3</v>
      </c>
      <c r="X17" s="159">
        <f t="shared" si="8"/>
        <v>7782.7</v>
      </c>
      <c r="Y17" s="33"/>
    </row>
    <row r="18" spans="1:25" ht="93.75" customHeight="1" x14ac:dyDescent="0.35">
      <c r="A18" s="113" t="s">
        <v>90</v>
      </c>
      <c r="B18" s="151" t="s">
        <v>235</v>
      </c>
      <c r="C18" s="152" t="s">
        <v>113</v>
      </c>
      <c r="D18" s="216" t="s">
        <v>240</v>
      </c>
      <c r="E18" s="219">
        <v>44470</v>
      </c>
      <c r="F18" s="153" t="s">
        <v>74</v>
      </c>
      <c r="G18" s="155">
        <v>15</v>
      </c>
      <c r="H18" s="189">
        <f t="shared" si="9"/>
        <v>590</v>
      </c>
      <c r="I18" s="157">
        <v>8850</v>
      </c>
      <c r="J18" s="159">
        <f t="shared" si="0"/>
        <v>8850</v>
      </c>
      <c r="K18" s="160">
        <v>0</v>
      </c>
      <c r="L18" s="160">
        <f t="shared" si="10"/>
        <v>8850</v>
      </c>
      <c r="M18" s="160">
        <f t="shared" si="1"/>
        <v>7641.91</v>
      </c>
      <c r="N18" s="160">
        <f t="shared" si="17"/>
        <v>1208.0900000000001</v>
      </c>
      <c r="O18" s="161">
        <f t="shared" si="18"/>
        <v>0.21360000000000001</v>
      </c>
      <c r="P18" s="160">
        <f t="shared" si="19"/>
        <v>258.04802400000005</v>
      </c>
      <c r="Q18" s="162">
        <f t="shared" si="3"/>
        <v>809.25</v>
      </c>
      <c r="R18" s="160">
        <f t="shared" si="14"/>
        <v>1067.2980240000002</v>
      </c>
      <c r="S18" s="160">
        <f t="shared" si="15"/>
        <v>0</v>
      </c>
      <c r="T18" s="160">
        <f t="shared" si="16"/>
        <v>1067.3</v>
      </c>
      <c r="U18" s="159">
        <f t="shared" si="5"/>
        <v>0</v>
      </c>
      <c r="V18" s="159">
        <f t="shared" si="6"/>
        <v>1067.3</v>
      </c>
      <c r="W18" s="159">
        <f t="shared" si="7"/>
        <v>1067.3</v>
      </c>
      <c r="X18" s="159">
        <f t="shared" si="8"/>
        <v>7782.7</v>
      </c>
      <c r="Y18" s="33"/>
    </row>
    <row r="19" spans="1:25" ht="21.75" customHeight="1" x14ac:dyDescent="0.3">
      <c r="A19" s="176"/>
      <c r="B19" s="176"/>
      <c r="C19" s="176"/>
      <c r="D19" s="176"/>
      <c r="E19" s="176"/>
      <c r="F19" s="176"/>
      <c r="G19" s="176"/>
      <c r="H19" s="176"/>
      <c r="I19" s="182"/>
      <c r="J19" s="182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pans="1:25" ht="40.5" customHeight="1" thickBot="1" x14ac:dyDescent="0.35">
      <c r="A20" s="286" t="s">
        <v>44</v>
      </c>
      <c r="B20" s="287"/>
      <c r="C20" s="287"/>
      <c r="D20" s="287"/>
      <c r="E20" s="287"/>
      <c r="F20" s="287"/>
      <c r="G20" s="287"/>
      <c r="H20" s="288"/>
      <c r="I20" s="163">
        <f>SUM(I10:I19)</f>
        <v>79650</v>
      </c>
      <c r="J20" s="163">
        <f>SUM(J10:J19)</f>
        <v>79650</v>
      </c>
      <c r="K20" s="164">
        <f t="shared" ref="K20:T20" si="27">SUM(K10:K19)</f>
        <v>0</v>
      </c>
      <c r="L20" s="164">
        <f t="shared" si="27"/>
        <v>79650</v>
      </c>
      <c r="M20" s="164">
        <f t="shared" si="27"/>
        <v>68777.190000000017</v>
      </c>
      <c r="N20" s="164">
        <f t="shared" si="27"/>
        <v>10872.810000000001</v>
      </c>
      <c r="O20" s="164">
        <f t="shared" si="27"/>
        <v>1.9224000000000001</v>
      </c>
      <c r="P20" s="164">
        <f t="shared" si="27"/>
        <v>2322.4322160000011</v>
      </c>
      <c r="Q20" s="164">
        <f t="shared" si="27"/>
        <v>7283.25</v>
      </c>
      <c r="R20" s="164">
        <f t="shared" si="27"/>
        <v>9605.6822159999992</v>
      </c>
      <c r="S20" s="164">
        <f t="shared" si="27"/>
        <v>0</v>
      </c>
      <c r="T20" s="164">
        <f t="shared" si="27"/>
        <v>9605.6999999999989</v>
      </c>
      <c r="U20" s="163">
        <f>SUM(U10:U19)</f>
        <v>0</v>
      </c>
      <c r="V20" s="163">
        <f>SUM(V10:V19)</f>
        <v>9605.6999999999989</v>
      </c>
      <c r="W20" s="163">
        <f>SUM(W10:W19)</f>
        <v>9605.6999999999989</v>
      </c>
      <c r="X20" s="163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3" workbookViewId="0">
      <selection activeCell="A23" sqref="A23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0" t="s">
        <v>1</v>
      </c>
      <c r="I7" s="301"/>
      <c r="J7" s="302"/>
      <c r="K7" s="24" t="s">
        <v>25</v>
      </c>
      <c r="L7" s="25"/>
      <c r="M7" s="303" t="s">
        <v>8</v>
      </c>
      <c r="N7" s="304"/>
      <c r="O7" s="304"/>
      <c r="P7" s="304"/>
      <c r="Q7" s="304"/>
      <c r="R7" s="305"/>
      <c r="S7" s="24" t="s">
        <v>29</v>
      </c>
      <c r="T7" s="24" t="s">
        <v>9</v>
      </c>
      <c r="U7" s="23" t="s">
        <v>52</v>
      </c>
      <c r="V7" s="306" t="s">
        <v>2</v>
      </c>
      <c r="W7" s="307"/>
      <c r="X7" s="23" t="s">
        <v>0</v>
      </c>
      <c r="Y7" s="34"/>
    </row>
    <row r="8" spans="1:26" ht="21" x14ac:dyDescent="0.25">
      <c r="A8" s="46" t="s">
        <v>100</v>
      </c>
      <c r="B8" s="46" t="s">
        <v>114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277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3" t="s">
        <v>73</v>
      </c>
      <c r="D10" s="274" t="s">
        <v>293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4"/>
    </row>
    <row r="11" spans="1:26" ht="139.5" customHeight="1" x14ac:dyDescent="0.35">
      <c r="A11" s="151" t="s">
        <v>200</v>
      </c>
      <c r="B11" s="152" t="s">
        <v>113</v>
      </c>
      <c r="C11" s="216" t="s">
        <v>201</v>
      </c>
      <c r="D11" s="219">
        <v>43374</v>
      </c>
      <c r="E11" s="154" t="s">
        <v>248</v>
      </c>
      <c r="F11" s="155">
        <v>15</v>
      </c>
      <c r="G11" s="156">
        <f>H11/F11</f>
        <v>990.6</v>
      </c>
      <c r="H11" s="157">
        <v>14859</v>
      </c>
      <c r="I11" s="158">
        <v>0</v>
      </c>
      <c r="J11" s="159">
        <f>SUM(H11:I11)</f>
        <v>14859</v>
      </c>
      <c r="K11" s="160">
        <f>I11/2</f>
        <v>0</v>
      </c>
      <c r="L11" s="160">
        <f>H11+K11</f>
        <v>14859</v>
      </c>
      <c r="M11" s="160">
        <f>VLOOKUP(L11,Tarifa1,1)</f>
        <v>7641.91</v>
      </c>
      <c r="N11" s="160">
        <f>L11-M11</f>
        <v>7217.09</v>
      </c>
      <c r="O11" s="161">
        <f t="shared" ref="O11" si="0">VLOOKUP(L11,Tarifa1,3)</f>
        <v>0.21360000000000001</v>
      </c>
      <c r="P11" s="160">
        <f>N11*O11</f>
        <v>1541.5704240000002</v>
      </c>
      <c r="Q11" s="162">
        <f>VLOOKUP(L11,Tarifa1,2)</f>
        <v>809.25</v>
      </c>
      <c r="R11" s="160">
        <f>P11+Q11</f>
        <v>2350.8204240000005</v>
      </c>
      <c r="S11" s="160">
        <f t="shared" ref="S11" si="1">VLOOKUP(L11,Credito1,2)</f>
        <v>0</v>
      </c>
      <c r="T11" s="160">
        <f>ROUND(R11-S11,2)</f>
        <v>2350.8200000000002</v>
      </c>
      <c r="U11" s="159">
        <f t="shared" ref="U11" si="2">-IF(T11&gt;0,0,T11)</f>
        <v>0</v>
      </c>
      <c r="V11" s="159">
        <f>IF(H11/15&lt;=SMG,0,IF(T11&lt;0,0,T11))</f>
        <v>2350.8200000000002</v>
      </c>
      <c r="W11" s="159">
        <f>SUM(V11:V11)</f>
        <v>2350.8200000000002</v>
      </c>
      <c r="X11" s="159">
        <f>J11+U11-W11</f>
        <v>12508.18</v>
      </c>
      <c r="Y11" s="95"/>
    </row>
    <row r="12" spans="1:26" ht="17.399999999999999" x14ac:dyDescent="0.3">
      <c r="A12" s="176"/>
      <c r="B12" s="176"/>
      <c r="C12" s="176"/>
      <c r="D12" s="176"/>
      <c r="E12" s="176"/>
      <c r="F12" s="177"/>
      <c r="G12" s="176"/>
      <c r="H12" s="178"/>
      <c r="I12" s="178"/>
      <c r="J12" s="178"/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spans="1:26" ht="41.25" customHeight="1" thickBot="1" x14ac:dyDescent="0.35">
      <c r="A13" s="287"/>
      <c r="B13" s="287"/>
      <c r="C13" s="287"/>
      <c r="D13" s="287"/>
      <c r="E13" s="287"/>
      <c r="F13" s="287"/>
      <c r="G13" s="288"/>
      <c r="H13" s="163">
        <f t="shared" ref="H13:X13" si="3">SUM(H11:H12)</f>
        <v>14859</v>
      </c>
      <c r="I13" s="163">
        <f t="shared" si="3"/>
        <v>0</v>
      </c>
      <c r="J13" s="163">
        <f t="shared" si="3"/>
        <v>14859</v>
      </c>
      <c r="K13" s="164">
        <f t="shared" si="3"/>
        <v>0</v>
      </c>
      <c r="L13" s="164">
        <f t="shared" si="3"/>
        <v>14859</v>
      </c>
      <c r="M13" s="164">
        <f t="shared" si="3"/>
        <v>7641.91</v>
      </c>
      <c r="N13" s="164">
        <f t="shared" si="3"/>
        <v>7217.09</v>
      </c>
      <c r="O13" s="164">
        <f t="shared" si="3"/>
        <v>0.21360000000000001</v>
      </c>
      <c r="P13" s="164">
        <f t="shared" si="3"/>
        <v>1541.5704240000002</v>
      </c>
      <c r="Q13" s="164">
        <f t="shared" si="3"/>
        <v>809.25</v>
      </c>
      <c r="R13" s="164">
        <f t="shared" si="3"/>
        <v>2350.8204240000005</v>
      </c>
      <c r="S13" s="164">
        <f t="shared" si="3"/>
        <v>0</v>
      </c>
      <c r="T13" s="164">
        <f t="shared" si="3"/>
        <v>2350.8200000000002</v>
      </c>
      <c r="U13" s="163">
        <f t="shared" si="3"/>
        <v>0</v>
      </c>
      <c r="V13" s="163">
        <f t="shared" si="3"/>
        <v>2350.8200000000002</v>
      </c>
      <c r="W13" s="163">
        <f t="shared" si="3"/>
        <v>2350.8200000000002</v>
      </c>
      <c r="X13" s="163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18" zoomScale="73" zoomScaleNormal="73" workbookViewId="0">
      <selection activeCell="B24" sqref="A24:XFD31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9" t="s">
        <v>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3" t="s">
        <v>100</v>
      </c>
      <c r="C6" s="323" t="s">
        <v>114</v>
      </c>
      <c r="D6" s="22"/>
      <c r="E6" s="22"/>
      <c r="F6" s="22"/>
      <c r="G6" s="23" t="s">
        <v>22</v>
      </c>
      <c r="H6" s="23" t="s">
        <v>5</v>
      </c>
      <c r="I6" s="300" t="s">
        <v>1</v>
      </c>
      <c r="J6" s="301"/>
      <c r="K6" s="302"/>
      <c r="L6" s="24" t="s">
        <v>25</v>
      </c>
      <c r="M6" s="25"/>
      <c r="N6" s="303" t="s">
        <v>8</v>
      </c>
      <c r="O6" s="304"/>
      <c r="P6" s="304"/>
      <c r="Q6" s="304"/>
      <c r="R6" s="304"/>
      <c r="S6" s="305"/>
      <c r="T6" s="24" t="s">
        <v>29</v>
      </c>
      <c r="U6" s="24" t="s">
        <v>9</v>
      </c>
      <c r="V6" s="23" t="s">
        <v>52</v>
      </c>
      <c r="W6" s="306" t="s">
        <v>2</v>
      </c>
      <c r="X6" s="307"/>
      <c r="Y6" s="23" t="s">
        <v>0</v>
      </c>
      <c r="Z6" s="34"/>
    </row>
    <row r="7" spans="1:26" ht="12.75" customHeight="1" x14ac:dyDescent="0.25">
      <c r="A7" s="26" t="s">
        <v>20</v>
      </c>
      <c r="B7" s="324"/>
      <c r="C7" s="324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277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5"/>
      <c r="C8" s="325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6"/>
      <c r="B9" s="191"/>
      <c r="C9" s="120"/>
      <c r="D9" s="139" t="s">
        <v>115</v>
      </c>
      <c r="E9" s="139" t="s">
        <v>293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41"/>
    </row>
    <row r="10" spans="1:26" s="96" customFormat="1" ht="126" customHeight="1" x14ac:dyDescent="0.3">
      <c r="A10" s="113" t="s">
        <v>84</v>
      </c>
      <c r="B10" s="151" t="s">
        <v>158</v>
      </c>
      <c r="C10" s="192" t="s">
        <v>113</v>
      </c>
      <c r="D10" s="213" t="s">
        <v>149</v>
      </c>
      <c r="E10" s="222">
        <v>43374</v>
      </c>
      <c r="F10" s="153" t="s">
        <v>116</v>
      </c>
      <c r="G10" s="155">
        <v>9</v>
      </c>
      <c r="H10" s="156"/>
      <c r="I10" s="157">
        <v>4377.7299999999996</v>
      </c>
      <c r="J10" s="158">
        <v>286.08999999999997</v>
      </c>
      <c r="K10" s="159">
        <f>SUM(I10:J10)</f>
        <v>4663.82</v>
      </c>
      <c r="L10" s="160">
        <f>IF(I10/15&lt;=SMG,0,J10/2)</f>
        <v>143.04499999999999</v>
      </c>
      <c r="M10" s="160">
        <f t="shared" ref="M10" si="0">I10+L10</f>
        <v>4520.7749999999996</v>
      </c>
      <c r="N10" s="160">
        <f t="shared" ref="N10:N14" si="1">VLOOKUP(M10,Tarifa1,1)</f>
        <v>3124.36</v>
      </c>
      <c r="O10" s="160">
        <f t="shared" ref="O10" si="2">M10-N10</f>
        <v>1396.4149999999995</v>
      </c>
      <c r="P10" s="161">
        <f t="shared" ref="P10:P14" si="3">VLOOKUP(M10,Tarifa1,3)</f>
        <v>0.10879999999999999</v>
      </c>
      <c r="Q10" s="160">
        <f t="shared" ref="Q10" si="4">O10*P10</f>
        <v>151.92995199999993</v>
      </c>
      <c r="R10" s="162">
        <f t="shared" ref="R10:R14" si="5">VLOOKUP(M10,Tarifa1,2)</f>
        <v>183.45</v>
      </c>
      <c r="S10" s="160">
        <f t="shared" ref="S10" si="6">Q10+R10</f>
        <v>335.37995199999989</v>
      </c>
      <c r="T10" s="160">
        <f t="shared" ref="T10:T14" si="7">VLOOKUP(M10,Credito1,2)</f>
        <v>0</v>
      </c>
      <c r="U10" s="160">
        <f t="shared" ref="U10" si="8">ROUND(S10-T10,2)</f>
        <v>335.38</v>
      </c>
      <c r="V10" s="159">
        <f t="shared" ref="V10" si="9">-IF(U10&gt;0,0,U10)</f>
        <v>0</v>
      </c>
      <c r="W10" s="159">
        <f t="shared" ref="W10:W14" si="10">IF(I10/15&lt;=SMG,0,IF(U10&lt;0,0,U10))</f>
        <v>335.38</v>
      </c>
      <c r="X10" s="159">
        <f t="shared" ref="X10:X15" si="11">SUM(W10:W10)</f>
        <v>335.38</v>
      </c>
      <c r="Y10" s="159">
        <f>K10+V10-X10</f>
        <v>4328.4399999999996</v>
      </c>
      <c r="Z10" s="95"/>
    </row>
    <row r="11" spans="1:26" s="96" customFormat="1" ht="126" customHeight="1" x14ac:dyDescent="0.35">
      <c r="A11" s="165"/>
      <c r="B11" s="186">
        <v>188</v>
      </c>
      <c r="C11" s="192" t="s">
        <v>113</v>
      </c>
      <c r="D11" s="264" t="s">
        <v>159</v>
      </c>
      <c r="E11" s="223">
        <v>43389</v>
      </c>
      <c r="F11" s="154" t="s">
        <v>249</v>
      </c>
      <c r="G11" s="155">
        <v>15</v>
      </c>
      <c r="H11" s="156"/>
      <c r="I11" s="157">
        <v>6253</v>
      </c>
      <c r="J11" s="158">
        <v>836.56</v>
      </c>
      <c r="K11" s="157">
        <f>I11</f>
        <v>6253</v>
      </c>
      <c r="L11" s="160">
        <f t="shared" ref="L11" si="12">IF(I11/15&lt;=SMG,0,J11/2)</f>
        <v>418.28</v>
      </c>
      <c r="M11" s="160">
        <f t="shared" ref="M11:M12" si="13">I11+L11</f>
        <v>6671.28</v>
      </c>
      <c r="N11" s="160">
        <f t="shared" si="1"/>
        <v>6382.81</v>
      </c>
      <c r="O11" s="160">
        <f t="shared" ref="O11:O12" si="14">M11-N11</f>
        <v>288.46999999999935</v>
      </c>
      <c r="P11" s="161">
        <f t="shared" si="3"/>
        <v>0.1792</v>
      </c>
      <c r="Q11" s="160">
        <f t="shared" ref="Q11:Q12" si="15">O11*P11</f>
        <v>51.693823999999886</v>
      </c>
      <c r="R11" s="162">
        <f t="shared" si="5"/>
        <v>583.65</v>
      </c>
      <c r="S11" s="160">
        <f t="shared" ref="S11:S12" si="16">Q11+R11</f>
        <v>635.34382399999981</v>
      </c>
      <c r="T11" s="160">
        <f t="shared" si="7"/>
        <v>0</v>
      </c>
      <c r="U11" s="160">
        <f t="shared" ref="U11:U12" si="17">ROUND(S11-T11,2)</f>
        <v>635.34</v>
      </c>
      <c r="V11" s="159">
        <f t="shared" ref="V11:V12" si="18">-IF(U11&gt;0,0,U11)</f>
        <v>0</v>
      </c>
      <c r="W11" s="159">
        <f t="shared" si="10"/>
        <v>635.34</v>
      </c>
      <c r="X11" s="159">
        <f t="shared" si="11"/>
        <v>635.34</v>
      </c>
      <c r="Y11" s="159">
        <f>K11+V11-X11+J11</f>
        <v>6454.2199999999993</v>
      </c>
      <c r="Z11" s="95"/>
    </row>
    <row r="12" spans="1:26" s="96" customFormat="1" ht="126" customHeight="1" x14ac:dyDescent="0.35">
      <c r="A12" s="193"/>
      <c r="B12" s="152" t="s">
        <v>228</v>
      </c>
      <c r="C12" s="152" t="s">
        <v>113</v>
      </c>
      <c r="D12" s="214" t="s">
        <v>229</v>
      </c>
      <c r="E12" s="220">
        <v>43512</v>
      </c>
      <c r="F12" s="153" t="s">
        <v>116</v>
      </c>
      <c r="G12" s="155">
        <v>15</v>
      </c>
      <c r="H12" s="156"/>
      <c r="I12" s="157">
        <v>4377.7299999999996</v>
      </c>
      <c r="J12" s="158">
        <v>286.08999999999997</v>
      </c>
      <c r="K12" s="159">
        <f>SUM(I12:J12)</f>
        <v>4663.82</v>
      </c>
      <c r="L12" s="160">
        <f>IF(I12/15&lt;=SMG,0,J12/2)</f>
        <v>143.04499999999999</v>
      </c>
      <c r="M12" s="160">
        <f t="shared" si="13"/>
        <v>4520.7749999999996</v>
      </c>
      <c r="N12" s="160">
        <f t="shared" si="1"/>
        <v>3124.36</v>
      </c>
      <c r="O12" s="160">
        <f t="shared" si="14"/>
        <v>1396.4149999999995</v>
      </c>
      <c r="P12" s="161">
        <f t="shared" si="3"/>
        <v>0.10879999999999999</v>
      </c>
      <c r="Q12" s="160">
        <f t="shared" si="15"/>
        <v>151.92995199999993</v>
      </c>
      <c r="R12" s="162">
        <f t="shared" si="5"/>
        <v>183.45</v>
      </c>
      <c r="S12" s="160">
        <f t="shared" si="16"/>
        <v>335.37995199999989</v>
      </c>
      <c r="T12" s="160">
        <f t="shared" si="7"/>
        <v>0</v>
      </c>
      <c r="U12" s="160">
        <f t="shared" si="17"/>
        <v>335.38</v>
      </c>
      <c r="V12" s="159">
        <f t="shared" si="18"/>
        <v>0</v>
      </c>
      <c r="W12" s="159">
        <f t="shared" si="10"/>
        <v>335.38</v>
      </c>
      <c r="X12" s="159">
        <f t="shared" si="11"/>
        <v>335.38</v>
      </c>
      <c r="Y12" s="159">
        <f>K12+V12-X12</f>
        <v>4328.4399999999996</v>
      </c>
      <c r="Z12" s="95"/>
    </row>
    <row r="13" spans="1:26" s="96" customFormat="1" ht="126" customHeight="1" x14ac:dyDescent="0.3">
      <c r="A13" s="193"/>
      <c r="B13" s="186">
        <v>284</v>
      </c>
      <c r="C13" s="152" t="s">
        <v>113</v>
      </c>
      <c r="D13" s="215" t="s">
        <v>226</v>
      </c>
      <c r="E13" s="222">
        <v>44473</v>
      </c>
      <c r="F13" s="153" t="s">
        <v>116</v>
      </c>
      <c r="G13" s="155">
        <v>15</v>
      </c>
      <c r="H13" s="156"/>
      <c r="I13" s="157">
        <v>4377.7299999999996</v>
      </c>
      <c r="J13" s="158">
        <v>286.08999999999997</v>
      </c>
      <c r="K13" s="159">
        <f>SUM(I13:J13)</f>
        <v>4663.82</v>
      </c>
      <c r="L13" s="160">
        <f>IF(I13/15&lt;=SMG,0,J13/2)</f>
        <v>143.04499999999999</v>
      </c>
      <c r="M13" s="160">
        <f t="shared" ref="M13:M14" si="19">I13+L13</f>
        <v>4520.7749999999996</v>
      </c>
      <c r="N13" s="160">
        <f t="shared" si="1"/>
        <v>3124.36</v>
      </c>
      <c r="O13" s="160">
        <f t="shared" ref="O13:O14" si="20">M13-N13</f>
        <v>1396.4149999999995</v>
      </c>
      <c r="P13" s="161">
        <f t="shared" si="3"/>
        <v>0.10879999999999999</v>
      </c>
      <c r="Q13" s="160">
        <f t="shared" ref="Q13:Q14" si="21">O13*P13</f>
        <v>151.92995199999993</v>
      </c>
      <c r="R13" s="162">
        <f t="shared" si="5"/>
        <v>183.45</v>
      </c>
      <c r="S13" s="160">
        <f t="shared" ref="S13:S14" si="22">Q13+R13</f>
        <v>335.37995199999989</v>
      </c>
      <c r="T13" s="160">
        <f t="shared" si="7"/>
        <v>0</v>
      </c>
      <c r="U13" s="160">
        <f t="shared" ref="U13:U14" si="23">ROUND(S13-T13,2)</f>
        <v>335.38</v>
      </c>
      <c r="V13" s="159">
        <f t="shared" ref="V13:V14" si="24">-IF(U13&gt;0,0,U13)</f>
        <v>0</v>
      </c>
      <c r="W13" s="159">
        <f t="shared" si="10"/>
        <v>335.38</v>
      </c>
      <c r="X13" s="159">
        <f t="shared" si="11"/>
        <v>335.38</v>
      </c>
      <c r="Y13" s="159">
        <f>K13+V13-X13</f>
        <v>4328.4399999999996</v>
      </c>
      <c r="Z13" s="95"/>
    </row>
    <row r="14" spans="1:26" s="96" customFormat="1" ht="126" customHeight="1" x14ac:dyDescent="0.3">
      <c r="A14" s="193"/>
      <c r="B14" s="186">
        <v>317</v>
      </c>
      <c r="C14" s="152" t="s">
        <v>113</v>
      </c>
      <c r="D14" s="215" t="s">
        <v>308</v>
      </c>
      <c r="E14" s="222">
        <v>45078</v>
      </c>
      <c r="F14" s="153" t="s">
        <v>116</v>
      </c>
      <c r="G14" s="155">
        <v>15</v>
      </c>
      <c r="H14" s="156"/>
      <c r="I14" s="157">
        <v>4377.7299999999996</v>
      </c>
      <c r="J14" s="158">
        <v>286.08999999999997</v>
      </c>
      <c r="K14" s="159">
        <f>SUM(I14:J14)</f>
        <v>4663.82</v>
      </c>
      <c r="L14" s="160">
        <f>IF(I14/15&lt;=SMG,0,J14/2)</f>
        <v>143.04499999999999</v>
      </c>
      <c r="M14" s="160">
        <f t="shared" si="19"/>
        <v>4520.7749999999996</v>
      </c>
      <c r="N14" s="160">
        <f t="shared" si="1"/>
        <v>3124.36</v>
      </c>
      <c r="O14" s="160">
        <f t="shared" si="20"/>
        <v>1396.4149999999995</v>
      </c>
      <c r="P14" s="161">
        <f t="shared" si="3"/>
        <v>0.10879999999999999</v>
      </c>
      <c r="Q14" s="160">
        <f t="shared" si="21"/>
        <v>151.92995199999993</v>
      </c>
      <c r="R14" s="162">
        <f t="shared" si="5"/>
        <v>183.45</v>
      </c>
      <c r="S14" s="160">
        <f t="shared" si="22"/>
        <v>335.37995199999989</v>
      </c>
      <c r="T14" s="160">
        <f t="shared" si="7"/>
        <v>0</v>
      </c>
      <c r="U14" s="160">
        <f t="shared" si="23"/>
        <v>335.38</v>
      </c>
      <c r="V14" s="159">
        <f t="shared" si="24"/>
        <v>0</v>
      </c>
      <c r="W14" s="159">
        <f t="shared" si="10"/>
        <v>335.38</v>
      </c>
      <c r="X14" s="159">
        <f t="shared" si="11"/>
        <v>335.38</v>
      </c>
      <c r="Y14" s="159">
        <f>K14+V14-X14</f>
        <v>4328.4399999999996</v>
      </c>
      <c r="Z14" s="95"/>
    </row>
    <row r="15" spans="1:26" s="96" customFormat="1" ht="126" customHeight="1" x14ac:dyDescent="0.3">
      <c r="A15" s="193"/>
      <c r="B15" s="186">
        <v>328</v>
      </c>
      <c r="C15" s="152" t="s">
        <v>113</v>
      </c>
      <c r="D15" s="215" t="s">
        <v>323</v>
      </c>
      <c r="E15" s="222">
        <v>45110</v>
      </c>
      <c r="F15" s="153" t="s">
        <v>116</v>
      </c>
      <c r="G15" s="155">
        <v>15</v>
      </c>
      <c r="H15" s="156"/>
      <c r="I15" s="157">
        <v>4377.7299999999996</v>
      </c>
      <c r="J15" s="158">
        <v>0</v>
      </c>
      <c r="K15" s="159">
        <f>SUM(I15:J15)</f>
        <v>4377.7299999999996</v>
      </c>
      <c r="L15" s="160">
        <f>IF(I15/15&lt;=SMG,0,J15/2)</f>
        <v>0</v>
      </c>
      <c r="M15" s="160">
        <f t="shared" ref="M15" si="25">I15+L15</f>
        <v>4377.7299999999996</v>
      </c>
      <c r="N15" s="160">
        <f t="shared" ref="N15" si="26">VLOOKUP(M15,Tarifa1,1)</f>
        <v>3124.36</v>
      </c>
      <c r="O15" s="160">
        <f t="shared" ref="O15" si="27">M15-N15</f>
        <v>1253.3699999999994</v>
      </c>
      <c r="P15" s="161">
        <f t="shared" ref="P15" si="28">VLOOKUP(M15,Tarifa1,3)</f>
        <v>0.10879999999999999</v>
      </c>
      <c r="Q15" s="160">
        <f t="shared" ref="Q15" si="29">O15*P15</f>
        <v>136.36665599999992</v>
      </c>
      <c r="R15" s="162">
        <f t="shared" ref="R15" si="30">VLOOKUP(M15,Tarifa1,2)</f>
        <v>183.45</v>
      </c>
      <c r="S15" s="160">
        <f t="shared" ref="S15" si="31">Q15+R15</f>
        <v>319.81665599999991</v>
      </c>
      <c r="T15" s="160">
        <f t="shared" ref="T15" si="32">VLOOKUP(M15,Credito1,2)</f>
        <v>0</v>
      </c>
      <c r="U15" s="160">
        <f t="shared" ref="U15" si="33">ROUND(S15-T15,2)</f>
        <v>319.82</v>
      </c>
      <c r="V15" s="159">
        <f t="shared" ref="V15" si="34">-IF(U15&gt;0,0,U15)</f>
        <v>0</v>
      </c>
      <c r="W15" s="159">
        <f t="shared" ref="W15" si="35">IF(I15/15&lt;=SMG,0,IF(U15&lt;0,0,U15))</f>
        <v>319.82</v>
      </c>
      <c r="X15" s="159">
        <f t="shared" si="11"/>
        <v>319.82</v>
      </c>
      <c r="Y15" s="159">
        <f>K15+V15-X15</f>
        <v>4057.9099999999994</v>
      </c>
      <c r="Z15" s="95"/>
    </row>
    <row r="16" spans="1:26" ht="17.399999999999999" x14ac:dyDescent="0.3">
      <c r="A16" s="176"/>
      <c r="B16" s="176"/>
      <c r="C16" s="176"/>
      <c r="D16" s="176"/>
      <c r="E16" s="176"/>
      <c r="F16" s="176"/>
      <c r="G16" s="177"/>
      <c r="H16" s="176"/>
      <c r="I16" s="178"/>
      <c r="J16" s="178"/>
      <c r="K16" s="178"/>
      <c r="L16" s="179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</row>
    <row r="17" spans="1:25" ht="45" customHeight="1" thickBot="1" x14ac:dyDescent="0.35">
      <c r="A17" s="286" t="s">
        <v>44</v>
      </c>
      <c r="B17" s="287"/>
      <c r="C17" s="287"/>
      <c r="D17" s="287"/>
      <c r="E17" s="287"/>
      <c r="F17" s="287"/>
      <c r="G17" s="287"/>
      <c r="H17" s="288"/>
      <c r="I17" s="163">
        <f t="shared" ref="I17:Y17" si="36">SUM(I10:I16)</f>
        <v>28141.649999999998</v>
      </c>
      <c r="J17" s="163">
        <f t="shared" si="36"/>
        <v>1980.9199999999996</v>
      </c>
      <c r="K17" s="163">
        <f t="shared" si="36"/>
        <v>29286.01</v>
      </c>
      <c r="L17" s="164">
        <f t="shared" si="36"/>
        <v>990.45999999999981</v>
      </c>
      <c r="M17" s="164">
        <f t="shared" si="36"/>
        <v>29132.109999999997</v>
      </c>
      <c r="N17" s="164">
        <f t="shared" si="36"/>
        <v>22004.61</v>
      </c>
      <c r="O17" s="164">
        <f t="shared" si="36"/>
        <v>7127.4999999999964</v>
      </c>
      <c r="P17" s="164">
        <f t="shared" si="36"/>
        <v>0.72319999999999995</v>
      </c>
      <c r="Q17" s="164">
        <f t="shared" si="36"/>
        <v>795.78028799999959</v>
      </c>
      <c r="R17" s="164">
        <f t="shared" si="36"/>
        <v>1500.9</v>
      </c>
      <c r="S17" s="164">
        <f t="shared" si="36"/>
        <v>2296.6802879999991</v>
      </c>
      <c r="T17" s="164">
        <f t="shared" si="36"/>
        <v>0</v>
      </c>
      <c r="U17" s="164">
        <f t="shared" si="36"/>
        <v>2296.6800000000003</v>
      </c>
      <c r="V17" s="163">
        <f t="shared" si="36"/>
        <v>0</v>
      </c>
      <c r="W17" s="163">
        <f t="shared" si="36"/>
        <v>2296.6800000000003</v>
      </c>
      <c r="X17" s="163">
        <f t="shared" si="36"/>
        <v>2296.6800000000003</v>
      </c>
      <c r="Y17" s="163">
        <f t="shared" si="36"/>
        <v>27825.889999999996</v>
      </c>
    </row>
    <row r="18" spans="1:25" ht="13.8" thickTop="1" x14ac:dyDescent="0.25"/>
  </sheetData>
  <mergeCells count="9">
    <mergeCell ref="W6:X6"/>
    <mergeCell ref="A17:H17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5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B25" zoomScale="68" zoomScaleNormal="68" workbookViewId="0">
      <selection activeCell="V12" sqref="V12"/>
    </sheetView>
  </sheetViews>
  <sheetFormatPr baseColWidth="10" defaultColWidth="11.44140625" defaultRowHeight="13.2" x14ac:dyDescent="0.25"/>
  <cols>
    <col min="1" max="1" width="5.5546875" style="69" hidden="1" customWidth="1"/>
    <col min="2" max="2" width="10.5546875" style="69" customWidth="1"/>
    <col min="3" max="3" width="9" style="69" customWidth="1"/>
    <col min="4" max="4" width="15.33203125" style="69" customWidth="1"/>
    <col min="5" max="5" width="22" style="69" customWidth="1"/>
    <col min="6" max="6" width="11.33203125" style="69" hidden="1" customWidth="1"/>
    <col min="7" max="7" width="17.5546875" style="69" customWidth="1"/>
    <col min="8" max="8" width="14" style="69" customWidth="1"/>
    <col min="9" max="9" width="15.44140625" style="69" customWidth="1"/>
    <col min="10" max="10" width="12.6640625" style="69" hidden="1" customWidth="1"/>
    <col min="11" max="11" width="13.109375" style="69" hidden="1" customWidth="1"/>
    <col min="12" max="12" width="14.44140625" style="69" hidden="1" customWidth="1"/>
    <col min="13" max="13" width="15" style="69" hidden="1" customWidth="1"/>
    <col min="14" max="14" width="11" style="69" hidden="1" customWidth="1"/>
    <col min="15" max="16" width="13.109375" style="69" hidden="1" customWidth="1"/>
    <col min="17" max="17" width="15.44140625" style="69" hidden="1" customWidth="1"/>
    <col min="18" max="18" width="10.44140625" style="69" hidden="1" customWidth="1"/>
    <col min="19" max="19" width="13.109375" style="69" hidden="1" customWidth="1"/>
    <col min="20" max="20" width="11.5546875" style="69" customWidth="1"/>
    <col min="21" max="21" width="15.5546875" style="69" customWidth="1"/>
    <col min="22" max="22" width="15.88671875" style="69" customWidth="1"/>
    <col min="23" max="23" width="15.44140625" style="69" customWidth="1"/>
    <col min="24" max="24" width="71" style="69" customWidth="1"/>
    <col min="25" max="25" width="73.44140625" style="69" customWidth="1"/>
    <col min="26" max="16384" width="11.44140625" style="69"/>
  </cols>
  <sheetData>
    <row r="1" spans="1:26" ht="17.399999999999999" x14ac:dyDescent="0.3">
      <c r="A1" s="299" t="s">
        <v>76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4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4"/>
    </row>
    <row r="3" spans="1:26" ht="19.8" x14ac:dyDescent="0.3">
      <c r="A3" s="42" t="s">
        <v>183</v>
      </c>
      <c r="B3" s="290" t="s">
        <v>344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197"/>
      <c r="Z3" s="197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0" t="s">
        <v>1</v>
      </c>
      <c r="H5" s="301"/>
      <c r="I5" s="302"/>
      <c r="J5" s="24" t="s">
        <v>25</v>
      </c>
      <c r="K5" s="25"/>
      <c r="L5" s="303" t="s">
        <v>8</v>
      </c>
      <c r="M5" s="304"/>
      <c r="N5" s="304"/>
      <c r="O5" s="304"/>
      <c r="P5" s="304"/>
      <c r="Q5" s="305"/>
      <c r="R5" s="24" t="s">
        <v>29</v>
      </c>
      <c r="S5" s="24" t="s">
        <v>9</v>
      </c>
      <c r="T5" s="23" t="s">
        <v>52</v>
      </c>
      <c r="U5" s="306" t="s">
        <v>2</v>
      </c>
      <c r="V5" s="307"/>
      <c r="W5" s="23" t="s">
        <v>0</v>
      </c>
      <c r="X5" s="107"/>
      <c r="Y5" s="4"/>
    </row>
    <row r="6" spans="1:26" ht="32.25" customHeight="1" x14ac:dyDescent="0.25">
      <c r="A6" s="26" t="s">
        <v>20</v>
      </c>
      <c r="B6" s="46" t="s">
        <v>100</v>
      </c>
      <c r="C6" s="46" t="s">
        <v>114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277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128</v>
      </c>
      <c r="T7" s="26" t="s">
        <v>51</v>
      </c>
      <c r="U7" s="26"/>
      <c r="V7" s="26" t="s">
        <v>43</v>
      </c>
      <c r="W7" s="26" t="s">
        <v>4</v>
      </c>
      <c r="X7" s="108"/>
      <c r="Y7" s="4"/>
    </row>
    <row r="8" spans="1:26" ht="26.25" customHeight="1" x14ac:dyDescent="0.25">
      <c r="A8" s="39"/>
      <c r="B8" s="106"/>
      <c r="C8" s="106"/>
      <c r="D8" s="104" t="s">
        <v>293</v>
      </c>
      <c r="E8" s="37" t="s">
        <v>60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2"/>
      <c r="Y8" s="4"/>
    </row>
    <row r="9" spans="1:26" ht="78" customHeight="1" x14ac:dyDescent="0.3">
      <c r="A9" s="113" t="s">
        <v>82</v>
      </c>
      <c r="B9" s="152" t="s">
        <v>314</v>
      </c>
      <c r="C9" s="152" t="s">
        <v>113</v>
      </c>
      <c r="D9" s="226">
        <v>45090</v>
      </c>
      <c r="E9" s="153" t="s">
        <v>65</v>
      </c>
      <c r="F9" s="155">
        <v>15</v>
      </c>
      <c r="G9" s="157">
        <v>10293</v>
      </c>
      <c r="H9" s="158">
        <v>0</v>
      </c>
      <c r="I9" s="159">
        <f t="shared" ref="I9" si="0">SUM(G9:H9)</f>
        <v>10293</v>
      </c>
      <c r="J9" s="160">
        <f t="shared" ref="J9:J10" si="1">IF(G9/15&lt;=SMG,0,H9/2)</f>
        <v>0</v>
      </c>
      <c r="K9" s="160">
        <f t="shared" ref="K9:K10" si="2">G9+J9</f>
        <v>10293</v>
      </c>
      <c r="L9" s="160">
        <f t="shared" ref="L9:L10" si="3">VLOOKUP(K9,Tarifa1,1)</f>
        <v>7641.91</v>
      </c>
      <c r="M9" s="160">
        <f>K9-L9</f>
        <v>2651.09</v>
      </c>
      <c r="N9" s="161">
        <f t="shared" ref="N9:N10" si="4">VLOOKUP(K9,Tarifa1,3)</f>
        <v>0.21360000000000001</v>
      </c>
      <c r="O9" s="160">
        <f>M9*N9</f>
        <v>566.27282400000001</v>
      </c>
      <c r="P9" s="162">
        <f t="shared" ref="P9:P10" si="5">VLOOKUP(K9,Tarifa1,2)</f>
        <v>809.25</v>
      </c>
      <c r="Q9" s="160">
        <f>O9+P9</f>
        <v>1375.5228240000001</v>
      </c>
      <c r="R9" s="160">
        <f t="shared" ref="R9:R10" si="6">VLOOKUP(K9,Credito1,2)</f>
        <v>0</v>
      </c>
      <c r="S9" s="160">
        <f>ROUND(Q9-R9,2)</f>
        <v>1375.52</v>
      </c>
      <c r="T9" s="159">
        <f>-IF(S9&gt;0,0,S9)</f>
        <v>0</v>
      </c>
      <c r="U9" s="159">
        <f t="shared" ref="U9:U10" si="7">IF(G9/15&lt;=SMG,0,IF(S9&lt;0,0,S9))</f>
        <v>1375.52</v>
      </c>
      <c r="V9" s="159">
        <f t="shared" ref="V9:V25" si="8">SUM(U9:U9)</f>
        <v>1375.52</v>
      </c>
      <c r="W9" s="159">
        <f>I9+T9-U9</f>
        <v>8917.48</v>
      </c>
      <c r="X9" s="91"/>
      <c r="Y9" s="4"/>
    </row>
    <row r="10" spans="1:26" ht="78" customHeight="1" x14ac:dyDescent="0.3">
      <c r="A10" s="113"/>
      <c r="B10" s="152" t="s">
        <v>316</v>
      </c>
      <c r="C10" s="152" t="s">
        <v>150</v>
      </c>
      <c r="D10" s="227">
        <v>45092</v>
      </c>
      <c r="E10" s="153" t="s">
        <v>78</v>
      </c>
      <c r="F10" s="155"/>
      <c r="G10" s="157">
        <v>8409</v>
      </c>
      <c r="H10" s="158">
        <v>0</v>
      </c>
      <c r="I10" s="159">
        <f t="shared" ref="I10" si="9">SUM(G10:H10)</f>
        <v>8409</v>
      </c>
      <c r="J10" s="160">
        <f t="shared" si="1"/>
        <v>0</v>
      </c>
      <c r="K10" s="160">
        <f t="shared" si="2"/>
        <v>8409</v>
      </c>
      <c r="L10" s="160">
        <f t="shared" si="3"/>
        <v>7641.91</v>
      </c>
      <c r="M10" s="160">
        <f t="shared" ref="M10" si="10">K10-L10</f>
        <v>767.09000000000015</v>
      </c>
      <c r="N10" s="161">
        <f t="shared" si="4"/>
        <v>0.21360000000000001</v>
      </c>
      <c r="O10" s="160">
        <f t="shared" ref="O10" si="11">M10*N10</f>
        <v>163.85042400000003</v>
      </c>
      <c r="P10" s="162">
        <f t="shared" si="5"/>
        <v>809.25</v>
      </c>
      <c r="Q10" s="160">
        <f t="shared" ref="Q10" si="12">O10+P10</f>
        <v>973.10042399999998</v>
      </c>
      <c r="R10" s="160">
        <f t="shared" si="6"/>
        <v>0</v>
      </c>
      <c r="S10" s="160">
        <f t="shared" ref="S10" si="13">ROUND(Q10-R10,2)</f>
        <v>973.1</v>
      </c>
      <c r="T10" s="159">
        <f t="shared" ref="T10" si="14">-IF(S10&gt;0,0,S10)</f>
        <v>0</v>
      </c>
      <c r="U10" s="159">
        <f t="shared" si="7"/>
        <v>973.1</v>
      </c>
      <c r="V10" s="159">
        <f t="shared" si="8"/>
        <v>973.1</v>
      </c>
      <c r="W10" s="159">
        <f t="shared" ref="W10:W25" si="15">I10+T10-V10</f>
        <v>7435.9</v>
      </c>
      <c r="X10" s="91"/>
      <c r="Y10" s="4"/>
    </row>
    <row r="11" spans="1:26" s="96" customFormat="1" ht="78" customHeight="1" x14ac:dyDescent="0.3">
      <c r="A11" s="193"/>
      <c r="B11" s="152" t="s">
        <v>174</v>
      </c>
      <c r="C11" s="152" t="s">
        <v>113</v>
      </c>
      <c r="D11" s="226">
        <v>43601</v>
      </c>
      <c r="E11" s="154" t="s">
        <v>78</v>
      </c>
      <c r="F11" s="155">
        <v>15</v>
      </c>
      <c r="G11" s="157">
        <v>8409</v>
      </c>
      <c r="H11" s="158">
        <v>0</v>
      </c>
      <c r="I11" s="159">
        <f t="shared" ref="I11:I12" si="16">SUM(G11:H11)</f>
        <v>8409</v>
      </c>
      <c r="J11" s="160">
        <f t="shared" ref="J11:J12" si="17">IF(G11/15&lt;=SMG,0,H11/2)</f>
        <v>0</v>
      </c>
      <c r="K11" s="160">
        <f t="shared" ref="K11:K12" si="18">G11+J11</f>
        <v>8409</v>
      </c>
      <c r="L11" s="160">
        <f t="shared" ref="L11:L16" si="19">VLOOKUP(K11,Tarifa1,1)</f>
        <v>7641.91</v>
      </c>
      <c r="M11" s="160">
        <f t="shared" ref="M11:M16" si="20">K11-L11</f>
        <v>767.09000000000015</v>
      </c>
      <c r="N11" s="161">
        <f t="shared" ref="N11:N16" si="21">VLOOKUP(K11,Tarifa1,3)</f>
        <v>0.21360000000000001</v>
      </c>
      <c r="O11" s="160">
        <f t="shared" ref="O11:O16" si="22">M11*N11</f>
        <v>163.85042400000003</v>
      </c>
      <c r="P11" s="162">
        <f t="shared" ref="P11:P16" si="23">VLOOKUP(K11,Tarifa1,2)</f>
        <v>809.25</v>
      </c>
      <c r="Q11" s="160">
        <f t="shared" ref="Q11:Q16" si="24">O11+P11</f>
        <v>973.10042399999998</v>
      </c>
      <c r="R11" s="160">
        <f t="shared" ref="R11:R16" si="25">VLOOKUP(K11,Credito1,2)</f>
        <v>0</v>
      </c>
      <c r="S11" s="160">
        <f t="shared" ref="S11:S16" si="26">ROUND(Q11-R11,2)</f>
        <v>973.1</v>
      </c>
      <c r="T11" s="159">
        <f t="shared" ref="T11:T16" si="27">-IF(S11&gt;0,0,S11)</f>
        <v>0</v>
      </c>
      <c r="U11" s="159">
        <f t="shared" ref="U11:U16" si="28">IF(G11/15&lt;=SMG,0,IF(S11&lt;0,0,S11))</f>
        <v>973.1</v>
      </c>
      <c r="V11" s="159">
        <f t="shared" si="8"/>
        <v>973.1</v>
      </c>
      <c r="W11" s="159">
        <f t="shared" si="15"/>
        <v>7435.9</v>
      </c>
      <c r="X11" s="91"/>
      <c r="Y11" s="4"/>
    </row>
    <row r="12" spans="1:26" s="96" customFormat="1" ht="78" customHeight="1" x14ac:dyDescent="0.3">
      <c r="A12" s="193"/>
      <c r="B12" s="152" t="s">
        <v>188</v>
      </c>
      <c r="C12" s="152" t="s">
        <v>113</v>
      </c>
      <c r="D12" s="226">
        <v>43937</v>
      </c>
      <c r="E12" s="154" t="s">
        <v>254</v>
      </c>
      <c r="F12" s="155">
        <v>15</v>
      </c>
      <c r="G12" s="157">
        <v>8016</v>
      </c>
      <c r="H12" s="158">
        <v>0</v>
      </c>
      <c r="I12" s="159">
        <f t="shared" si="16"/>
        <v>8016</v>
      </c>
      <c r="J12" s="160">
        <f t="shared" si="17"/>
        <v>0</v>
      </c>
      <c r="K12" s="160">
        <f t="shared" si="18"/>
        <v>8016</v>
      </c>
      <c r="L12" s="160">
        <f t="shared" ref="L12" si="29">VLOOKUP(K12,Tarifa1,1)</f>
        <v>7641.91</v>
      </c>
      <c r="M12" s="160">
        <f t="shared" ref="M12" si="30">K12-L12</f>
        <v>374.09000000000015</v>
      </c>
      <c r="N12" s="161">
        <f t="shared" ref="N12" si="31">VLOOKUP(K12,Tarifa1,3)</f>
        <v>0.21360000000000001</v>
      </c>
      <c r="O12" s="160">
        <f t="shared" ref="O12" si="32">M12*N12</f>
        <v>79.905624000000032</v>
      </c>
      <c r="P12" s="162">
        <f t="shared" ref="P12" si="33">VLOOKUP(K12,Tarifa1,2)</f>
        <v>809.25</v>
      </c>
      <c r="Q12" s="160">
        <f t="shared" ref="Q12" si="34">O12+P12</f>
        <v>889.15562399999999</v>
      </c>
      <c r="R12" s="160">
        <f t="shared" ref="R12" si="35">VLOOKUP(K12,Credito1,2)</f>
        <v>0</v>
      </c>
      <c r="S12" s="160">
        <f t="shared" ref="S12" si="36">ROUND(Q12-R12,2)</f>
        <v>889.16</v>
      </c>
      <c r="T12" s="159">
        <f t="shared" ref="T12" si="37">-IF(S12&gt;0,0,S12)</f>
        <v>0</v>
      </c>
      <c r="U12" s="159">
        <f t="shared" ref="U12" si="38">IF(G12/15&lt;=SMG,0,IF(S12&lt;0,0,S12))</f>
        <v>889.16</v>
      </c>
      <c r="V12" s="159">
        <f t="shared" si="8"/>
        <v>889.16</v>
      </c>
      <c r="W12" s="159">
        <f t="shared" si="15"/>
        <v>7126.84</v>
      </c>
      <c r="X12" s="91"/>
      <c r="Y12" s="4"/>
    </row>
    <row r="13" spans="1:26" s="96" customFormat="1" ht="78" customHeight="1" x14ac:dyDescent="0.3">
      <c r="A13" s="193"/>
      <c r="B13" s="152" t="s">
        <v>328</v>
      </c>
      <c r="C13" s="152" t="s">
        <v>113</v>
      </c>
      <c r="D13" s="227">
        <v>45122</v>
      </c>
      <c r="E13" s="154" t="s">
        <v>254</v>
      </c>
      <c r="F13" s="155">
        <v>15</v>
      </c>
      <c r="G13" s="157">
        <v>8016</v>
      </c>
      <c r="H13" s="158">
        <v>0</v>
      </c>
      <c r="I13" s="159">
        <f t="shared" ref="I13" si="39">SUM(G13:H13)</f>
        <v>8016</v>
      </c>
      <c r="J13" s="160">
        <f t="shared" ref="J13" si="40">IF(G13/15&lt;=SMG,0,H13/2)</f>
        <v>0</v>
      </c>
      <c r="K13" s="160">
        <f t="shared" ref="K13" si="41">G13+J13</f>
        <v>8016</v>
      </c>
      <c r="L13" s="160">
        <f t="shared" ref="L13" si="42">VLOOKUP(K13,Tarifa1,1)</f>
        <v>7641.91</v>
      </c>
      <c r="M13" s="160">
        <f t="shared" ref="M13" si="43">K13-L13</f>
        <v>374.09000000000015</v>
      </c>
      <c r="N13" s="161">
        <f t="shared" ref="N13" si="44">VLOOKUP(K13,Tarifa1,3)</f>
        <v>0.21360000000000001</v>
      </c>
      <c r="O13" s="160">
        <f t="shared" ref="O13" si="45">M13*N13</f>
        <v>79.905624000000032</v>
      </c>
      <c r="P13" s="162">
        <f t="shared" ref="P13" si="46">VLOOKUP(K13,Tarifa1,2)</f>
        <v>809.25</v>
      </c>
      <c r="Q13" s="160">
        <f t="shared" ref="Q13" si="47">O13+P13</f>
        <v>889.15562399999999</v>
      </c>
      <c r="R13" s="160">
        <f t="shared" ref="R13" si="48">VLOOKUP(K13,Credito1,2)</f>
        <v>0</v>
      </c>
      <c r="S13" s="160">
        <f t="shared" ref="S13" si="49">ROUND(Q13-R13,2)</f>
        <v>889.16</v>
      </c>
      <c r="T13" s="159">
        <f t="shared" ref="T13" si="50">-IF(S13&gt;0,0,S13)</f>
        <v>0</v>
      </c>
      <c r="U13" s="159">
        <f t="shared" ref="U13" si="51">IF(G13/15&lt;=SMG,0,IF(S13&lt;0,0,S13))</f>
        <v>889.16</v>
      </c>
      <c r="V13" s="159">
        <f t="shared" si="8"/>
        <v>889.16</v>
      </c>
      <c r="W13" s="159">
        <f t="shared" si="15"/>
        <v>7126.84</v>
      </c>
      <c r="X13" s="91"/>
      <c r="Y13" s="4"/>
    </row>
    <row r="14" spans="1:26" s="96" customFormat="1" ht="78" customHeight="1" x14ac:dyDescent="0.3">
      <c r="A14" s="193"/>
      <c r="B14" s="152" t="s">
        <v>104</v>
      </c>
      <c r="C14" s="152" t="s">
        <v>113</v>
      </c>
      <c r="D14" s="227">
        <v>41898</v>
      </c>
      <c r="E14" s="154" t="s">
        <v>79</v>
      </c>
      <c r="F14" s="155">
        <v>15</v>
      </c>
      <c r="G14" s="157">
        <v>7623</v>
      </c>
      <c r="H14" s="158">
        <v>0</v>
      </c>
      <c r="I14" s="159">
        <f t="shared" ref="I14" si="52">SUM(G14:H14)</f>
        <v>7623</v>
      </c>
      <c r="J14" s="160">
        <f t="shared" ref="J14:J15" si="53">IF(G14/15&lt;=SMG,0,H14/2)</f>
        <v>0</v>
      </c>
      <c r="K14" s="160">
        <f t="shared" ref="K14:K15" si="54">G14+J14</f>
        <v>7623</v>
      </c>
      <c r="L14" s="160">
        <f t="shared" si="19"/>
        <v>6382.81</v>
      </c>
      <c r="M14" s="160">
        <f t="shared" si="20"/>
        <v>1240.1899999999996</v>
      </c>
      <c r="N14" s="161">
        <f t="shared" si="21"/>
        <v>0.1792</v>
      </c>
      <c r="O14" s="160">
        <f t="shared" si="22"/>
        <v>222.24204799999993</v>
      </c>
      <c r="P14" s="162">
        <f t="shared" si="23"/>
        <v>583.65</v>
      </c>
      <c r="Q14" s="160">
        <f t="shared" si="24"/>
        <v>805.89204799999993</v>
      </c>
      <c r="R14" s="160">
        <f t="shared" si="25"/>
        <v>0</v>
      </c>
      <c r="S14" s="160">
        <f t="shared" si="26"/>
        <v>805.89</v>
      </c>
      <c r="T14" s="159">
        <f t="shared" si="27"/>
        <v>0</v>
      </c>
      <c r="U14" s="159">
        <f t="shared" si="28"/>
        <v>805.89</v>
      </c>
      <c r="V14" s="159">
        <f t="shared" si="8"/>
        <v>805.89</v>
      </c>
      <c r="W14" s="159">
        <f t="shared" si="15"/>
        <v>6817.11</v>
      </c>
      <c r="X14" s="92"/>
      <c r="Y14" s="4"/>
    </row>
    <row r="15" spans="1:26" ht="78" customHeight="1" x14ac:dyDescent="0.3">
      <c r="A15" s="193"/>
      <c r="B15" s="152" t="s">
        <v>184</v>
      </c>
      <c r="C15" s="152" t="s">
        <v>113</v>
      </c>
      <c r="D15" s="226">
        <v>43831</v>
      </c>
      <c r="E15" s="154" t="s">
        <v>79</v>
      </c>
      <c r="F15" s="195">
        <v>15</v>
      </c>
      <c r="G15" s="157">
        <v>7623</v>
      </c>
      <c r="H15" s="158">
        <v>0</v>
      </c>
      <c r="I15" s="159">
        <f t="shared" ref="I15" si="55">SUM(G15:H15)</f>
        <v>7623</v>
      </c>
      <c r="J15" s="160">
        <f t="shared" si="53"/>
        <v>0</v>
      </c>
      <c r="K15" s="160">
        <f t="shared" si="54"/>
        <v>7623</v>
      </c>
      <c r="L15" s="160">
        <f t="shared" si="19"/>
        <v>6382.81</v>
      </c>
      <c r="M15" s="160">
        <f t="shared" si="20"/>
        <v>1240.1899999999996</v>
      </c>
      <c r="N15" s="161">
        <f t="shared" si="21"/>
        <v>0.1792</v>
      </c>
      <c r="O15" s="160">
        <f t="shared" si="22"/>
        <v>222.24204799999993</v>
      </c>
      <c r="P15" s="162">
        <f t="shared" si="23"/>
        <v>583.65</v>
      </c>
      <c r="Q15" s="160">
        <f t="shared" si="24"/>
        <v>805.89204799999993</v>
      </c>
      <c r="R15" s="160">
        <f t="shared" si="25"/>
        <v>0</v>
      </c>
      <c r="S15" s="160">
        <f t="shared" si="26"/>
        <v>805.89</v>
      </c>
      <c r="T15" s="159">
        <f t="shared" si="27"/>
        <v>0</v>
      </c>
      <c r="U15" s="159">
        <f t="shared" si="28"/>
        <v>805.89</v>
      </c>
      <c r="V15" s="159">
        <f t="shared" si="8"/>
        <v>805.89</v>
      </c>
      <c r="W15" s="159">
        <f t="shared" si="15"/>
        <v>6817.11</v>
      </c>
      <c r="X15" s="92"/>
      <c r="Y15" s="4"/>
    </row>
    <row r="16" spans="1:26" ht="78" customHeight="1" x14ac:dyDescent="0.3">
      <c r="A16" s="193"/>
      <c r="B16" s="152" t="s">
        <v>251</v>
      </c>
      <c r="C16" s="152" t="s">
        <v>113</v>
      </c>
      <c r="D16" s="226">
        <v>44608</v>
      </c>
      <c r="E16" s="154" t="s">
        <v>79</v>
      </c>
      <c r="F16" s="155"/>
      <c r="G16" s="157">
        <v>7623</v>
      </c>
      <c r="H16" s="158">
        <v>0</v>
      </c>
      <c r="I16" s="159">
        <f t="shared" ref="I16" si="56">SUM(G16:H16)</f>
        <v>7623</v>
      </c>
      <c r="J16" s="160">
        <f t="shared" ref="J16:J17" si="57">IF(G16/15&lt;=SMG,0,H16/2)</f>
        <v>0</v>
      </c>
      <c r="K16" s="160">
        <f t="shared" ref="K16:K17" si="58">G16+J16</f>
        <v>7623</v>
      </c>
      <c r="L16" s="160">
        <f t="shared" si="19"/>
        <v>6382.81</v>
      </c>
      <c r="M16" s="160">
        <f t="shared" si="20"/>
        <v>1240.1899999999996</v>
      </c>
      <c r="N16" s="161">
        <f t="shared" si="21"/>
        <v>0.1792</v>
      </c>
      <c r="O16" s="160">
        <f t="shared" si="22"/>
        <v>222.24204799999993</v>
      </c>
      <c r="P16" s="162">
        <f t="shared" si="23"/>
        <v>583.65</v>
      </c>
      <c r="Q16" s="160">
        <f t="shared" si="24"/>
        <v>805.89204799999993</v>
      </c>
      <c r="R16" s="160">
        <f t="shared" si="25"/>
        <v>0</v>
      </c>
      <c r="S16" s="160">
        <f t="shared" si="26"/>
        <v>805.89</v>
      </c>
      <c r="T16" s="159">
        <f t="shared" si="27"/>
        <v>0</v>
      </c>
      <c r="U16" s="159">
        <f t="shared" si="28"/>
        <v>805.89</v>
      </c>
      <c r="V16" s="159">
        <f t="shared" si="8"/>
        <v>805.89</v>
      </c>
      <c r="W16" s="159">
        <f t="shared" si="15"/>
        <v>6817.11</v>
      </c>
      <c r="X16" s="92"/>
      <c r="Y16" s="4"/>
    </row>
    <row r="17" spans="1:37" ht="78" customHeight="1" x14ac:dyDescent="0.3">
      <c r="A17" s="193"/>
      <c r="B17" s="152" t="s">
        <v>297</v>
      </c>
      <c r="C17" s="152" t="s">
        <v>113</v>
      </c>
      <c r="D17" s="227">
        <v>44986</v>
      </c>
      <c r="E17" s="154" t="s">
        <v>79</v>
      </c>
      <c r="F17" s="155"/>
      <c r="G17" s="157">
        <v>7623</v>
      </c>
      <c r="H17" s="158">
        <v>0</v>
      </c>
      <c r="I17" s="159">
        <f t="shared" ref="I17" si="59">SUM(G17:H17)</f>
        <v>7623</v>
      </c>
      <c r="J17" s="160">
        <f t="shared" si="57"/>
        <v>0</v>
      </c>
      <c r="K17" s="160">
        <f t="shared" si="58"/>
        <v>7623</v>
      </c>
      <c r="L17" s="160">
        <f t="shared" ref="L17" si="60">VLOOKUP(K17,Tarifa1,1)</f>
        <v>6382.81</v>
      </c>
      <c r="M17" s="160">
        <f t="shared" ref="M17" si="61">K17-L17</f>
        <v>1240.1899999999996</v>
      </c>
      <c r="N17" s="161">
        <f t="shared" ref="N17" si="62">VLOOKUP(K17,Tarifa1,3)</f>
        <v>0.1792</v>
      </c>
      <c r="O17" s="160">
        <f t="shared" ref="O17" si="63">M17*N17</f>
        <v>222.24204799999993</v>
      </c>
      <c r="P17" s="162">
        <f t="shared" ref="P17" si="64">VLOOKUP(K17,Tarifa1,2)</f>
        <v>583.65</v>
      </c>
      <c r="Q17" s="160">
        <f t="shared" ref="Q17" si="65">O17+P17</f>
        <v>805.89204799999993</v>
      </c>
      <c r="R17" s="160">
        <f t="shared" ref="R17" si="66">VLOOKUP(K17,Credito1,2)</f>
        <v>0</v>
      </c>
      <c r="S17" s="160">
        <f t="shared" ref="S17" si="67">ROUND(Q17-R17,2)</f>
        <v>805.89</v>
      </c>
      <c r="T17" s="159">
        <f t="shared" ref="T17" si="68">-IF(S17&gt;0,0,S17)</f>
        <v>0</v>
      </c>
      <c r="U17" s="159">
        <f t="shared" ref="U17" si="69">IF(G17/15&lt;=SMG,0,IF(S17&lt;0,0,S17))</f>
        <v>805.89</v>
      </c>
      <c r="V17" s="159">
        <f t="shared" si="8"/>
        <v>805.89</v>
      </c>
      <c r="W17" s="159">
        <f t="shared" si="15"/>
        <v>6817.11</v>
      </c>
      <c r="X17" s="92"/>
      <c r="Y17" s="4"/>
    </row>
    <row r="18" spans="1:37" ht="78" customHeight="1" x14ac:dyDescent="0.3">
      <c r="A18" s="193"/>
      <c r="B18" s="152" t="s">
        <v>315</v>
      </c>
      <c r="C18" s="152" t="s">
        <v>113</v>
      </c>
      <c r="D18" s="227">
        <v>45092</v>
      </c>
      <c r="E18" s="154" t="s">
        <v>79</v>
      </c>
      <c r="F18" s="155"/>
      <c r="G18" s="157">
        <v>7623</v>
      </c>
      <c r="H18" s="158">
        <v>0</v>
      </c>
      <c r="I18" s="159">
        <f t="shared" ref="I18" si="70">SUM(G18:H18)</f>
        <v>7623</v>
      </c>
      <c r="J18" s="160">
        <f t="shared" ref="J18" si="71">IF(G18/15&lt;=SMG,0,H18/2)</f>
        <v>0</v>
      </c>
      <c r="K18" s="160">
        <f t="shared" ref="K18" si="72">G18+J18</f>
        <v>7623</v>
      </c>
      <c r="L18" s="160">
        <f t="shared" ref="L18" si="73">VLOOKUP(K18,Tarifa1,1)</f>
        <v>6382.81</v>
      </c>
      <c r="M18" s="160">
        <f t="shared" ref="M18" si="74">K18-L18</f>
        <v>1240.1899999999996</v>
      </c>
      <c r="N18" s="161">
        <f t="shared" ref="N18" si="75">VLOOKUP(K18,Tarifa1,3)</f>
        <v>0.1792</v>
      </c>
      <c r="O18" s="160">
        <f t="shared" ref="O18" si="76">M18*N18</f>
        <v>222.24204799999993</v>
      </c>
      <c r="P18" s="162">
        <f t="shared" ref="P18" si="77">VLOOKUP(K18,Tarifa1,2)</f>
        <v>583.65</v>
      </c>
      <c r="Q18" s="160">
        <f t="shared" ref="Q18" si="78">O18+P18</f>
        <v>805.89204799999993</v>
      </c>
      <c r="R18" s="160">
        <f t="shared" ref="R18" si="79">VLOOKUP(K18,Credito1,2)</f>
        <v>0</v>
      </c>
      <c r="S18" s="160">
        <f t="shared" ref="S18" si="80">ROUND(Q18-R18,2)</f>
        <v>805.89</v>
      </c>
      <c r="T18" s="159">
        <f t="shared" ref="T18" si="81">-IF(S18&gt;0,0,S18)</f>
        <v>0</v>
      </c>
      <c r="U18" s="159">
        <f t="shared" ref="U18" si="82">IF(G18/15&lt;=SMG,0,IF(S18&lt;0,0,S18))</f>
        <v>805.89</v>
      </c>
      <c r="V18" s="159">
        <f t="shared" si="8"/>
        <v>805.89</v>
      </c>
      <c r="W18" s="159">
        <f t="shared" si="15"/>
        <v>6817.11</v>
      </c>
      <c r="X18" s="92"/>
      <c r="Y18" s="4"/>
    </row>
    <row r="19" spans="1:37" ht="78" customHeight="1" x14ac:dyDescent="0.3">
      <c r="A19" s="193"/>
      <c r="B19" s="152" t="s">
        <v>318</v>
      </c>
      <c r="C19" s="152" t="s">
        <v>113</v>
      </c>
      <c r="D19" s="227">
        <v>45096</v>
      </c>
      <c r="E19" s="154" t="s">
        <v>79</v>
      </c>
      <c r="F19" s="155"/>
      <c r="G19" s="157">
        <v>7623</v>
      </c>
      <c r="H19" s="158">
        <v>0</v>
      </c>
      <c r="I19" s="159">
        <f t="shared" ref="I19" si="83">SUM(G19:H19)</f>
        <v>7623</v>
      </c>
      <c r="J19" s="160">
        <f t="shared" ref="J19:J20" si="84">IF(G19/15&lt;=SMG,0,H19/2)</f>
        <v>0</v>
      </c>
      <c r="K19" s="160">
        <f t="shared" ref="K19:K20" si="85">G19+J19</f>
        <v>7623</v>
      </c>
      <c r="L19" s="160">
        <f t="shared" ref="L19:L20" si="86">VLOOKUP(K19,Tarifa1,1)</f>
        <v>6382.81</v>
      </c>
      <c r="M19" s="160">
        <f t="shared" ref="M19:M20" si="87">K19-L19</f>
        <v>1240.1899999999996</v>
      </c>
      <c r="N19" s="161">
        <f t="shared" ref="N19:N20" si="88">VLOOKUP(K19,Tarifa1,3)</f>
        <v>0.1792</v>
      </c>
      <c r="O19" s="160">
        <f t="shared" ref="O19:O20" si="89">M19*N19</f>
        <v>222.24204799999993</v>
      </c>
      <c r="P19" s="162">
        <f t="shared" ref="P19:P20" si="90">VLOOKUP(K19,Tarifa1,2)</f>
        <v>583.65</v>
      </c>
      <c r="Q19" s="160">
        <f t="shared" ref="Q19:Q20" si="91">O19+P19</f>
        <v>805.89204799999993</v>
      </c>
      <c r="R19" s="160">
        <f t="shared" ref="R19:R20" si="92">VLOOKUP(K19,Credito1,2)</f>
        <v>0</v>
      </c>
      <c r="S19" s="160">
        <f t="shared" ref="S19:S20" si="93">ROUND(Q19-R19,2)</f>
        <v>805.89</v>
      </c>
      <c r="T19" s="159">
        <f t="shared" ref="T19:T20" si="94">-IF(S19&gt;0,0,S19)</f>
        <v>0</v>
      </c>
      <c r="U19" s="159">
        <f t="shared" ref="U19:U20" si="95">IF(G19/15&lt;=SMG,0,IF(S19&lt;0,0,S19))</f>
        <v>805.89</v>
      </c>
      <c r="V19" s="159">
        <f t="shared" si="8"/>
        <v>805.89</v>
      </c>
      <c r="W19" s="159">
        <f t="shared" si="15"/>
        <v>6817.11</v>
      </c>
      <c r="X19" s="92"/>
      <c r="Y19" s="4"/>
    </row>
    <row r="20" spans="1:37" ht="78" customHeight="1" x14ac:dyDescent="0.3">
      <c r="A20" s="193"/>
      <c r="B20" s="152" t="s">
        <v>317</v>
      </c>
      <c r="C20" s="152" t="s">
        <v>113</v>
      </c>
      <c r="D20" s="227">
        <v>45106</v>
      </c>
      <c r="E20" s="154" t="s">
        <v>79</v>
      </c>
      <c r="F20" s="155"/>
      <c r="G20" s="157">
        <v>7623</v>
      </c>
      <c r="H20" s="158">
        <v>0</v>
      </c>
      <c r="I20" s="159">
        <f t="shared" ref="I20" si="96">SUM(G20:H20)</f>
        <v>7623</v>
      </c>
      <c r="J20" s="160">
        <f t="shared" si="84"/>
        <v>0</v>
      </c>
      <c r="K20" s="160">
        <f t="shared" si="85"/>
        <v>7623</v>
      </c>
      <c r="L20" s="160">
        <f t="shared" si="86"/>
        <v>6382.81</v>
      </c>
      <c r="M20" s="160">
        <f t="shared" si="87"/>
        <v>1240.1899999999996</v>
      </c>
      <c r="N20" s="161">
        <f t="shared" si="88"/>
        <v>0.1792</v>
      </c>
      <c r="O20" s="160">
        <f t="shared" si="89"/>
        <v>222.24204799999993</v>
      </c>
      <c r="P20" s="162">
        <f t="shared" si="90"/>
        <v>583.65</v>
      </c>
      <c r="Q20" s="160">
        <f t="shared" si="91"/>
        <v>805.89204799999993</v>
      </c>
      <c r="R20" s="160">
        <f t="shared" si="92"/>
        <v>0</v>
      </c>
      <c r="S20" s="160">
        <f t="shared" si="93"/>
        <v>805.89</v>
      </c>
      <c r="T20" s="159">
        <f t="shared" si="94"/>
        <v>0</v>
      </c>
      <c r="U20" s="159">
        <f t="shared" si="95"/>
        <v>805.89</v>
      </c>
      <c r="V20" s="159">
        <f t="shared" si="8"/>
        <v>805.89</v>
      </c>
      <c r="W20" s="159">
        <f t="shared" si="15"/>
        <v>6817.11</v>
      </c>
      <c r="X20" s="92"/>
      <c r="Y20" s="4"/>
    </row>
    <row r="21" spans="1:37" ht="78" customHeight="1" x14ac:dyDescent="0.3">
      <c r="A21" s="193"/>
      <c r="B21" s="152" t="s">
        <v>334</v>
      </c>
      <c r="C21" s="152" t="s">
        <v>113</v>
      </c>
      <c r="D21" s="227">
        <v>45132</v>
      </c>
      <c r="E21" s="154" t="s">
        <v>79</v>
      </c>
      <c r="F21" s="155"/>
      <c r="G21" s="157">
        <v>7623</v>
      </c>
      <c r="H21" s="158">
        <v>0</v>
      </c>
      <c r="I21" s="159">
        <f t="shared" ref="I21:I25" si="97">SUM(G21:H21)</f>
        <v>7623</v>
      </c>
      <c r="J21" s="160">
        <f t="shared" ref="J21:J25" si="98">IF(G21/15&lt;=SMG,0,H21/2)</f>
        <v>0</v>
      </c>
      <c r="K21" s="160">
        <f t="shared" ref="K21:K25" si="99">G21+J21</f>
        <v>7623</v>
      </c>
      <c r="L21" s="160">
        <f t="shared" ref="L21:L25" si="100">VLOOKUP(K21,Tarifa1,1)</f>
        <v>6382.81</v>
      </c>
      <c r="M21" s="160">
        <f t="shared" ref="M21:M25" si="101">K21-L21</f>
        <v>1240.1899999999996</v>
      </c>
      <c r="N21" s="161">
        <f t="shared" ref="N21:N25" si="102">VLOOKUP(K21,Tarifa1,3)</f>
        <v>0.1792</v>
      </c>
      <c r="O21" s="160">
        <f t="shared" ref="O21:O25" si="103">M21*N21</f>
        <v>222.24204799999993</v>
      </c>
      <c r="P21" s="162">
        <f t="shared" ref="P21:P25" si="104">VLOOKUP(K21,Tarifa1,2)</f>
        <v>583.65</v>
      </c>
      <c r="Q21" s="160">
        <f t="shared" ref="Q21:Q25" si="105">O21+P21</f>
        <v>805.89204799999993</v>
      </c>
      <c r="R21" s="160">
        <f t="shared" ref="R21:R25" si="106">VLOOKUP(K21,Credito1,2)</f>
        <v>0</v>
      </c>
      <c r="S21" s="160">
        <f t="shared" ref="S21:S25" si="107">ROUND(Q21-R21,2)</f>
        <v>805.89</v>
      </c>
      <c r="T21" s="159">
        <f t="shared" ref="T21:T25" si="108">-IF(S21&gt;0,0,S21)</f>
        <v>0</v>
      </c>
      <c r="U21" s="159">
        <f t="shared" ref="U21:U25" si="109">IF(G21/15&lt;=SMG,0,IF(S21&lt;0,0,S21))</f>
        <v>805.89</v>
      </c>
      <c r="V21" s="159">
        <f t="shared" si="8"/>
        <v>805.89</v>
      </c>
      <c r="W21" s="159">
        <f t="shared" si="15"/>
        <v>6817.11</v>
      </c>
      <c r="X21" s="92"/>
      <c r="Y21" s="4"/>
    </row>
    <row r="22" spans="1:37" ht="78" customHeight="1" x14ac:dyDescent="0.3">
      <c r="A22" s="193"/>
      <c r="B22" s="152" t="s">
        <v>332</v>
      </c>
      <c r="C22" s="152" t="s">
        <v>113</v>
      </c>
      <c r="D22" s="227">
        <v>45139</v>
      </c>
      <c r="E22" s="154" t="s">
        <v>79</v>
      </c>
      <c r="F22" s="155"/>
      <c r="G22" s="157">
        <v>7623</v>
      </c>
      <c r="H22" s="158">
        <v>0</v>
      </c>
      <c r="I22" s="159">
        <f t="shared" ref="I22" si="110">SUM(G22:H22)</f>
        <v>7623</v>
      </c>
      <c r="J22" s="160">
        <f t="shared" ref="J22" si="111">IF(G22/15&lt;=SMG,0,H22/2)</f>
        <v>0</v>
      </c>
      <c r="K22" s="160">
        <f t="shared" ref="K22" si="112">G22+J22</f>
        <v>7623</v>
      </c>
      <c r="L22" s="160">
        <f t="shared" ref="L22" si="113">VLOOKUP(K22,Tarifa1,1)</f>
        <v>6382.81</v>
      </c>
      <c r="M22" s="160">
        <f t="shared" ref="M22" si="114">K22-L22</f>
        <v>1240.1899999999996</v>
      </c>
      <c r="N22" s="161">
        <f t="shared" ref="N22" si="115">VLOOKUP(K22,Tarifa1,3)</f>
        <v>0.1792</v>
      </c>
      <c r="O22" s="160">
        <f t="shared" ref="O22" si="116">M22*N22</f>
        <v>222.24204799999993</v>
      </c>
      <c r="P22" s="162">
        <f t="shared" ref="P22" si="117">VLOOKUP(K22,Tarifa1,2)</f>
        <v>583.65</v>
      </c>
      <c r="Q22" s="160">
        <f t="shared" ref="Q22" si="118">O22+P22</f>
        <v>805.89204799999993</v>
      </c>
      <c r="R22" s="160">
        <f t="shared" ref="R22" si="119">VLOOKUP(K22,Credito1,2)</f>
        <v>0</v>
      </c>
      <c r="S22" s="160">
        <f t="shared" ref="S22" si="120">ROUND(Q22-R22,2)</f>
        <v>805.89</v>
      </c>
      <c r="T22" s="159">
        <f t="shared" ref="T22" si="121">-IF(S22&gt;0,0,S22)</f>
        <v>0</v>
      </c>
      <c r="U22" s="159">
        <f t="shared" ref="U22" si="122">IF(G22/15&lt;=SMG,0,IF(S22&lt;0,0,S22))</f>
        <v>805.89</v>
      </c>
      <c r="V22" s="159">
        <f t="shared" si="8"/>
        <v>805.89</v>
      </c>
      <c r="W22" s="159">
        <f t="shared" si="15"/>
        <v>6817.11</v>
      </c>
      <c r="X22" s="92"/>
      <c r="Y22" s="4"/>
    </row>
    <row r="23" spans="1:37" ht="78" customHeight="1" x14ac:dyDescent="0.3">
      <c r="A23" s="193"/>
      <c r="B23" s="152" t="s">
        <v>335</v>
      </c>
      <c r="C23" s="152" t="s">
        <v>113</v>
      </c>
      <c r="D23" s="227">
        <v>45168</v>
      </c>
      <c r="E23" s="154" t="s">
        <v>79</v>
      </c>
      <c r="F23" s="155"/>
      <c r="G23" s="157">
        <v>7623</v>
      </c>
      <c r="H23" s="158">
        <v>0</v>
      </c>
      <c r="I23" s="159">
        <f t="shared" ref="I23:I24" si="123">SUM(G23:H23)</f>
        <v>7623</v>
      </c>
      <c r="J23" s="160">
        <f t="shared" ref="J23:J24" si="124">IF(G23/15&lt;=SMG,0,H23/2)</f>
        <v>0</v>
      </c>
      <c r="K23" s="160">
        <f t="shared" ref="K23:K24" si="125">G23+J23</f>
        <v>7623</v>
      </c>
      <c r="L23" s="160">
        <f t="shared" ref="L23:L24" si="126">VLOOKUP(K23,Tarifa1,1)</f>
        <v>6382.81</v>
      </c>
      <c r="M23" s="160">
        <f t="shared" ref="M23:M24" si="127">K23-L23</f>
        <v>1240.1899999999996</v>
      </c>
      <c r="N23" s="161">
        <f t="shared" ref="N23:N24" si="128">VLOOKUP(K23,Tarifa1,3)</f>
        <v>0.1792</v>
      </c>
      <c r="O23" s="160">
        <f t="shared" ref="O23:O24" si="129">M23*N23</f>
        <v>222.24204799999993</v>
      </c>
      <c r="P23" s="162">
        <f t="shared" ref="P23:P24" si="130">VLOOKUP(K23,Tarifa1,2)</f>
        <v>583.65</v>
      </c>
      <c r="Q23" s="160">
        <f t="shared" ref="Q23:Q24" si="131">O23+P23</f>
        <v>805.89204799999993</v>
      </c>
      <c r="R23" s="160">
        <f t="shared" ref="R23:R24" si="132">VLOOKUP(K23,Credito1,2)</f>
        <v>0</v>
      </c>
      <c r="S23" s="160">
        <f t="shared" ref="S23:S24" si="133">ROUND(Q23-R23,2)</f>
        <v>805.89</v>
      </c>
      <c r="T23" s="159">
        <f t="shared" ref="T23:T24" si="134">-IF(S23&gt;0,0,S23)</f>
        <v>0</v>
      </c>
      <c r="U23" s="159">
        <f t="shared" ref="U23:U24" si="135">IF(G23/15&lt;=SMG,0,IF(S23&lt;0,0,S23))</f>
        <v>805.89</v>
      </c>
      <c r="V23" s="159">
        <f t="shared" si="8"/>
        <v>805.89</v>
      </c>
      <c r="W23" s="159">
        <f t="shared" si="15"/>
        <v>6817.11</v>
      </c>
      <c r="X23" s="92"/>
      <c r="Y23" s="4"/>
    </row>
    <row r="24" spans="1:37" ht="78" customHeight="1" x14ac:dyDescent="0.3">
      <c r="A24" s="193"/>
      <c r="B24" s="152" t="s">
        <v>336</v>
      </c>
      <c r="C24" s="152" t="s">
        <v>113</v>
      </c>
      <c r="D24" s="227">
        <v>45168</v>
      </c>
      <c r="E24" s="154" t="s">
        <v>79</v>
      </c>
      <c r="F24" s="155"/>
      <c r="G24" s="157">
        <v>7623</v>
      </c>
      <c r="H24" s="158">
        <v>0</v>
      </c>
      <c r="I24" s="159">
        <f t="shared" si="123"/>
        <v>7623</v>
      </c>
      <c r="J24" s="160">
        <f t="shared" si="124"/>
        <v>0</v>
      </c>
      <c r="K24" s="160">
        <f t="shared" si="125"/>
        <v>7623</v>
      </c>
      <c r="L24" s="160">
        <f t="shared" si="126"/>
        <v>6382.81</v>
      </c>
      <c r="M24" s="160">
        <f t="shared" si="127"/>
        <v>1240.1899999999996</v>
      </c>
      <c r="N24" s="161">
        <f t="shared" si="128"/>
        <v>0.1792</v>
      </c>
      <c r="O24" s="160">
        <f t="shared" si="129"/>
        <v>222.24204799999993</v>
      </c>
      <c r="P24" s="162">
        <f t="shared" si="130"/>
        <v>583.65</v>
      </c>
      <c r="Q24" s="160">
        <f t="shared" si="131"/>
        <v>805.89204799999993</v>
      </c>
      <c r="R24" s="160">
        <f t="shared" si="132"/>
        <v>0</v>
      </c>
      <c r="S24" s="160">
        <f t="shared" si="133"/>
        <v>805.89</v>
      </c>
      <c r="T24" s="159">
        <f t="shared" si="134"/>
        <v>0</v>
      </c>
      <c r="U24" s="159">
        <f t="shared" si="135"/>
        <v>805.89</v>
      </c>
      <c r="V24" s="159">
        <f t="shared" si="8"/>
        <v>805.89</v>
      </c>
      <c r="W24" s="159">
        <f t="shared" si="15"/>
        <v>6817.11</v>
      </c>
      <c r="X24" s="92"/>
      <c r="Y24" s="4"/>
    </row>
    <row r="25" spans="1:37" ht="78" customHeight="1" x14ac:dyDescent="0.3">
      <c r="A25" s="193"/>
      <c r="B25" s="152" t="s">
        <v>347</v>
      </c>
      <c r="C25" s="152" t="s">
        <v>150</v>
      </c>
      <c r="D25" s="227">
        <v>45192</v>
      </c>
      <c r="E25" s="154" t="s">
        <v>79</v>
      </c>
      <c r="F25" s="155"/>
      <c r="G25" s="157">
        <v>4065.6</v>
      </c>
      <c r="H25" s="158">
        <v>0</v>
      </c>
      <c r="I25" s="159">
        <f t="shared" si="97"/>
        <v>4065.6</v>
      </c>
      <c r="J25" s="160">
        <f t="shared" si="98"/>
        <v>0</v>
      </c>
      <c r="K25" s="160">
        <f t="shared" si="99"/>
        <v>4065.6</v>
      </c>
      <c r="L25" s="160">
        <f t="shared" si="100"/>
        <v>3124.36</v>
      </c>
      <c r="M25" s="160">
        <f t="shared" si="101"/>
        <v>941.23999999999978</v>
      </c>
      <c r="N25" s="161">
        <f t="shared" si="102"/>
        <v>0.10879999999999999</v>
      </c>
      <c r="O25" s="160">
        <f t="shared" si="103"/>
        <v>102.40691199999998</v>
      </c>
      <c r="P25" s="162">
        <f t="shared" si="104"/>
        <v>183.45</v>
      </c>
      <c r="Q25" s="160">
        <f t="shared" si="105"/>
        <v>285.85691199999997</v>
      </c>
      <c r="R25" s="160">
        <f t="shared" si="106"/>
        <v>0</v>
      </c>
      <c r="S25" s="160">
        <f t="shared" si="107"/>
        <v>285.86</v>
      </c>
      <c r="T25" s="159">
        <f t="shared" si="108"/>
        <v>0</v>
      </c>
      <c r="U25" s="159">
        <f t="shared" si="109"/>
        <v>285.86</v>
      </c>
      <c r="V25" s="159">
        <f t="shared" si="8"/>
        <v>285.86</v>
      </c>
      <c r="W25" s="159">
        <f t="shared" si="15"/>
        <v>3779.74</v>
      </c>
      <c r="X25" s="92"/>
      <c r="Y25" s="4"/>
    </row>
    <row r="26" spans="1:37" ht="29.25" customHeight="1" thickBot="1" x14ac:dyDescent="0.35">
      <c r="A26" s="286" t="s">
        <v>44</v>
      </c>
      <c r="B26" s="287"/>
      <c r="C26" s="287"/>
      <c r="D26" s="287"/>
      <c r="E26" s="287"/>
      <c r="F26" s="287"/>
      <c r="G26" s="163">
        <f>SUM(G9:G25)</f>
        <v>131061.6</v>
      </c>
      <c r="H26" s="163">
        <f>SUM(H9:H25)</f>
        <v>0</v>
      </c>
      <c r="I26" s="163">
        <f>SUM(I9:I25)</f>
        <v>131061.6</v>
      </c>
      <c r="J26" s="164">
        <f t="shared" ref="J26:S26" si="136">SUM(J9:J14)</f>
        <v>0</v>
      </c>
      <c r="K26" s="164">
        <f t="shared" si="136"/>
        <v>50766</v>
      </c>
      <c r="L26" s="164">
        <f t="shared" si="136"/>
        <v>44592.36</v>
      </c>
      <c r="M26" s="164">
        <f t="shared" si="136"/>
        <v>6173.64</v>
      </c>
      <c r="N26" s="164">
        <f t="shared" si="136"/>
        <v>1.2472000000000001</v>
      </c>
      <c r="O26" s="164">
        <f t="shared" si="136"/>
        <v>1276.0269679999999</v>
      </c>
      <c r="P26" s="164">
        <f t="shared" si="136"/>
        <v>4629.8999999999996</v>
      </c>
      <c r="Q26" s="164">
        <f t="shared" si="136"/>
        <v>5905.9269679999998</v>
      </c>
      <c r="R26" s="164">
        <f t="shared" si="136"/>
        <v>0</v>
      </c>
      <c r="S26" s="164">
        <f t="shared" si="136"/>
        <v>5905.93</v>
      </c>
      <c r="T26" s="163">
        <f>SUM(T9:T25)</f>
        <v>0</v>
      </c>
      <c r="U26" s="163">
        <f>SUM(U9:U25)</f>
        <v>14250.689999999997</v>
      </c>
      <c r="V26" s="163">
        <f>SUM(V9:V25)</f>
        <v>14250.689999999997</v>
      </c>
      <c r="W26" s="163">
        <f>SUM(W9:W25)</f>
        <v>116810.91</v>
      </c>
      <c r="X26" s="4"/>
      <c r="Y26" s="4"/>
    </row>
    <row r="27" spans="1:37" ht="13.8" thickTop="1" x14ac:dyDescent="0.25"/>
    <row r="29" spans="1:37" ht="6" customHeight="1" x14ac:dyDescent="0.25"/>
    <row r="31" spans="1:37" ht="13.8" x14ac:dyDescent="0.25"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37" ht="13.8" x14ac:dyDescent="0.25">
      <c r="D32" s="100"/>
      <c r="E32" s="100"/>
      <c r="F32" s="100"/>
      <c r="G32" s="100"/>
      <c r="H32" s="100"/>
      <c r="I32" s="100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100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J32" s="87"/>
      <c r="AK32" s="87"/>
    </row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opLeftCell="B16" zoomScale="73" zoomScaleNormal="73" workbookViewId="0">
      <selection activeCell="B22" sqref="A22:XFD26"/>
    </sheetView>
  </sheetViews>
  <sheetFormatPr baseColWidth="10" defaultColWidth="11.44140625" defaultRowHeight="13.2" x14ac:dyDescent="0.25"/>
  <cols>
    <col min="1" max="1" width="5.5546875" style="69" hidden="1" customWidth="1"/>
    <col min="2" max="2" width="9.44140625" style="69" customWidth="1"/>
    <col min="3" max="3" width="7.6640625" style="69" customWidth="1"/>
    <col min="4" max="4" width="27.5546875" style="69" customWidth="1"/>
    <col min="5" max="5" width="17.5546875" style="69" customWidth="1"/>
    <col min="6" max="6" width="19.5546875" style="69" customWidth="1"/>
    <col min="7" max="7" width="6.5546875" style="69" hidden="1" customWidth="1"/>
    <col min="8" max="8" width="10" style="69" hidden="1" customWidth="1"/>
    <col min="9" max="9" width="16.33203125" style="69" customWidth="1"/>
    <col min="10" max="10" width="14" style="69" customWidth="1"/>
    <col min="11" max="11" width="15.6640625" style="69" customWidth="1"/>
    <col min="12" max="12" width="13.109375" style="69" hidden="1" customWidth="1"/>
    <col min="13" max="15" width="14.33203125" style="69" hidden="1" customWidth="1"/>
    <col min="16" max="17" width="13.109375" style="69" hidden="1" customWidth="1"/>
    <col min="18" max="18" width="10.5546875" style="69" hidden="1" customWidth="1"/>
    <col min="19" max="20" width="13.109375" style="69" hidden="1" customWidth="1"/>
    <col min="21" max="21" width="11.5546875" style="69" hidden="1" customWidth="1"/>
    <col min="22" max="22" width="9.6640625" style="69" customWidth="1"/>
    <col min="23" max="23" width="14.44140625" style="69" customWidth="1"/>
    <col min="24" max="24" width="15" style="69" customWidth="1"/>
    <col min="25" max="25" width="15.88671875" style="69" customWidth="1"/>
    <col min="26" max="26" width="50" style="69" customWidth="1"/>
    <col min="27" max="16384" width="11.44140625" style="69"/>
  </cols>
  <sheetData>
    <row r="1" spans="1:26" ht="17.399999999999999" x14ac:dyDescent="0.3">
      <c r="A1" s="299" t="s">
        <v>76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7.399999999999999" x14ac:dyDescent="0.3">
      <c r="A2" s="299" t="s">
        <v>63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9.8" x14ac:dyDescent="0.3">
      <c r="A3" s="290" t="s">
        <v>344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6.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5">
      <c r="A5" s="70"/>
      <c r="B5" s="70"/>
      <c r="C5" s="70"/>
      <c r="D5" s="70"/>
      <c r="E5" s="70"/>
      <c r="F5" s="70"/>
      <c r="G5" s="71" t="s">
        <v>22</v>
      </c>
      <c r="H5" s="71" t="s">
        <v>5</v>
      </c>
      <c r="I5" s="326" t="s">
        <v>1</v>
      </c>
      <c r="J5" s="327"/>
      <c r="K5" s="328"/>
      <c r="L5" s="72" t="s">
        <v>25</v>
      </c>
      <c r="M5" s="73"/>
      <c r="N5" s="329" t="s">
        <v>8</v>
      </c>
      <c r="O5" s="330"/>
      <c r="P5" s="330"/>
      <c r="Q5" s="330"/>
      <c r="R5" s="330"/>
      <c r="S5" s="331"/>
      <c r="T5" s="72" t="s">
        <v>29</v>
      </c>
      <c r="U5" s="72" t="s">
        <v>9</v>
      </c>
      <c r="V5" s="71" t="s">
        <v>52</v>
      </c>
      <c r="W5" s="332" t="s">
        <v>2</v>
      </c>
      <c r="X5" s="333"/>
      <c r="Y5" s="71" t="s">
        <v>0</v>
      </c>
      <c r="Z5" s="74"/>
    </row>
    <row r="6" spans="1:26" ht="21" x14ac:dyDescent="0.25">
      <c r="A6" s="75" t="s">
        <v>20</v>
      </c>
      <c r="B6" s="76" t="s">
        <v>100</v>
      </c>
      <c r="C6" s="76" t="s">
        <v>114</v>
      </c>
      <c r="D6" s="75" t="s">
        <v>21</v>
      </c>
      <c r="E6" s="75"/>
      <c r="F6" s="75"/>
      <c r="G6" s="77" t="s">
        <v>23</v>
      </c>
      <c r="H6" s="75" t="s">
        <v>24</v>
      </c>
      <c r="I6" s="71" t="s">
        <v>5</v>
      </c>
      <c r="J6" s="71" t="s">
        <v>57</v>
      </c>
      <c r="K6" s="71" t="s">
        <v>27</v>
      </c>
      <c r="L6" s="78" t="s">
        <v>26</v>
      </c>
      <c r="M6" s="73" t="s">
        <v>31</v>
      </c>
      <c r="N6" s="73" t="s">
        <v>11</v>
      </c>
      <c r="O6" s="73" t="s">
        <v>33</v>
      </c>
      <c r="P6" s="73" t="s">
        <v>35</v>
      </c>
      <c r="Q6" s="73" t="s">
        <v>36</v>
      </c>
      <c r="R6" s="73" t="s">
        <v>13</v>
      </c>
      <c r="S6" s="73" t="s">
        <v>9</v>
      </c>
      <c r="T6" s="78" t="s">
        <v>39</v>
      </c>
      <c r="U6" s="78" t="s">
        <v>40</v>
      </c>
      <c r="V6" s="75" t="s">
        <v>30</v>
      </c>
      <c r="W6" s="23" t="s">
        <v>277</v>
      </c>
      <c r="X6" s="71" t="s">
        <v>6</v>
      </c>
      <c r="Y6" s="75" t="s">
        <v>3</v>
      </c>
      <c r="Z6" s="79" t="s">
        <v>56</v>
      </c>
    </row>
    <row r="7" spans="1:26" x14ac:dyDescent="0.25">
      <c r="A7" s="80"/>
      <c r="B7" s="75"/>
      <c r="C7" s="75"/>
      <c r="D7" s="75"/>
      <c r="E7" s="75"/>
      <c r="F7" s="75"/>
      <c r="G7" s="75"/>
      <c r="H7" s="75"/>
      <c r="I7" s="75" t="s">
        <v>46</v>
      </c>
      <c r="J7" s="75" t="s">
        <v>58</v>
      </c>
      <c r="K7" s="75" t="s">
        <v>28</v>
      </c>
      <c r="L7" s="78" t="s">
        <v>42</v>
      </c>
      <c r="M7" s="72" t="s">
        <v>32</v>
      </c>
      <c r="N7" s="72" t="s">
        <v>12</v>
      </c>
      <c r="O7" s="72" t="s">
        <v>34</v>
      </c>
      <c r="P7" s="72" t="s">
        <v>34</v>
      </c>
      <c r="Q7" s="72" t="s">
        <v>37</v>
      </c>
      <c r="R7" s="72" t="s">
        <v>14</v>
      </c>
      <c r="S7" s="72" t="s">
        <v>38</v>
      </c>
      <c r="T7" s="78" t="s">
        <v>18</v>
      </c>
      <c r="U7" s="81" t="s">
        <v>128</v>
      </c>
      <c r="V7" s="75" t="s">
        <v>51</v>
      </c>
      <c r="W7" s="75"/>
      <c r="X7" s="75" t="s">
        <v>43</v>
      </c>
      <c r="Y7" s="75" t="s">
        <v>4</v>
      </c>
      <c r="Z7" s="82"/>
    </row>
    <row r="8" spans="1:26" ht="37.5" customHeight="1" x14ac:dyDescent="0.3">
      <c r="A8" s="83"/>
      <c r="B8" s="84"/>
      <c r="C8" s="84"/>
      <c r="D8" s="139" t="s">
        <v>134</v>
      </c>
      <c r="E8" s="104" t="s">
        <v>292</v>
      </c>
      <c r="F8" s="85" t="s">
        <v>60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6"/>
    </row>
    <row r="9" spans="1:26" ht="96" customHeight="1" x14ac:dyDescent="0.3">
      <c r="A9" s="212"/>
      <c r="B9" s="152" t="s">
        <v>270</v>
      </c>
      <c r="C9" s="152" t="s">
        <v>113</v>
      </c>
      <c r="D9" s="194" t="s">
        <v>268</v>
      </c>
      <c r="E9" s="226">
        <v>44730</v>
      </c>
      <c r="F9" s="154" t="s">
        <v>269</v>
      </c>
      <c r="G9" s="155"/>
      <c r="H9" s="156"/>
      <c r="I9" s="157">
        <v>9547</v>
      </c>
      <c r="J9" s="158">
        <v>0</v>
      </c>
      <c r="K9" s="159">
        <f t="shared" ref="K9" si="0">SUM(I9:J9)</f>
        <v>9547</v>
      </c>
      <c r="L9" s="160">
        <f t="shared" ref="L9" si="1">IF(I9/15&lt;=SMG,0,J9/2)</f>
        <v>0</v>
      </c>
      <c r="M9" s="160">
        <f t="shared" ref="M9" si="2">I9+L9</f>
        <v>9547</v>
      </c>
      <c r="N9" s="160">
        <f t="shared" ref="N9:N13" si="3">VLOOKUP(M9,Tarifa1,1)</f>
        <v>7641.91</v>
      </c>
      <c r="O9" s="160">
        <f>M9-N9</f>
        <v>1905.0900000000001</v>
      </c>
      <c r="P9" s="161">
        <f t="shared" ref="P9:P13" si="4">VLOOKUP(M9,Tarifa1,3)</f>
        <v>0.21360000000000001</v>
      </c>
      <c r="Q9" s="160">
        <f>O9*P9</f>
        <v>406.92722400000008</v>
      </c>
      <c r="R9" s="162">
        <f t="shared" ref="R9:R13" si="5">VLOOKUP(M9,Tarifa1,2)</f>
        <v>809.25</v>
      </c>
      <c r="S9" s="160">
        <f>Q9+R9</f>
        <v>1216.177224</v>
      </c>
      <c r="T9" s="160">
        <f t="shared" ref="T9:T13" si="6">VLOOKUP(M9,Credito1,2)</f>
        <v>0</v>
      </c>
      <c r="U9" s="160">
        <f>ROUND(S9-T9,2)</f>
        <v>1216.18</v>
      </c>
      <c r="V9" s="159">
        <f>-IF(U9&gt;0,0,U9)</f>
        <v>0</v>
      </c>
      <c r="W9" s="159">
        <f t="shared" ref="W9:W13" si="7">IF(I9/15&lt;=SMG,0,IF(U9&lt;0,0,U9))</f>
        <v>1216.18</v>
      </c>
      <c r="X9" s="159">
        <f t="shared" ref="X9:X16" si="8">SUM(W9:W9)</f>
        <v>1216.18</v>
      </c>
      <c r="Y9" s="159">
        <f t="shared" ref="Y9:Y16" si="9">K9+V9-X9</f>
        <v>8330.82</v>
      </c>
      <c r="Z9" s="209"/>
    </row>
    <row r="10" spans="1:26" s="96" customFormat="1" ht="96" customHeight="1" x14ac:dyDescent="0.3">
      <c r="A10" s="113"/>
      <c r="B10" s="152" t="s">
        <v>192</v>
      </c>
      <c r="C10" s="152" t="s">
        <v>113</v>
      </c>
      <c r="D10" s="194" t="s">
        <v>191</v>
      </c>
      <c r="E10" s="226">
        <v>43998</v>
      </c>
      <c r="F10" s="153" t="s">
        <v>132</v>
      </c>
      <c r="G10" s="155"/>
      <c r="H10" s="156"/>
      <c r="I10" s="157">
        <v>5767.5</v>
      </c>
      <c r="J10" s="158">
        <v>300</v>
      </c>
      <c r="K10" s="159">
        <f t="shared" ref="K10" si="10">SUM(I10:J10)</f>
        <v>6067.5</v>
      </c>
      <c r="L10" s="160">
        <f t="shared" ref="L10" si="11">IF(I10/15&lt;=SMG,0,J10/2)</f>
        <v>150</v>
      </c>
      <c r="M10" s="160">
        <f t="shared" ref="M10:M11" si="12">I10+L10</f>
        <v>5917.5</v>
      </c>
      <c r="N10" s="160">
        <f t="shared" si="3"/>
        <v>5490.76</v>
      </c>
      <c r="O10" s="160">
        <f t="shared" ref="O10:O11" si="13">M10-N10</f>
        <v>426.73999999999978</v>
      </c>
      <c r="P10" s="161">
        <f t="shared" si="4"/>
        <v>0.16</v>
      </c>
      <c r="Q10" s="160">
        <f t="shared" ref="Q10:Q11" si="14">O10*P10</f>
        <v>68.278399999999962</v>
      </c>
      <c r="R10" s="162">
        <f t="shared" si="5"/>
        <v>441</v>
      </c>
      <c r="S10" s="160">
        <f t="shared" ref="S10:S11" si="15">Q10+R10</f>
        <v>509.27839999999998</v>
      </c>
      <c r="T10" s="160">
        <f t="shared" si="6"/>
        <v>0</v>
      </c>
      <c r="U10" s="160">
        <f t="shared" ref="U10:U11" si="16">ROUND(S10-T10,2)</f>
        <v>509.28</v>
      </c>
      <c r="V10" s="159">
        <f t="shared" ref="V10:V11" si="17">-IF(U10&gt;0,0,U10)</f>
        <v>0</v>
      </c>
      <c r="W10" s="159">
        <f t="shared" si="7"/>
        <v>509.28</v>
      </c>
      <c r="X10" s="159">
        <f t="shared" si="8"/>
        <v>509.28</v>
      </c>
      <c r="Y10" s="159">
        <f t="shared" si="9"/>
        <v>5558.22</v>
      </c>
      <c r="Z10" s="95"/>
    </row>
    <row r="11" spans="1:26" s="96" customFormat="1" ht="96" customHeight="1" x14ac:dyDescent="0.3">
      <c r="A11" s="113"/>
      <c r="B11" s="152" t="s">
        <v>286</v>
      </c>
      <c r="C11" s="152" t="s">
        <v>113</v>
      </c>
      <c r="D11" s="194" t="s">
        <v>287</v>
      </c>
      <c r="E11" s="226">
        <v>44942</v>
      </c>
      <c r="F11" s="153" t="s">
        <v>132</v>
      </c>
      <c r="G11" s="155"/>
      <c r="H11" s="156"/>
      <c r="I11" s="157">
        <v>5210.41</v>
      </c>
      <c r="J11" s="158">
        <v>0</v>
      </c>
      <c r="K11" s="159">
        <f t="shared" ref="K11:K13" si="18">SUM(I11:J11)</f>
        <v>5210.41</v>
      </c>
      <c r="L11" s="160">
        <f t="shared" ref="L11:L13" si="19">IF(I11/15&lt;=SMG,0,J11/2)</f>
        <v>0</v>
      </c>
      <c r="M11" s="160">
        <f t="shared" si="12"/>
        <v>5210.41</v>
      </c>
      <c r="N11" s="160">
        <f t="shared" si="3"/>
        <v>3124.36</v>
      </c>
      <c r="O11" s="160">
        <f t="shared" si="13"/>
        <v>2086.0499999999997</v>
      </c>
      <c r="P11" s="161">
        <f t="shared" si="4"/>
        <v>0.10879999999999999</v>
      </c>
      <c r="Q11" s="160">
        <f t="shared" si="14"/>
        <v>226.96223999999995</v>
      </c>
      <c r="R11" s="162">
        <f t="shared" si="5"/>
        <v>183.45</v>
      </c>
      <c r="S11" s="160">
        <f t="shared" si="15"/>
        <v>410.41223999999994</v>
      </c>
      <c r="T11" s="160">
        <f t="shared" si="6"/>
        <v>0</v>
      </c>
      <c r="U11" s="160">
        <f t="shared" si="16"/>
        <v>410.41</v>
      </c>
      <c r="V11" s="159">
        <f t="shared" si="17"/>
        <v>0</v>
      </c>
      <c r="W11" s="159">
        <f t="shared" si="7"/>
        <v>410.41</v>
      </c>
      <c r="X11" s="159">
        <f t="shared" si="8"/>
        <v>410.41</v>
      </c>
      <c r="Y11" s="159">
        <f t="shared" si="9"/>
        <v>4800</v>
      </c>
      <c r="Z11" s="95"/>
    </row>
    <row r="12" spans="1:26" s="96" customFormat="1" ht="96" customHeight="1" x14ac:dyDescent="0.3">
      <c r="A12" s="113"/>
      <c r="B12" s="152" t="s">
        <v>288</v>
      </c>
      <c r="C12" s="152" t="s">
        <v>113</v>
      </c>
      <c r="D12" s="194" t="s">
        <v>289</v>
      </c>
      <c r="E12" s="226">
        <v>44942</v>
      </c>
      <c r="F12" s="153" t="s">
        <v>132</v>
      </c>
      <c r="G12" s="155"/>
      <c r="H12" s="156"/>
      <c r="I12" s="157">
        <v>5210.41</v>
      </c>
      <c r="J12" s="158">
        <v>0</v>
      </c>
      <c r="K12" s="159">
        <f t="shared" si="18"/>
        <v>5210.41</v>
      </c>
      <c r="L12" s="160">
        <f t="shared" si="19"/>
        <v>0</v>
      </c>
      <c r="M12" s="160">
        <f t="shared" ref="M12" si="20">I12+L12</f>
        <v>5210.41</v>
      </c>
      <c r="N12" s="160">
        <f t="shared" si="3"/>
        <v>3124.36</v>
      </c>
      <c r="O12" s="160">
        <f t="shared" ref="O12" si="21">M12-N12</f>
        <v>2086.0499999999997</v>
      </c>
      <c r="P12" s="161">
        <f t="shared" si="4"/>
        <v>0.10879999999999999</v>
      </c>
      <c r="Q12" s="160">
        <f t="shared" ref="Q12" si="22">O12*P12</f>
        <v>226.96223999999995</v>
      </c>
      <c r="R12" s="162">
        <f t="shared" si="5"/>
        <v>183.45</v>
      </c>
      <c r="S12" s="160">
        <f t="shared" ref="S12" si="23">Q12+R12</f>
        <v>410.41223999999994</v>
      </c>
      <c r="T12" s="160">
        <f t="shared" si="6"/>
        <v>0</v>
      </c>
      <c r="U12" s="160">
        <f t="shared" ref="U12" si="24">ROUND(S12-T12,2)</f>
        <v>410.41</v>
      </c>
      <c r="V12" s="159">
        <f t="shared" ref="V12" si="25">-IF(U12&gt;0,0,U12)</f>
        <v>0</v>
      </c>
      <c r="W12" s="159">
        <f t="shared" si="7"/>
        <v>410.41</v>
      </c>
      <c r="X12" s="159">
        <f t="shared" si="8"/>
        <v>410.41</v>
      </c>
      <c r="Y12" s="159">
        <f t="shared" si="9"/>
        <v>4800</v>
      </c>
      <c r="Z12" s="95"/>
    </row>
    <row r="13" spans="1:26" s="96" customFormat="1" ht="96" customHeight="1" x14ac:dyDescent="0.3">
      <c r="A13" s="113"/>
      <c r="B13" s="152" t="s">
        <v>290</v>
      </c>
      <c r="C13" s="152" t="s">
        <v>113</v>
      </c>
      <c r="D13" s="194" t="s">
        <v>291</v>
      </c>
      <c r="E13" s="226">
        <v>44942</v>
      </c>
      <c r="F13" s="153" t="s">
        <v>132</v>
      </c>
      <c r="G13" s="155"/>
      <c r="H13" s="156"/>
      <c r="I13" s="157">
        <v>5210.41</v>
      </c>
      <c r="J13" s="158">
        <v>0</v>
      </c>
      <c r="K13" s="159">
        <f t="shared" si="18"/>
        <v>5210.41</v>
      </c>
      <c r="L13" s="160">
        <f t="shared" si="19"/>
        <v>0</v>
      </c>
      <c r="M13" s="160">
        <f t="shared" ref="M13" si="26">I13+L13</f>
        <v>5210.41</v>
      </c>
      <c r="N13" s="160">
        <f t="shared" si="3"/>
        <v>3124.36</v>
      </c>
      <c r="O13" s="160">
        <f t="shared" ref="O13" si="27">M13-N13</f>
        <v>2086.0499999999997</v>
      </c>
      <c r="P13" s="161">
        <f t="shared" si="4"/>
        <v>0.10879999999999999</v>
      </c>
      <c r="Q13" s="160">
        <f t="shared" ref="Q13" si="28">O13*P13</f>
        <v>226.96223999999995</v>
      </c>
      <c r="R13" s="162">
        <f t="shared" si="5"/>
        <v>183.45</v>
      </c>
      <c r="S13" s="160">
        <f t="shared" ref="S13" si="29">Q13+R13</f>
        <v>410.41223999999994</v>
      </c>
      <c r="T13" s="160">
        <f t="shared" si="6"/>
        <v>0</v>
      </c>
      <c r="U13" s="160">
        <f t="shared" ref="U13" si="30">ROUND(S13-T13,2)</f>
        <v>410.41</v>
      </c>
      <c r="V13" s="159">
        <f t="shared" ref="V13" si="31">-IF(U13&gt;0,0,U13)</f>
        <v>0</v>
      </c>
      <c r="W13" s="159">
        <f t="shared" si="7"/>
        <v>410.41</v>
      </c>
      <c r="X13" s="159">
        <f t="shared" si="8"/>
        <v>410.41</v>
      </c>
      <c r="Y13" s="159">
        <f t="shared" si="9"/>
        <v>4800</v>
      </c>
      <c r="Z13" s="95"/>
    </row>
    <row r="14" spans="1:26" s="96" customFormat="1" ht="96" customHeight="1" x14ac:dyDescent="0.3">
      <c r="A14" s="113"/>
      <c r="B14" s="152" t="s">
        <v>327</v>
      </c>
      <c r="C14" s="152" t="s">
        <v>113</v>
      </c>
      <c r="D14" s="194" t="s">
        <v>324</v>
      </c>
      <c r="E14" s="226">
        <v>45112</v>
      </c>
      <c r="F14" s="153" t="s">
        <v>132</v>
      </c>
      <c r="G14" s="155"/>
      <c r="H14" s="156"/>
      <c r="I14" s="157">
        <v>5210.41</v>
      </c>
      <c r="J14" s="158">
        <v>300</v>
      </c>
      <c r="K14" s="159">
        <f t="shared" ref="K14:K15" si="32">SUM(I14:J14)</f>
        <v>5510.41</v>
      </c>
      <c r="L14" s="160">
        <f t="shared" ref="L14:L15" si="33">IF(I14/15&lt;=SMG,0,J14/2)</f>
        <v>150</v>
      </c>
      <c r="M14" s="160">
        <f t="shared" ref="M14:M15" si="34">I14+L14</f>
        <v>5360.41</v>
      </c>
      <c r="N14" s="160">
        <f t="shared" ref="N14:N15" si="35">VLOOKUP(M14,Tarifa1,1)</f>
        <v>3124.36</v>
      </c>
      <c r="O14" s="160">
        <f t="shared" ref="O14:O15" si="36">M14-N14</f>
        <v>2236.0499999999997</v>
      </c>
      <c r="P14" s="161">
        <f t="shared" ref="P14:P15" si="37">VLOOKUP(M14,Tarifa1,3)</f>
        <v>0.10879999999999999</v>
      </c>
      <c r="Q14" s="160">
        <f t="shared" ref="Q14:Q15" si="38">O14*P14</f>
        <v>243.28223999999994</v>
      </c>
      <c r="R14" s="162">
        <f t="shared" ref="R14:R15" si="39">VLOOKUP(M14,Tarifa1,2)</f>
        <v>183.45</v>
      </c>
      <c r="S14" s="160">
        <f t="shared" ref="S14:S15" si="40">Q14+R14</f>
        <v>426.73223999999993</v>
      </c>
      <c r="T14" s="160">
        <f t="shared" ref="T14:T15" si="41">VLOOKUP(M14,Credito1,2)</f>
        <v>0</v>
      </c>
      <c r="U14" s="160">
        <f t="shared" ref="U14:U15" si="42">ROUND(S14-T14,2)</f>
        <v>426.73</v>
      </c>
      <c r="V14" s="159">
        <f t="shared" ref="V14:V15" si="43">-IF(U14&gt;0,0,U14)</f>
        <v>0</v>
      </c>
      <c r="W14" s="159">
        <f t="shared" ref="W14:W15" si="44">IF(I14/15&lt;=SMG,0,IF(U14&lt;0,0,U14))</f>
        <v>426.73</v>
      </c>
      <c r="X14" s="159">
        <f t="shared" si="8"/>
        <v>426.73</v>
      </c>
      <c r="Y14" s="159">
        <f t="shared" si="9"/>
        <v>5083.68</v>
      </c>
      <c r="Z14" s="95"/>
    </row>
    <row r="15" spans="1:26" s="96" customFormat="1" ht="96" customHeight="1" x14ac:dyDescent="0.3">
      <c r="A15" s="113"/>
      <c r="B15" s="152" t="s">
        <v>135</v>
      </c>
      <c r="C15" s="152" t="s">
        <v>113</v>
      </c>
      <c r="D15" s="194" t="s">
        <v>131</v>
      </c>
      <c r="E15" s="226">
        <v>43101</v>
      </c>
      <c r="F15" s="154" t="s">
        <v>133</v>
      </c>
      <c r="G15" s="155">
        <v>15</v>
      </c>
      <c r="H15" s="156">
        <f>I15/G15</f>
        <v>345.66933333333333</v>
      </c>
      <c r="I15" s="157">
        <v>5185.04</v>
      </c>
      <c r="J15" s="158">
        <v>0</v>
      </c>
      <c r="K15" s="159">
        <f t="shared" si="32"/>
        <v>5185.04</v>
      </c>
      <c r="L15" s="160">
        <f t="shared" si="33"/>
        <v>0</v>
      </c>
      <c r="M15" s="160">
        <f t="shared" si="34"/>
        <v>5185.04</v>
      </c>
      <c r="N15" s="160">
        <f t="shared" si="35"/>
        <v>3124.36</v>
      </c>
      <c r="O15" s="160">
        <f t="shared" si="36"/>
        <v>2060.6799999999998</v>
      </c>
      <c r="P15" s="161">
        <f t="shared" si="37"/>
        <v>0.10879999999999999</v>
      </c>
      <c r="Q15" s="160">
        <f t="shared" si="38"/>
        <v>224.20198399999998</v>
      </c>
      <c r="R15" s="162">
        <f t="shared" si="39"/>
        <v>183.45</v>
      </c>
      <c r="S15" s="160">
        <f t="shared" si="40"/>
        <v>407.65198399999997</v>
      </c>
      <c r="T15" s="160">
        <f t="shared" si="41"/>
        <v>0</v>
      </c>
      <c r="U15" s="160">
        <f t="shared" si="42"/>
        <v>407.65</v>
      </c>
      <c r="V15" s="159">
        <f t="shared" si="43"/>
        <v>0</v>
      </c>
      <c r="W15" s="159">
        <f t="shared" si="44"/>
        <v>407.65</v>
      </c>
      <c r="X15" s="159">
        <f t="shared" si="8"/>
        <v>407.65</v>
      </c>
      <c r="Y15" s="159">
        <f t="shared" si="9"/>
        <v>4777.3900000000003</v>
      </c>
      <c r="Z15" s="95"/>
    </row>
    <row r="16" spans="1:26" s="96" customFormat="1" ht="96" customHeight="1" x14ac:dyDescent="0.3">
      <c r="A16" s="113"/>
      <c r="B16" s="152" t="s">
        <v>345</v>
      </c>
      <c r="C16" s="152" t="s">
        <v>113</v>
      </c>
      <c r="D16" s="194" t="s">
        <v>346</v>
      </c>
      <c r="E16" s="226">
        <v>45154</v>
      </c>
      <c r="F16" s="154" t="s">
        <v>133</v>
      </c>
      <c r="G16" s="155">
        <v>15</v>
      </c>
      <c r="H16" s="156">
        <f>I16/G16</f>
        <v>345.66933333333333</v>
      </c>
      <c r="I16" s="157">
        <v>5185.04</v>
      </c>
      <c r="J16" s="158">
        <v>0</v>
      </c>
      <c r="K16" s="159">
        <f t="shared" ref="K16" si="45">SUM(I16:J16)</f>
        <v>5185.04</v>
      </c>
      <c r="L16" s="160">
        <f t="shared" ref="L16" si="46">IF(I16/15&lt;=SMG,0,J16/2)</f>
        <v>0</v>
      </c>
      <c r="M16" s="160">
        <f t="shared" ref="M16" si="47">I16+L16</f>
        <v>5185.04</v>
      </c>
      <c r="N16" s="160">
        <f t="shared" ref="N16" si="48">VLOOKUP(M16,Tarifa1,1)</f>
        <v>3124.36</v>
      </c>
      <c r="O16" s="160">
        <f t="shared" ref="O16" si="49">M16-N16</f>
        <v>2060.6799999999998</v>
      </c>
      <c r="P16" s="161">
        <f t="shared" ref="P16" si="50">VLOOKUP(M16,Tarifa1,3)</f>
        <v>0.10879999999999999</v>
      </c>
      <c r="Q16" s="160">
        <f t="shared" ref="Q16" si="51">O16*P16</f>
        <v>224.20198399999998</v>
      </c>
      <c r="R16" s="162">
        <f t="shared" ref="R16" si="52">VLOOKUP(M16,Tarifa1,2)</f>
        <v>183.45</v>
      </c>
      <c r="S16" s="160">
        <f t="shared" ref="S16" si="53">Q16+R16</f>
        <v>407.65198399999997</v>
      </c>
      <c r="T16" s="160">
        <f t="shared" ref="T16" si="54">VLOOKUP(M16,Credito1,2)</f>
        <v>0</v>
      </c>
      <c r="U16" s="160">
        <f t="shared" ref="U16" si="55">ROUND(S16-T16,2)</f>
        <v>407.65</v>
      </c>
      <c r="V16" s="159">
        <f t="shared" ref="V16" si="56">-IF(U16&gt;0,0,U16)</f>
        <v>0</v>
      </c>
      <c r="W16" s="159">
        <f t="shared" ref="W16" si="57">IF(I16/15&lt;=SMG,0,IF(U16&lt;0,0,U16))</f>
        <v>407.65</v>
      </c>
      <c r="X16" s="159">
        <f t="shared" si="8"/>
        <v>407.65</v>
      </c>
      <c r="Y16" s="159">
        <f t="shared" si="9"/>
        <v>4777.3900000000003</v>
      </c>
      <c r="Z16" s="95"/>
    </row>
    <row r="17" spans="1:25" ht="40.5" customHeight="1" thickBot="1" x14ac:dyDescent="0.35">
      <c r="A17" s="286" t="s">
        <v>44</v>
      </c>
      <c r="B17" s="287"/>
      <c r="C17" s="287"/>
      <c r="D17" s="287"/>
      <c r="E17" s="287"/>
      <c r="F17" s="287"/>
      <c r="G17" s="287"/>
      <c r="H17" s="288"/>
      <c r="I17" s="163">
        <f>SUM(I9:I16)</f>
        <v>46526.22</v>
      </c>
      <c r="J17" s="163">
        <f>SUM(J9:J16)</f>
        <v>600</v>
      </c>
      <c r="K17" s="163">
        <f t="shared" ref="K17:V17" si="58">SUM(K10:K16)</f>
        <v>37579.22</v>
      </c>
      <c r="L17" s="164">
        <f t="shared" si="58"/>
        <v>300</v>
      </c>
      <c r="M17" s="164">
        <f t="shared" si="58"/>
        <v>37279.22</v>
      </c>
      <c r="N17" s="164">
        <f t="shared" si="58"/>
        <v>24236.920000000002</v>
      </c>
      <c r="O17" s="164">
        <f t="shared" si="58"/>
        <v>13042.3</v>
      </c>
      <c r="P17" s="164">
        <f t="shared" si="58"/>
        <v>0.81279999999999997</v>
      </c>
      <c r="Q17" s="164">
        <f t="shared" si="58"/>
        <v>1440.8513279999997</v>
      </c>
      <c r="R17" s="164">
        <f t="shared" si="58"/>
        <v>1541.7000000000003</v>
      </c>
      <c r="S17" s="164">
        <f t="shared" si="58"/>
        <v>2982.551328</v>
      </c>
      <c r="T17" s="164">
        <f t="shared" si="58"/>
        <v>0</v>
      </c>
      <c r="U17" s="164">
        <f t="shared" si="58"/>
        <v>2982.5400000000004</v>
      </c>
      <c r="V17" s="163">
        <f t="shared" si="58"/>
        <v>0</v>
      </c>
      <c r="W17" s="163">
        <f>SUM(W9:W16)</f>
        <v>4198.7199999999993</v>
      </c>
      <c r="X17" s="163">
        <f>SUM(X9:X16)</f>
        <v>4198.7199999999993</v>
      </c>
      <c r="Y17" s="163">
        <f>SUM(Y9:Y16)</f>
        <v>42927.5</v>
      </c>
    </row>
    <row r="18" spans="1:25" ht="18" thickTop="1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ht="17.399999999999999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25" ht="17.399999999999999" x14ac:dyDescent="0.3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2023-10-03T16:46:22Z</cp:lastPrinted>
  <dcterms:created xsi:type="dcterms:W3CDTF">2000-05-05T04:08:27Z</dcterms:created>
  <dcterms:modified xsi:type="dcterms:W3CDTF">2024-11-15T17:51:31Z</dcterms:modified>
</cp:coreProperties>
</file>