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SINDICO!$1:$24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20" l="1"/>
  <c r="M28" i="120" s="1"/>
  <c r="K28" i="120"/>
  <c r="T28" i="120" l="1"/>
  <c r="P28" i="120"/>
  <c r="R28" i="120"/>
  <c r="N28" i="120"/>
  <c r="O28" i="120" s="1"/>
  <c r="Q28" i="120" l="1"/>
  <c r="S28" i="120" s="1"/>
  <c r="U28" i="120" s="1"/>
  <c r="W28" i="120" s="1"/>
  <c r="X28" i="120" s="1"/>
  <c r="V28" i="120" l="1"/>
  <c r="Y28" i="120"/>
  <c r="L33" i="123" l="1"/>
  <c r="M33" i="123" s="1"/>
  <c r="K33" i="123"/>
  <c r="L31" i="120"/>
  <c r="M31" i="120" s="1"/>
  <c r="K31" i="120"/>
  <c r="T33" i="123" l="1"/>
  <c r="P33" i="123"/>
  <c r="R33" i="123"/>
  <c r="N33" i="123"/>
  <c r="O33" i="123" s="1"/>
  <c r="T31" i="120"/>
  <c r="P31" i="120"/>
  <c r="R31" i="120"/>
  <c r="N31" i="120"/>
  <c r="O31" i="120" s="1"/>
  <c r="Q31" i="120" l="1"/>
  <c r="S31" i="120" s="1"/>
  <c r="U31" i="120" s="1"/>
  <c r="W31" i="120" s="1"/>
  <c r="X31" i="120" s="1"/>
  <c r="Q33" i="123"/>
  <c r="S33" i="123" s="1"/>
  <c r="U33" i="123" s="1"/>
  <c r="V33" i="123" s="1"/>
  <c r="W33" i="123" l="1"/>
  <c r="X33" i="123" s="1"/>
  <c r="Y33" i="123" s="1"/>
  <c r="V31" i="120"/>
  <c r="Y31" i="120" s="1"/>
  <c r="L31" i="123"/>
  <c r="M31" i="123" s="1"/>
  <c r="K31" i="123"/>
  <c r="L35" i="123"/>
  <c r="M35" i="123" s="1"/>
  <c r="K35" i="123"/>
  <c r="J25" i="135"/>
  <c r="K25" i="135" s="1"/>
  <c r="I25" i="135"/>
  <c r="J24" i="135"/>
  <c r="K24" i="135" s="1"/>
  <c r="I24" i="135"/>
  <c r="L25" i="120"/>
  <c r="M25" i="120" s="1"/>
  <c r="K25" i="120"/>
  <c r="L12" i="121"/>
  <c r="M12" i="121" s="1"/>
  <c r="K12" i="121"/>
  <c r="T31" i="123" l="1"/>
  <c r="P31" i="123"/>
  <c r="R31" i="123"/>
  <c r="N31" i="123"/>
  <c r="O31" i="123" s="1"/>
  <c r="T35" i="123"/>
  <c r="P35" i="123"/>
  <c r="N35" i="123"/>
  <c r="O35" i="123" s="1"/>
  <c r="R35" i="123"/>
  <c r="R25" i="135"/>
  <c r="N25" i="135"/>
  <c r="L25" i="135"/>
  <c r="M25" i="135" s="1"/>
  <c r="P25" i="135"/>
  <c r="R24" i="135"/>
  <c r="N24" i="135"/>
  <c r="P24" i="135"/>
  <c r="L24" i="135"/>
  <c r="M24" i="135" s="1"/>
  <c r="O24" i="135" s="1"/>
  <c r="Q24" i="135" s="1"/>
  <c r="R25" i="120"/>
  <c r="N25" i="120"/>
  <c r="O25" i="120" s="1"/>
  <c r="T25" i="120"/>
  <c r="P25" i="120"/>
  <c r="T12" i="121"/>
  <c r="P12" i="121"/>
  <c r="R12" i="121"/>
  <c r="N12" i="121"/>
  <c r="O12" i="121" s="1"/>
  <c r="O25" i="135" l="1"/>
  <c r="Q25" i="135" s="1"/>
  <c r="S25" i="135" s="1"/>
  <c r="T25" i="135" s="1"/>
  <c r="Q31" i="123"/>
  <c r="S31" i="123" s="1"/>
  <c r="U31" i="123" s="1"/>
  <c r="W31" i="123" s="1"/>
  <c r="X31" i="123" s="1"/>
  <c r="Q12" i="121"/>
  <c r="S12" i="121" s="1"/>
  <c r="U12" i="121" s="1"/>
  <c r="V12" i="121" s="1"/>
  <c r="Q35" i="123"/>
  <c r="S35" i="123" s="1"/>
  <c r="U35" i="123" s="1"/>
  <c r="V35" i="123" s="1"/>
  <c r="U25" i="135"/>
  <c r="V25" i="135" s="1"/>
  <c r="S24" i="135"/>
  <c r="Q25" i="120"/>
  <c r="S25" i="120" s="1"/>
  <c r="U25" i="120" s="1"/>
  <c r="V25" i="120" s="1"/>
  <c r="W12" i="121"/>
  <c r="X12" i="121" s="1"/>
  <c r="V31" i="123" l="1"/>
  <c r="Y31" i="123" s="1"/>
  <c r="W35" i="123"/>
  <c r="X35" i="123" s="1"/>
  <c r="Y35" i="123" s="1"/>
  <c r="W25" i="135"/>
  <c r="U24" i="135"/>
  <c r="V24" i="135" s="1"/>
  <c r="T24" i="135"/>
  <c r="W25" i="120"/>
  <c r="X25" i="120" s="1"/>
  <c r="Y25" i="120" s="1"/>
  <c r="Y12" i="121"/>
  <c r="L30" i="120"/>
  <c r="M30" i="120" s="1"/>
  <c r="T30" i="120" s="1"/>
  <c r="K30" i="120"/>
  <c r="H30" i="120"/>
  <c r="J13" i="135"/>
  <c r="K13" i="135" s="1"/>
  <c r="I13" i="135"/>
  <c r="J23" i="135"/>
  <c r="K23" i="135" s="1"/>
  <c r="I23" i="135"/>
  <c r="L14" i="133"/>
  <c r="M14" i="133" s="1"/>
  <c r="T14" i="133" s="1"/>
  <c r="K14" i="133"/>
  <c r="H14" i="133"/>
  <c r="L15" i="133"/>
  <c r="M15" i="133" s="1"/>
  <c r="K15" i="133"/>
  <c r="H15" i="133"/>
  <c r="L19" i="121"/>
  <c r="M19" i="121" s="1"/>
  <c r="K19" i="121"/>
  <c r="W24" i="135" l="1"/>
  <c r="N30" i="120"/>
  <c r="O30" i="120" s="1"/>
  <c r="R30" i="120"/>
  <c r="P30" i="120"/>
  <c r="R13" i="135"/>
  <c r="N13" i="135"/>
  <c r="P13" i="135"/>
  <c r="L13" i="135"/>
  <c r="M13" i="135" s="1"/>
  <c r="R23" i="135"/>
  <c r="N23" i="135"/>
  <c r="P23" i="135"/>
  <c r="L23" i="135"/>
  <c r="M23" i="135" s="1"/>
  <c r="N14" i="133"/>
  <c r="O14" i="133" s="1"/>
  <c r="R14" i="133"/>
  <c r="P14" i="133"/>
  <c r="R15" i="133"/>
  <c r="N15" i="133"/>
  <c r="O15" i="133" s="1"/>
  <c r="T15" i="133"/>
  <c r="P15" i="133"/>
  <c r="P19" i="121"/>
  <c r="R19" i="121"/>
  <c r="N19" i="121"/>
  <c r="O19" i="121" s="1"/>
  <c r="T19" i="121"/>
  <c r="O23" i="135" l="1"/>
  <c r="O13" i="135"/>
  <c r="Q13" i="135" s="1"/>
  <c r="S13" i="135" s="1"/>
  <c r="U13" i="135" s="1"/>
  <c r="V13" i="135" s="1"/>
  <c r="Q19" i="121"/>
  <c r="S19" i="121" s="1"/>
  <c r="U19" i="121" s="1"/>
  <c r="V19" i="121" s="1"/>
  <c r="Q30" i="120"/>
  <c r="S30" i="120" s="1"/>
  <c r="U30" i="120" s="1"/>
  <c r="Q23" i="135"/>
  <c r="S23" i="135" s="1"/>
  <c r="T23" i="135" s="1"/>
  <c r="Q14" i="133"/>
  <c r="S14" i="133" s="1"/>
  <c r="U14" i="133" s="1"/>
  <c r="W14" i="133" s="1"/>
  <c r="X14" i="133" s="1"/>
  <c r="Q15" i="133"/>
  <c r="S15" i="133" s="1"/>
  <c r="U15" i="133" s="1"/>
  <c r="W15" i="133" s="1"/>
  <c r="X15" i="133" s="1"/>
  <c r="W19" i="121"/>
  <c r="X19" i="121" s="1"/>
  <c r="T13" i="135" l="1"/>
  <c r="V14" i="133"/>
  <c r="Y14" i="133" s="1"/>
  <c r="U23" i="135"/>
  <c r="V23" i="135" s="1"/>
  <c r="W23" i="135" s="1"/>
  <c r="V15" i="133"/>
  <c r="Y15" i="133" s="1"/>
  <c r="W30" i="120"/>
  <c r="X30" i="120" s="1"/>
  <c r="V30" i="120"/>
  <c r="W13" i="135"/>
  <c r="Y19" i="121"/>
  <c r="Y30" i="120" l="1"/>
  <c r="K26" i="120" l="1"/>
  <c r="L26" i="120"/>
  <c r="M26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2" i="135"/>
  <c r="K22" i="135" s="1"/>
  <c r="I22" i="135"/>
  <c r="J21" i="135"/>
  <c r="K21" i="135" s="1"/>
  <c r="I21" i="135"/>
  <c r="J20" i="135"/>
  <c r="K20" i="135" s="1"/>
  <c r="I20" i="135"/>
  <c r="J19" i="135"/>
  <c r="K19" i="135" s="1"/>
  <c r="I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6" i="120" l="1"/>
  <c r="T26" i="120"/>
  <c r="N26" i="120"/>
  <c r="O26" i="120" s="1"/>
  <c r="R26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30" i="121" s="1"/>
  <c r="S30" i="121" s="1"/>
  <c r="P22" i="135"/>
  <c r="L22" i="135"/>
  <c r="M22" i="135" s="1"/>
  <c r="R22" i="135"/>
  <c r="N22" i="135"/>
  <c r="R21" i="135"/>
  <c r="N21" i="135"/>
  <c r="P21" i="135"/>
  <c r="L21" i="135"/>
  <c r="M21" i="135" s="1"/>
  <c r="T10" i="120"/>
  <c r="N10" i="120"/>
  <c r="O10" i="120" s="1"/>
  <c r="R10" i="120"/>
  <c r="R20" i="135"/>
  <c r="N20" i="135"/>
  <c r="P20" i="135"/>
  <c r="L20" i="135"/>
  <c r="M20" i="135" s="1"/>
  <c r="P19" i="135"/>
  <c r="L19" i="135"/>
  <c r="M19" i="135" s="1"/>
  <c r="R19" i="135"/>
  <c r="N19" i="135"/>
  <c r="P10" i="120"/>
  <c r="T32" i="121"/>
  <c r="P32" i="121"/>
  <c r="R32" i="121"/>
  <c r="N32" i="121"/>
  <c r="O32" i="121" s="1"/>
  <c r="T15" i="121"/>
  <c r="P15" i="121"/>
  <c r="R15" i="121"/>
  <c r="N15" i="121"/>
  <c r="O15" i="121" s="1"/>
  <c r="Q15" i="121" s="1"/>
  <c r="T34" i="123"/>
  <c r="P34" i="123"/>
  <c r="R34" i="123"/>
  <c r="N34" i="123"/>
  <c r="O34" i="123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Q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U30" i="121" l="1"/>
  <c r="V30" i="121" s="1"/>
  <c r="O21" i="135"/>
  <c r="Q21" i="135" s="1"/>
  <c r="Q14" i="132"/>
  <c r="S14" i="132" s="1"/>
  <c r="U14" i="132" s="1"/>
  <c r="Q10" i="121"/>
  <c r="S10" i="121" s="1"/>
  <c r="U10" i="121" s="1"/>
  <c r="W10" i="121" s="1"/>
  <c r="X10" i="121" s="1"/>
  <c r="Q26" i="120"/>
  <c r="S26" i="120" s="1"/>
  <c r="U26" i="120" s="1"/>
  <c r="W26" i="120" s="1"/>
  <c r="X26" i="120" s="1"/>
  <c r="S21" i="135"/>
  <c r="U21" i="135" s="1"/>
  <c r="V21" i="135" s="1"/>
  <c r="O22" i="135"/>
  <c r="Q22" i="135" s="1"/>
  <c r="S22" i="135" s="1"/>
  <c r="T22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W30" i="121"/>
  <c r="X30" i="121" s="1"/>
  <c r="O10" i="135"/>
  <c r="Q10" i="135" s="1"/>
  <c r="S10" i="135" s="1"/>
  <c r="T10" i="135" s="1"/>
  <c r="O20" i="135"/>
  <c r="Q20" i="135" s="1"/>
  <c r="S20" i="135" s="1"/>
  <c r="U20" i="135" s="1"/>
  <c r="V20" i="135" s="1"/>
  <c r="O19" i="135"/>
  <c r="Q19" i="135" s="1"/>
  <c r="S19" i="135" s="1"/>
  <c r="S9" i="121"/>
  <c r="U9" i="121" s="1"/>
  <c r="W9" i="121" s="1"/>
  <c r="X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O18" i="135"/>
  <c r="Q18" i="135" s="1"/>
  <c r="S18" i="135" s="1"/>
  <c r="O9" i="135"/>
  <c r="Q9" i="135" s="1"/>
  <c r="S9" i="135" s="1"/>
  <c r="T9" i="135" s="1"/>
  <c r="Q34" i="123"/>
  <c r="S34" i="123" s="1"/>
  <c r="U34" i="123" s="1"/>
  <c r="Q12" i="132"/>
  <c r="S12" i="132" s="1"/>
  <c r="U12" i="132" s="1"/>
  <c r="V12" i="132" s="1"/>
  <c r="Q10" i="132"/>
  <c r="S10" i="132" s="1"/>
  <c r="U10" i="132" s="1"/>
  <c r="W10" i="132" s="1"/>
  <c r="X10" i="132" s="1"/>
  <c r="Q16" i="123"/>
  <c r="S16" i="123" s="1"/>
  <c r="U16" i="123" s="1"/>
  <c r="V16" i="123" s="1"/>
  <c r="V9" i="121" l="1"/>
  <c r="Y9" i="121" s="1"/>
  <c r="T21" i="135"/>
  <c r="W21" i="135" s="1"/>
  <c r="W11" i="121"/>
  <c r="X11" i="121" s="1"/>
  <c r="Y11" i="121" s="1"/>
  <c r="V10" i="121"/>
  <c r="Y10" i="121" s="1"/>
  <c r="U22" i="135"/>
  <c r="V22" i="135" s="1"/>
  <c r="W22" i="135" s="1"/>
  <c r="V26" i="120"/>
  <c r="Y26" i="120" s="1"/>
  <c r="T20" i="135"/>
  <c r="W20" i="135" s="1"/>
  <c r="U9" i="135"/>
  <c r="V9" i="135" s="1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T19" i="135"/>
  <c r="U19" i="135"/>
  <c r="V19" i="135" s="1"/>
  <c r="W10" i="120"/>
  <c r="X10" i="120" s="1"/>
  <c r="Y10" i="120" s="1"/>
  <c r="V15" i="121"/>
  <c r="Y15" i="121" s="1"/>
  <c r="U10" i="135"/>
  <c r="V10" i="135" s="1"/>
  <c r="W10" i="135" s="1"/>
  <c r="W34" i="123"/>
  <c r="V34" i="123"/>
  <c r="V32" i="123" s="1"/>
  <c r="T18" i="135"/>
  <c r="U18" i="135"/>
  <c r="V18" i="135" s="1"/>
  <c r="V14" i="132"/>
  <c r="W14" i="132"/>
  <c r="X14" i="132" s="1"/>
  <c r="V10" i="132"/>
  <c r="W12" i="132"/>
  <c r="X12" i="132" s="1"/>
  <c r="Y12" i="132" s="1"/>
  <c r="W16" i="123"/>
  <c r="X16" i="123" s="1"/>
  <c r="Y16" i="123" s="1"/>
  <c r="Y10" i="132"/>
  <c r="W19" i="135" l="1"/>
  <c r="W9" i="135"/>
  <c r="Y16" i="120"/>
  <c r="X34" i="123"/>
  <c r="X32" i="123" s="1"/>
  <c r="W32" i="123"/>
  <c r="W18" i="135"/>
  <c r="Y14" i="132"/>
  <c r="Y34" i="123" l="1"/>
  <c r="Y32" i="123" s="1"/>
  <c r="J17" i="135"/>
  <c r="K17" i="135" s="1"/>
  <c r="I17" i="135"/>
  <c r="L29" i="121"/>
  <c r="M29" i="121" s="1"/>
  <c r="K29" i="121"/>
  <c r="L28" i="121"/>
  <c r="M28" i="121" s="1"/>
  <c r="T28" i="121" s="1"/>
  <c r="K28" i="121"/>
  <c r="K27" i="121" s="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7" i="120"/>
  <c r="M27" i="120" s="1"/>
  <c r="K27" i="120"/>
  <c r="L18" i="119"/>
  <c r="M18" i="119" s="1"/>
  <c r="K18" i="119"/>
  <c r="J12" i="135"/>
  <c r="K12" i="135" s="1"/>
  <c r="I12" i="135"/>
  <c r="R17" i="135" l="1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7" i="120"/>
  <c r="P27" i="120"/>
  <c r="R27" i="120"/>
  <c r="N27" i="120"/>
  <c r="O27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7" i="120" l="1"/>
  <c r="S27" i="120" s="1"/>
  <c r="U27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Y29" i="121" s="1"/>
  <c r="W27" i="121"/>
  <c r="V27" i="120"/>
  <c r="W27" i="120"/>
  <c r="X27" i="120" s="1"/>
  <c r="Y27" i="120" s="1"/>
  <c r="V16" i="121"/>
  <c r="Y16" i="121" s="1"/>
  <c r="W13" i="120"/>
  <c r="X13" i="120" s="1"/>
  <c r="Y13" i="120" s="1"/>
  <c r="T17" i="135"/>
  <c r="U17" i="135"/>
  <c r="V17" i="135" s="1"/>
  <c r="V33" i="121"/>
  <c r="Y33" i="121" s="1"/>
  <c r="X28" i="121"/>
  <c r="X27" i="121" s="1"/>
  <c r="V28" i="121"/>
  <c r="V27" i="121" s="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W18" i="119"/>
  <c r="X18" i="119" s="1"/>
  <c r="T12" i="135"/>
  <c r="U12" i="135"/>
  <c r="V12" i="135" s="1"/>
  <c r="Y13" i="132" l="1"/>
  <c r="W17" i="135"/>
  <c r="Y28" i="121"/>
  <c r="Y27" i="121" s="1"/>
  <c r="Y17" i="121"/>
  <c r="Y34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T14" i="123"/>
  <c r="P14" i="123"/>
  <c r="R14" i="123"/>
  <c r="N14" i="123"/>
  <c r="O14" i="123" s="1"/>
  <c r="Q10" i="119" l="1"/>
  <c r="S10" i="119" s="1"/>
  <c r="U10" i="119" s="1"/>
  <c r="W10" i="119" s="1"/>
  <c r="X10" i="119" s="1"/>
  <c r="Y10" i="119" s="1"/>
  <c r="P11" i="136"/>
  <c r="R11" i="136" s="1"/>
  <c r="T11" i="136" s="1"/>
  <c r="Q13" i="133"/>
  <c r="S13" i="133" s="1"/>
  <c r="U13" i="133" s="1"/>
  <c r="W13" i="133" s="1"/>
  <c r="X13" i="133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U11" i="136"/>
  <c r="V13" i="133" l="1"/>
  <c r="Y13" i="133" s="1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12" i="133" l="1"/>
  <c r="Y10" i="118"/>
  <c r="Y14" i="123"/>
  <c r="L12" i="123"/>
  <c r="M12" i="123" s="1"/>
  <c r="K12" i="123"/>
  <c r="L37" i="123"/>
  <c r="M37" i="123" s="1"/>
  <c r="K37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7" i="123"/>
  <c r="N37" i="123"/>
  <c r="O37" i="123" s="1"/>
  <c r="T37" i="123"/>
  <c r="P37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X12" i="123" s="1"/>
  <c r="Q37" i="123"/>
  <c r="S37" i="123" s="1"/>
  <c r="U37" i="123" s="1"/>
  <c r="W37" i="123" s="1"/>
  <c r="X37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R14" i="134"/>
  <c r="N14" i="134"/>
  <c r="O14" i="134" s="1"/>
  <c r="P14" i="134"/>
  <c r="T14" i="134"/>
  <c r="L12" i="120"/>
  <c r="M12" i="120" s="1"/>
  <c r="K12" i="120"/>
  <c r="V15" i="119" l="1"/>
  <c r="Q14" i="134"/>
  <c r="S14" i="134" s="1"/>
  <c r="X17" i="119"/>
  <c r="X16" i="119" s="1"/>
  <c r="W16" i="119"/>
  <c r="V37" i="123"/>
  <c r="Y37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W14" i="134"/>
  <c r="V13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6" i="133"/>
  <c r="I16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29" i="120"/>
  <c r="M29" i="120" s="1"/>
  <c r="K29" i="120"/>
  <c r="T29" i="120" l="1"/>
  <c r="R29" i="120"/>
  <c r="N29" i="120"/>
  <c r="O29" i="120" s="1"/>
  <c r="P29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29" i="120" l="1"/>
  <c r="S29" i="120" s="1"/>
  <c r="U29" i="120" s="1"/>
  <c r="V29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 s="1"/>
  <c r="U20" i="119" s="1"/>
  <c r="W29" i="120"/>
  <c r="X29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9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4" i="135"/>
  <c r="R14" i="135"/>
  <c r="L14" i="135"/>
  <c r="M14" i="135" s="1"/>
  <c r="N14" i="135"/>
  <c r="S11" i="118" l="1"/>
  <c r="U11" i="118" s="1"/>
  <c r="V11" i="118" s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O15" i="135"/>
  <c r="Q15" i="135" s="1"/>
  <c r="S15" i="135" s="1"/>
  <c r="O14" i="135"/>
  <c r="Q14" i="135" s="1"/>
  <c r="S14" i="135" s="1"/>
  <c r="Q15" i="123"/>
  <c r="S15" i="123" s="1"/>
  <c r="U15" i="123" s="1"/>
  <c r="J14" i="131"/>
  <c r="L14" i="131" s="1"/>
  <c r="W11" i="118" l="1"/>
  <c r="W20" i="121"/>
  <c r="V15" i="123"/>
  <c r="W15" i="123"/>
  <c r="T14" i="135"/>
  <c r="U14" i="135"/>
  <c r="V14" i="121"/>
  <c r="W14" i="121"/>
  <c r="V12" i="118"/>
  <c r="W12" i="118"/>
  <c r="T15" i="135"/>
  <c r="U15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K14" i="121" l="1"/>
  <c r="X14" i="121" l="1"/>
  <c r="Y14" i="121" l="1"/>
  <c r="I15" i="135" l="1"/>
  <c r="J11" i="123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P10" i="131" s="1"/>
  <c r="R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32" i="120"/>
  <c r="P16" i="131" l="1"/>
  <c r="P11" i="13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39" i="123" l="1"/>
  <c r="J38" i="123"/>
  <c r="I38" i="123"/>
  <c r="R16" i="133" l="1"/>
  <c r="N16" i="133"/>
  <c r="L16" i="133"/>
  <c r="V38" i="123" l="1"/>
  <c r="K38" i="123"/>
  <c r="O16" i="133" l="1"/>
  <c r="W38" i="123"/>
  <c r="K16" i="133"/>
  <c r="M16" i="133" l="1"/>
  <c r="X38" i="123"/>
  <c r="Y38" i="123"/>
  <c r="K11" i="118" l="1"/>
  <c r="J14" i="118" l="1"/>
  <c r="J8" i="119" l="1"/>
  <c r="I8" i="119"/>
  <c r="K36" i="123" l="1"/>
  <c r="J36" i="123"/>
  <c r="I36" i="123"/>
  <c r="H15" i="123"/>
  <c r="I30" i="123" l="1"/>
  <c r="I41" i="123" s="1"/>
  <c r="K30" i="123"/>
  <c r="K41" i="123" s="1"/>
  <c r="J30" i="123"/>
  <c r="J41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7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6" i="121"/>
  <c r="L32" i="120"/>
  <c r="I14" i="118" l="1"/>
  <c r="M41" i="123"/>
  <c r="M36" i="121"/>
  <c r="M14" i="118" l="1"/>
  <c r="L22" i="119" l="1"/>
  <c r="K19" i="119"/>
  <c r="K14" i="119" l="1"/>
  <c r="K8" i="119"/>
  <c r="K22" i="119" l="1"/>
  <c r="M22" i="119"/>
  <c r="W18" i="131" l="1"/>
  <c r="R26" i="135"/>
  <c r="X15" i="123"/>
  <c r="T15" i="134"/>
  <c r="W12" i="131"/>
  <c r="X13" i="119"/>
  <c r="V13" i="119"/>
  <c r="U15" i="131"/>
  <c r="V15" i="135"/>
  <c r="W11" i="131"/>
  <c r="U11" i="131"/>
  <c r="N26" i="135"/>
  <c r="W10" i="131"/>
  <c r="W16" i="131"/>
  <c r="U16" i="131"/>
  <c r="U17" i="131"/>
  <c r="W17" i="131"/>
  <c r="P36" i="121"/>
  <c r="X20" i="121"/>
  <c r="T16" i="133"/>
  <c r="P16" i="133"/>
  <c r="P16" i="132"/>
  <c r="S20" i="131"/>
  <c r="O20" i="131"/>
  <c r="R32" i="120"/>
  <c r="P41" i="123"/>
  <c r="T22" i="119"/>
  <c r="T41" i="123"/>
  <c r="R36" i="121"/>
  <c r="N32" i="120"/>
  <c r="N41" i="123"/>
  <c r="T14" i="118"/>
  <c r="P22" i="119"/>
  <c r="R14" i="118"/>
  <c r="R41" i="123"/>
  <c r="T36" i="121"/>
  <c r="N22" i="119"/>
  <c r="R22" i="119"/>
  <c r="P14" i="118"/>
  <c r="N14" i="118"/>
  <c r="N36" i="121"/>
  <c r="X16" i="133" l="1"/>
  <c r="W16" i="133"/>
  <c r="X13" i="123"/>
  <c r="W15" i="131"/>
  <c r="X15" i="131" s="1"/>
  <c r="U18" i="131"/>
  <c r="X18" i="131" s="1"/>
  <c r="V14" i="135"/>
  <c r="W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5" i="135"/>
  <c r="O26" i="135"/>
  <c r="V11" i="123"/>
  <c r="X11" i="123"/>
  <c r="X41" i="123" s="1"/>
  <c r="W11" i="123"/>
  <c r="W8" i="121"/>
  <c r="V8" i="121"/>
  <c r="X11" i="118"/>
  <c r="Y11" i="118" s="1"/>
  <c r="Q16" i="133"/>
  <c r="X36" i="123"/>
  <c r="X30" i="123" s="1"/>
  <c r="W36" i="123"/>
  <c r="W30" i="123" s="1"/>
  <c r="P20" i="131"/>
  <c r="S16" i="132"/>
  <c r="Q16" i="132"/>
  <c r="V36" i="123"/>
  <c r="V30" i="123" s="1"/>
  <c r="X12" i="118"/>
  <c r="Y12" i="118" s="1"/>
  <c r="O41" i="123"/>
  <c r="O22" i="119"/>
  <c r="V14" i="119"/>
  <c r="O36" i="121"/>
  <c r="V19" i="119"/>
  <c r="W19" i="119"/>
  <c r="O14" i="118"/>
  <c r="V41" i="123" l="1"/>
  <c r="W36" i="121"/>
  <c r="V36" i="121"/>
  <c r="Y16" i="133"/>
  <c r="W13" i="123"/>
  <c r="W41" i="123" s="1"/>
  <c r="Y31" i="121"/>
  <c r="Y13" i="123"/>
  <c r="Q26" i="135"/>
  <c r="Y11" i="123"/>
  <c r="X8" i="121"/>
  <c r="X36" i="121" s="1"/>
  <c r="Y8" i="121"/>
  <c r="S16" i="133"/>
  <c r="Y36" i="123"/>
  <c r="Y30" i="123" s="1"/>
  <c r="V12" i="119"/>
  <c r="U16" i="132"/>
  <c r="R20" i="131"/>
  <c r="X12" i="119"/>
  <c r="W12" i="119"/>
  <c r="X14" i="119"/>
  <c r="W14" i="119"/>
  <c r="X19" i="119"/>
  <c r="Q14" i="118"/>
  <c r="Q36" i="121"/>
  <c r="Q41" i="123"/>
  <c r="Q22" i="119"/>
  <c r="Y41" i="123" l="1"/>
  <c r="Y36" i="121"/>
  <c r="S26" i="135"/>
  <c r="U16" i="133"/>
  <c r="W16" i="132"/>
  <c r="X16" i="132"/>
  <c r="V16" i="132"/>
  <c r="T20" i="131"/>
  <c r="Y12" i="119"/>
  <c r="Y14" i="119"/>
  <c r="Y20" i="119"/>
  <c r="Y19" i="119" s="1"/>
  <c r="S36" i="121"/>
  <c r="S41" i="123"/>
  <c r="S14" i="118"/>
  <c r="S22" i="119"/>
  <c r="T26" i="135" l="1"/>
  <c r="U26" i="135"/>
  <c r="V16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6" i="121"/>
  <c r="V26" i="135" l="1"/>
  <c r="W26" i="135"/>
  <c r="X20" i="131"/>
  <c r="X8" i="119"/>
  <c r="X22" i="119" s="1"/>
  <c r="X14" i="118"/>
  <c r="Y8" i="119" l="1"/>
  <c r="Y22" i="119" s="1"/>
  <c r="Y14" i="118"/>
  <c r="I32" i="120"/>
  <c r="H9" i="120"/>
  <c r="T32" i="120" l="1"/>
  <c r="P32" i="120"/>
  <c r="M32" i="120"/>
  <c r="O32" i="120"/>
  <c r="K32" i="120"/>
  <c r="Q32" i="120" l="1"/>
  <c r="S32" i="120" l="1"/>
  <c r="U32" i="120" l="1"/>
  <c r="V32" i="120" l="1"/>
  <c r="X32" i="120"/>
  <c r="W32" i="120" l="1"/>
  <c r="Y32" i="120"/>
</calcChain>
</file>

<file path=xl/sharedStrings.xml><?xml version="1.0" encoding="utf-8"?>
<sst xmlns="http://schemas.openxmlformats.org/spreadsheetml/2006/main" count="1144" uniqueCount="352">
  <si>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</si>
  <si>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</si>
  <si>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</si>
  <si>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</si>
  <si>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</si>
  <si>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</si>
  <si>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</si>
  <si>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</si>
  <si>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</si>
  <si>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</si>
  <si>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</si>
  <si>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</si>
  <si>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</si>
  <si>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</si>
  <si>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</si>
  <si>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</si>
  <si>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</si>
  <si>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</si>
  <si>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</si>
  <si>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</si>
  <si>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</si>
  <si>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</si>
  <si>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</si>
  <si>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</si>
  <si>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</si>
  <si>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</si>
  <si>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</si>
  <si>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</si>
  <si>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</si>
  <si>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</si>
  <si>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</si>
  <si>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</si>
  <si>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</si>
  <si>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</si>
  <si>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</si>
  <si>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</si>
  <si>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</si>
  <si>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</si>
  <si>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</si>
  <si>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</si>
  <si>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</si>
  <si>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</si>
  <si>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</si>
  <si>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</si>
  <si>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</si>
  <si>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</si>
  <si>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</si>
  <si>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</si>
  <si>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</si>
  <si>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</si>
  <si>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</si>
  <si>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</si>
  <si>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</si>
  <si>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</si>
  <si>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</si>
  <si>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</si>
  <si>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</si>
  <si>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</si>
  <si>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</si>
  <si>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</si>
  <si>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</si>
  <si>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</si>
  <si>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</si>
  <si>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</si>
  <si>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</si>
  <si>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</si>
  <si>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</si>
  <si>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</si>
  <si>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</si>
  <si>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</si>
  <si>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</si>
  <si>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</si>
  <si>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</si>
  <si>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</si>
  <si>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</si>
  <si>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</si>
  <si>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</si>
  <si>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</si>
  <si>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</si>
  <si>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</si>
  <si>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</si>
  <si>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</si>
  <si>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</si>
  <si>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</si>
  <si>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</si>
  <si>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</si>
  <si>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</si>
  <si>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</si>
  <si>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</si>
  <si>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</si>
  <si>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</si>
  <si>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</si>
  <si>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</si>
  <si>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</si>
  <si>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</si>
  <si>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</si>
  <si>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</si>
  <si>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</si>
  <si>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</si>
  <si>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</si>
  <si>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</si>
  <si>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</si>
  <si>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</si>
  <si>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</si>
  <si>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</si>
  <si>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</si>
  <si>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</si>
  <si>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</si>
  <si>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</si>
  <si>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</si>
  <si>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</si>
  <si>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</si>
  <si>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</si>
  <si>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</si>
  <si>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</si>
  <si>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</si>
  <si>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</si>
  <si>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</si>
  <si>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</si>
  <si>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</si>
  <si>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</si>
  <si>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</si>
  <si>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</si>
  <si>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</si>
  <si>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</si>
  <si>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</si>
  <si>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</si>
  <si>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</si>
  <si>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</si>
  <si>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</si>
  <si>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</si>
  <si>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</si>
  <si>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</si>
  <si>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</si>
  <si>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</si>
  <si>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</si>
  <si>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</si>
  <si>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</si>
  <si>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</si>
  <si>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</si>
  <si>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</si>
  <si>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</si>
  <si>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</si>
  <si>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</si>
  <si>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</si>
  <si>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</si>
  <si>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</si>
  <si>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</si>
  <si>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</si>
  <si>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 xml:space="preserve">                   L.C.P. CESAR JÉSUS LANDEROS MORA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</si>
  <si>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</si>
  <si>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</si>
  <si>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</si>
  <si>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</si>
  <si>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</si>
  <si>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</si>
  <si>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</si>
  <si>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</si>
  <si>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</si>
  <si>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</si>
  <si>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</si>
  <si>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</si>
  <si>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</si>
  <si>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</si>
  <si>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</si>
  <si>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</si>
  <si>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</si>
  <si>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</si>
  <si>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</si>
  <si>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</si>
  <si>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</si>
  <si>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</si>
  <si>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</si>
  <si>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</si>
  <si>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</si>
  <si>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</si>
  <si>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</si>
  <si>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</si>
  <si>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</si>
  <si>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</si>
  <si>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</si>
  <si>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</si>
  <si>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</si>
  <si>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</si>
  <si>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</si>
  <si>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</si>
  <si>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</si>
  <si>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</si>
  <si>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</si>
  <si>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</si>
  <si>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</si>
  <si>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</si>
  <si>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</si>
  <si>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</si>
  <si>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</si>
  <si>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</si>
  <si>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</si>
  <si>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</si>
  <si>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</si>
  <si>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</si>
  <si>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</si>
  <si>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</si>
  <si>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</si>
  <si>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</si>
  <si>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</si>
  <si>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</si>
  <si>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</si>
  <si>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</si>
  <si>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</si>
  <si>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</si>
  <si>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</si>
  <si>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</si>
  <si>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</si>
  <si>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</si>
  <si>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</si>
  <si>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</si>
  <si>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</si>
  <si>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</si>
  <si>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</si>
  <si>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</si>
  <si>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</si>
  <si>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</si>
  <si>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</si>
  <si>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</si>
  <si>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</si>
  <si>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</si>
  <si>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</si>
  <si>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</si>
  <si>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</si>
  <si>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</si>
  <si>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</si>
  <si>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</si>
  <si>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</si>
  <si>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</si>
  <si>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                TESORERO ENC. DE LA HACIENDA MPAL.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</si>
  <si>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</si>
  <si>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</si>
  <si>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</si>
  <si>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</si>
  <si>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</si>
  <si>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</si>
  <si>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</si>
  <si>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</si>
  <si>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</si>
  <si>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</si>
  <si>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</si>
  <si>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</si>
  <si>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</si>
  <si>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</si>
  <si>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</si>
  <si>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</si>
  <si>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</si>
  <si>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</si>
  <si>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</si>
  <si>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</si>
  <si>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</si>
  <si>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</si>
  <si>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</si>
  <si>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</si>
  <si>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</si>
  <si>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</si>
  <si>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</si>
  <si>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</si>
  <si>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</si>
  <si>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</si>
  <si>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</si>
  <si>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</si>
  <si>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</si>
  <si>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</si>
  <si>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</si>
  <si>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</si>
  <si>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</si>
  <si>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</si>
  <si>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</si>
  <si>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</si>
  <si>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</si>
  <si>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</si>
  <si>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</si>
  <si>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</si>
  <si>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</si>
  <si>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</si>
  <si>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</si>
  <si>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</si>
  <si>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</si>
  <si>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</si>
  <si>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</si>
  <si>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</si>
  <si>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</si>
  <si>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</si>
  <si>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</si>
  <si>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</si>
  <si>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</si>
  <si>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</si>
  <si>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</si>
  <si>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</si>
  <si>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</si>
  <si>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</si>
  <si>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</si>
  <si>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</si>
  <si>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</si>
  <si>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</si>
  <si>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</si>
  <si>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</si>
  <si>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</si>
  <si>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</si>
  <si>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</si>
  <si>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</si>
  <si>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</si>
  <si>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</si>
  <si>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</si>
  <si>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</si>
  <si>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</si>
  <si>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</si>
  <si>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144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</si>
  <si>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</si>
  <si>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</si>
  <si>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</si>
  <si>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</si>
  <si>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</si>
  <si>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</si>
  <si>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330</t>
  </si>
  <si>
    <t>027</t>
  </si>
  <si>
    <t>HORTENCIA SANDOVAL GONZALEZ</t>
  </si>
  <si>
    <t>SECRETARIA DE OBRAS PÚBLICAS</t>
  </si>
  <si>
    <t>332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</si>
  <si>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</si>
  <si>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</si>
  <si>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</si>
  <si>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</si>
  <si>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</si>
  <si>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</si>
  <si>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</si>
  <si>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</si>
  <si>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</si>
  <si>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</si>
  <si>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</si>
  <si>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</si>
  <si>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</si>
  <si>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</si>
  <si>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</si>
  <si>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</si>
  <si>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</si>
  <si>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</si>
  <si>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</si>
  <si>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</si>
  <si>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</si>
  <si>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</si>
  <si>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</si>
  <si>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</si>
  <si>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</si>
  <si>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</si>
  <si>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SUELDO  DEL 16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</si>
</sst>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0" xfId="0" applyFont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20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8" t="s">
        <v>191</v>
      </c>
    </row>
    <row r="3" spans="1:9" x14ac:dyDescent="0.25">
      <c r="B3" s="8" t="s">
        <v>47</v>
      </c>
      <c r="C3" s="7"/>
      <c r="D3" s="7"/>
      <c r="E3" s="7"/>
      <c r="F3" s="7"/>
      <c r="G3" s="7"/>
      <c r="I3" s="117">
        <v>207.44</v>
      </c>
    </row>
    <row r="4" spans="1:9" x14ac:dyDescent="0.25">
      <c r="B4" s="19" t="s">
        <v>276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1" t="s">
        <v>10</v>
      </c>
      <c r="C7" s="281"/>
      <c r="D7" s="281"/>
      <c r="E7" s="7"/>
      <c r="F7" s="282" t="s">
        <v>48</v>
      </c>
      <c r="G7" s="283"/>
      <c r="I7" s="118" t="s">
        <v>192</v>
      </c>
    </row>
    <row r="8" spans="1:9" ht="14.25" customHeight="1" x14ac:dyDescent="0.25">
      <c r="B8" s="284" t="s">
        <v>9</v>
      </c>
      <c r="C8" s="284"/>
      <c r="D8" s="284"/>
      <c r="E8" s="7"/>
      <c r="F8" s="285" t="s">
        <v>49</v>
      </c>
      <c r="G8" s="286"/>
      <c r="I8" s="117">
        <v>96.22</v>
      </c>
    </row>
    <row r="9" spans="1:9" ht="8.25" customHeight="1" x14ac:dyDescent="0.25">
      <c r="B9" s="278"/>
      <c r="C9" s="278"/>
      <c r="D9" s="278"/>
      <c r="E9" s="7"/>
      <c r="F9" s="279"/>
      <c r="G9" s="280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274</v>
      </c>
      <c r="C28" s="7"/>
      <c r="D28" s="7"/>
    </row>
    <row r="29" spans="1:7" x14ac:dyDescent="0.25">
      <c r="B29" s="32" t="s">
        <v>275</v>
      </c>
      <c r="C29" s="7"/>
      <c r="D29" s="7"/>
    </row>
    <row r="32" spans="1:7" ht="17.25" customHeight="1" x14ac:dyDescent="0.25">
      <c r="B32" s="5" t="s">
        <v>45</v>
      </c>
      <c r="E32" s="7"/>
      <c r="F32" s="282" t="s">
        <v>53</v>
      </c>
      <c r="G32" s="283"/>
    </row>
    <row r="33" spans="2:7" x14ac:dyDescent="0.25">
      <c r="E33" s="7"/>
      <c r="F33" s="285" t="s">
        <v>54</v>
      </c>
      <c r="G33" s="286"/>
    </row>
    <row r="34" spans="2:7" ht="5.25" customHeight="1" x14ac:dyDescent="0.25">
      <c r="E34" s="7"/>
      <c r="F34" s="279"/>
      <c r="G34" s="280"/>
    </row>
    <row r="35" spans="2:7" x14ac:dyDescent="0.25">
      <c r="B35" s="281" t="s">
        <v>10</v>
      </c>
      <c r="C35" s="281"/>
      <c r="D35" s="281"/>
      <c r="E35" s="7"/>
      <c r="F35" s="9" t="s">
        <v>16</v>
      </c>
      <c r="G35" s="9" t="s">
        <v>17</v>
      </c>
    </row>
    <row r="36" spans="2:7" x14ac:dyDescent="0.25">
      <c r="B36" s="284" t="s">
        <v>9</v>
      </c>
      <c r="C36" s="284"/>
      <c r="D36" s="284"/>
      <c r="E36" s="7"/>
      <c r="F36" s="9"/>
      <c r="G36" s="9" t="s">
        <v>18</v>
      </c>
    </row>
    <row r="37" spans="2:7" x14ac:dyDescent="0.25">
      <c r="B37" s="278"/>
      <c r="C37" s="278"/>
      <c r="D37" s="278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3" zoomScale="73" zoomScaleNormal="73" workbookViewId="0">
      <selection activeCell="B22" sqref="A22:XFD27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4" t="s">
        <v>99</v>
      </c>
      <c r="C6" s="324" t="s">
        <v>112</v>
      </c>
      <c r="D6" s="22"/>
      <c r="E6" s="22"/>
      <c r="F6" s="22"/>
      <c r="G6" s="23" t="s">
        <v>22</v>
      </c>
      <c r="H6" s="23" t="s">
        <v>5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6" ht="12.75" customHeight="1" x14ac:dyDescent="0.25">
      <c r="A7" s="26" t="s">
        <v>20</v>
      </c>
      <c r="B7" s="325"/>
      <c r="C7" s="325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6"/>
      <c r="C8" s="326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6"/>
      <c r="B9" s="191"/>
      <c r="C9" s="120"/>
      <c r="D9" s="139" t="s">
        <v>113</v>
      </c>
      <c r="E9" s="139" t="s">
        <v>289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41"/>
    </row>
    <row r="10" spans="1:26" s="96" customFormat="1" ht="126" customHeight="1" x14ac:dyDescent="0.3">
      <c r="A10" s="113" t="s">
        <v>84</v>
      </c>
      <c r="B10" s="151" t="s">
        <v>156</v>
      </c>
      <c r="C10" s="192" t="s">
        <v>111</v>
      </c>
      <c r="D10" s="213" t="s">
        <v>147</v>
      </c>
      <c r="E10" s="222">
        <v>43374</v>
      </c>
      <c r="F10" s="153" t="s">
        <v>114</v>
      </c>
      <c r="G10" s="155">
        <v>9</v>
      </c>
      <c r="H10" s="156"/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ref="M10" si="0">I10+L10</f>
        <v>4377.7299999999996</v>
      </c>
      <c r="N10" s="160">
        <f t="shared" ref="N10:N14" si="1">VLOOKUP(M10,Tarifa1,1)</f>
        <v>3124.36</v>
      </c>
      <c r="O10" s="160">
        <f t="shared" ref="O10" si="2">M10-N10</f>
        <v>1253.3699999999994</v>
      </c>
      <c r="P10" s="161">
        <f t="shared" ref="P10:P14" si="3">VLOOKUP(M10,Tarifa1,3)</f>
        <v>0.10879999999999999</v>
      </c>
      <c r="Q10" s="160">
        <f t="shared" ref="Q10" si="4">O10*P10</f>
        <v>136.36665599999992</v>
      </c>
      <c r="R10" s="162">
        <f t="shared" ref="R10:R14" si="5">VLOOKUP(M10,Tarifa1,2)</f>
        <v>183.45</v>
      </c>
      <c r="S10" s="160">
        <f t="shared" ref="S10" si="6">Q10+R10</f>
        <v>319.81665599999991</v>
      </c>
      <c r="T10" s="160">
        <f t="shared" ref="T10:T14" si="7">VLOOKUP(M10,Credito1,2)</f>
        <v>0</v>
      </c>
      <c r="U10" s="160">
        <f t="shared" ref="U10" si="8">ROUND(S10-T10,2)</f>
        <v>319.82</v>
      </c>
      <c r="V10" s="159">
        <f t="shared" ref="V10" si="9">-IF(U10&gt;0,0,U10)</f>
        <v>0</v>
      </c>
      <c r="W10" s="159">
        <f t="shared" ref="W10:W14" si="10">IF(I10/15&lt;=SMG,0,IF(U10&lt;0,0,U10))</f>
        <v>319.82</v>
      </c>
      <c r="X10" s="159">
        <f>SUM(W10:W10)</f>
        <v>319.82</v>
      </c>
      <c r="Y10" s="159">
        <f>K10+V10-X10</f>
        <v>4057.9099999999994</v>
      </c>
      <c r="Z10" s="95"/>
    </row>
    <row r="11" spans="1:26" s="96" customFormat="1" ht="126" customHeight="1" x14ac:dyDescent="0.35">
      <c r="A11" s="165"/>
      <c r="B11" s="186">
        <v>188</v>
      </c>
      <c r="C11" s="192" t="s">
        <v>111</v>
      </c>
      <c r="D11" s="264" t="s">
        <v>157</v>
      </c>
      <c r="E11" s="223">
        <v>43389</v>
      </c>
      <c r="F11" s="154" t="s">
        <v>247</v>
      </c>
      <c r="G11" s="155">
        <v>15</v>
      </c>
      <c r="H11" s="156"/>
      <c r="I11" s="157">
        <v>6253</v>
      </c>
      <c r="J11" s="158">
        <v>416.87</v>
      </c>
      <c r="K11" s="157">
        <f>I11</f>
        <v>6253</v>
      </c>
      <c r="L11" s="160">
        <f t="shared" ref="L11" si="11">IF(I11/15&lt;=SMG,0,J11/2)</f>
        <v>208.435</v>
      </c>
      <c r="M11" s="160">
        <f t="shared" ref="M11:M12" si="12">I11+L11</f>
        <v>6461.4350000000004</v>
      </c>
      <c r="N11" s="160">
        <f t="shared" si="1"/>
        <v>6382.81</v>
      </c>
      <c r="O11" s="160">
        <f t="shared" ref="O11:O12" si="13">M11-N11</f>
        <v>78.625</v>
      </c>
      <c r="P11" s="161">
        <f t="shared" si="3"/>
        <v>0.1792</v>
      </c>
      <c r="Q11" s="160">
        <f t="shared" ref="Q11:Q12" si="14">O11*P11</f>
        <v>14.089599999999999</v>
      </c>
      <c r="R11" s="162">
        <f t="shared" si="5"/>
        <v>583.65</v>
      </c>
      <c r="S11" s="160">
        <f t="shared" ref="S11:S12" si="15">Q11+R11</f>
        <v>597.7396</v>
      </c>
      <c r="T11" s="160">
        <f t="shared" si="7"/>
        <v>0</v>
      </c>
      <c r="U11" s="160">
        <f t="shared" ref="U11:U12" si="16">ROUND(S11-T11,2)</f>
        <v>597.74</v>
      </c>
      <c r="V11" s="159">
        <f t="shared" ref="V11:V12" si="17">-IF(U11&gt;0,0,U11)</f>
        <v>0</v>
      </c>
      <c r="W11" s="159">
        <f t="shared" si="10"/>
        <v>597.74</v>
      </c>
      <c r="X11" s="159">
        <f>SUM(W11:W11)</f>
        <v>597.74</v>
      </c>
      <c r="Y11" s="159">
        <f>K11+V11-X11+J11</f>
        <v>6072.13</v>
      </c>
      <c r="Z11" s="95"/>
    </row>
    <row r="12" spans="1:26" s="96" customFormat="1" ht="126" customHeight="1" x14ac:dyDescent="0.35">
      <c r="A12" s="193"/>
      <c r="B12" s="152" t="s">
        <v>226</v>
      </c>
      <c r="C12" s="152" t="s">
        <v>111</v>
      </c>
      <c r="D12" s="214" t="s">
        <v>227</v>
      </c>
      <c r="E12" s="220">
        <v>43512</v>
      </c>
      <c r="F12" s="153" t="s">
        <v>114</v>
      </c>
      <c r="G12" s="155">
        <v>15</v>
      </c>
      <c r="H12" s="156"/>
      <c r="I12" s="157">
        <v>4377.7299999999996</v>
      </c>
      <c r="J12" s="158">
        <v>0</v>
      </c>
      <c r="K12" s="159">
        <f>SUM(I12:J12)</f>
        <v>4377.7299999999996</v>
      </c>
      <c r="L12" s="160">
        <f>IF(I12/15&lt;=SMG,0,J12/2)</f>
        <v>0</v>
      </c>
      <c r="M12" s="160">
        <f t="shared" si="12"/>
        <v>4377.7299999999996</v>
      </c>
      <c r="N12" s="160">
        <f t="shared" si="1"/>
        <v>3124.36</v>
      </c>
      <c r="O12" s="160">
        <f t="shared" si="13"/>
        <v>1253.3699999999994</v>
      </c>
      <c r="P12" s="161">
        <f t="shared" si="3"/>
        <v>0.10879999999999999</v>
      </c>
      <c r="Q12" s="160">
        <f t="shared" si="14"/>
        <v>136.36665599999992</v>
      </c>
      <c r="R12" s="162">
        <f t="shared" si="5"/>
        <v>183.45</v>
      </c>
      <c r="S12" s="160">
        <f t="shared" si="15"/>
        <v>319.81665599999991</v>
      </c>
      <c r="T12" s="160">
        <f t="shared" si="7"/>
        <v>0</v>
      </c>
      <c r="U12" s="160">
        <f t="shared" si="16"/>
        <v>319.82</v>
      </c>
      <c r="V12" s="159">
        <f t="shared" si="17"/>
        <v>0</v>
      </c>
      <c r="W12" s="159">
        <f t="shared" si="10"/>
        <v>319.82</v>
      </c>
      <c r="X12" s="159">
        <f>SUM(W12:W12)</f>
        <v>319.82</v>
      </c>
      <c r="Y12" s="159">
        <f>K12+V12-X12</f>
        <v>4057.9099999999994</v>
      </c>
      <c r="Z12" s="95"/>
    </row>
    <row r="13" spans="1:26" s="96" customFormat="1" ht="126" customHeight="1" x14ac:dyDescent="0.3">
      <c r="A13" s="193"/>
      <c r="B13" s="186">
        <v>284</v>
      </c>
      <c r="C13" s="152" t="s">
        <v>111</v>
      </c>
      <c r="D13" s="215" t="s">
        <v>224</v>
      </c>
      <c r="E13" s="222">
        <v>44473</v>
      </c>
      <c r="F13" s="153" t="s">
        <v>114</v>
      </c>
      <c r="G13" s="155">
        <v>15</v>
      </c>
      <c r="H13" s="156"/>
      <c r="I13" s="157">
        <v>4377.7299999999996</v>
      </c>
      <c r="J13" s="158">
        <v>0</v>
      </c>
      <c r="K13" s="159">
        <f>SUM(I13:J13)</f>
        <v>4377.7299999999996</v>
      </c>
      <c r="L13" s="160">
        <f>IF(I13/15&lt;=SMG,0,J13/2)</f>
        <v>0</v>
      </c>
      <c r="M13" s="160">
        <f t="shared" ref="M13:M14" si="18">I13+L13</f>
        <v>4377.7299999999996</v>
      </c>
      <c r="N13" s="160">
        <f t="shared" si="1"/>
        <v>3124.36</v>
      </c>
      <c r="O13" s="160">
        <f t="shared" ref="O13:O14" si="19">M13-N13</f>
        <v>1253.3699999999994</v>
      </c>
      <c r="P13" s="161">
        <f t="shared" si="3"/>
        <v>0.10879999999999999</v>
      </c>
      <c r="Q13" s="160">
        <f t="shared" ref="Q13:Q14" si="20">O13*P13</f>
        <v>136.36665599999992</v>
      </c>
      <c r="R13" s="162">
        <f t="shared" si="5"/>
        <v>183.45</v>
      </c>
      <c r="S13" s="160">
        <f t="shared" ref="S13:S14" si="21">Q13+R13</f>
        <v>319.81665599999991</v>
      </c>
      <c r="T13" s="160">
        <f t="shared" si="7"/>
        <v>0</v>
      </c>
      <c r="U13" s="160">
        <f t="shared" ref="U13:U14" si="22">ROUND(S13-T13,2)</f>
        <v>319.82</v>
      </c>
      <c r="V13" s="159">
        <f t="shared" ref="V13:V14" si="23">-IF(U13&gt;0,0,U13)</f>
        <v>0</v>
      </c>
      <c r="W13" s="159">
        <f t="shared" si="10"/>
        <v>319.82</v>
      </c>
      <c r="X13" s="159">
        <f>SUM(W13:W13)</f>
        <v>319.82</v>
      </c>
      <c r="Y13" s="159">
        <f>K13+V13-X13</f>
        <v>4057.9099999999994</v>
      </c>
      <c r="Z13" s="95"/>
    </row>
    <row r="14" spans="1:26" s="96" customFormat="1" ht="126" customHeight="1" x14ac:dyDescent="0.3">
      <c r="A14" s="193"/>
      <c r="B14" s="186">
        <v>317</v>
      </c>
      <c r="C14" s="152" t="s">
        <v>111</v>
      </c>
      <c r="D14" s="215" t="s">
        <v>304</v>
      </c>
      <c r="E14" s="222">
        <v>45078</v>
      </c>
      <c r="F14" s="153" t="s">
        <v>114</v>
      </c>
      <c r="G14" s="155">
        <v>15</v>
      </c>
      <c r="H14" s="156"/>
      <c r="I14" s="157">
        <v>4377.7299999999996</v>
      </c>
      <c r="J14" s="158">
        <v>0</v>
      </c>
      <c r="K14" s="159">
        <f>SUM(I14:J14)</f>
        <v>4377.7299999999996</v>
      </c>
      <c r="L14" s="160">
        <f>IF(I14/15&lt;=SMG,0,J14/2)</f>
        <v>0</v>
      </c>
      <c r="M14" s="160">
        <f t="shared" si="18"/>
        <v>4377.7299999999996</v>
      </c>
      <c r="N14" s="160">
        <f t="shared" si="1"/>
        <v>3124.36</v>
      </c>
      <c r="O14" s="160">
        <f t="shared" si="19"/>
        <v>1253.3699999999994</v>
      </c>
      <c r="P14" s="161">
        <f t="shared" si="3"/>
        <v>0.10879999999999999</v>
      </c>
      <c r="Q14" s="160">
        <f t="shared" si="20"/>
        <v>136.36665599999992</v>
      </c>
      <c r="R14" s="162">
        <f t="shared" si="5"/>
        <v>183.45</v>
      </c>
      <c r="S14" s="160">
        <f t="shared" si="21"/>
        <v>319.81665599999991</v>
      </c>
      <c r="T14" s="160">
        <f t="shared" si="7"/>
        <v>0</v>
      </c>
      <c r="U14" s="160">
        <f t="shared" si="22"/>
        <v>319.82</v>
      </c>
      <c r="V14" s="159">
        <f t="shared" si="23"/>
        <v>0</v>
      </c>
      <c r="W14" s="159">
        <f t="shared" si="10"/>
        <v>319.82</v>
      </c>
      <c r="X14" s="159">
        <f>SUM(W14:W14)</f>
        <v>319.82</v>
      </c>
      <c r="Y14" s="159">
        <f>K14+V14-X14</f>
        <v>4057.9099999999994</v>
      </c>
      <c r="Z14" s="95"/>
    </row>
    <row r="15" spans="1:26" ht="17.399999999999999" x14ac:dyDescent="0.3">
      <c r="A15" s="176"/>
      <c r="B15" s="176"/>
      <c r="C15" s="176"/>
      <c r="D15" s="176"/>
      <c r="E15" s="176"/>
      <c r="F15" s="176"/>
      <c r="G15" s="177"/>
      <c r="H15" s="176"/>
      <c r="I15" s="178"/>
      <c r="J15" s="178"/>
      <c r="K15" s="178"/>
      <c r="L15" s="17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6" ht="45" customHeight="1" thickBot="1" x14ac:dyDescent="0.35">
      <c r="A16" s="287" t="s">
        <v>44</v>
      </c>
      <c r="B16" s="288"/>
      <c r="C16" s="288"/>
      <c r="D16" s="288"/>
      <c r="E16" s="288"/>
      <c r="F16" s="288"/>
      <c r="G16" s="288"/>
      <c r="H16" s="289"/>
      <c r="I16" s="163">
        <f t="shared" ref="I16:Y16" si="24">SUM(I10:I15)</f>
        <v>23763.919999999998</v>
      </c>
      <c r="J16" s="163">
        <f t="shared" si="24"/>
        <v>416.87</v>
      </c>
      <c r="K16" s="163">
        <f t="shared" si="24"/>
        <v>23763.919999999998</v>
      </c>
      <c r="L16" s="164">
        <f t="shared" si="24"/>
        <v>208.435</v>
      </c>
      <c r="M16" s="164">
        <f t="shared" si="24"/>
        <v>23972.355</v>
      </c>
      <c r="N16" s="164">
        <f t="shared" si="24"/>
        <v>18880.25</v>
      </c>
      <c r="O16" s="164">
        <f t="shared" si="24"/>
        <v>5092.1049999999977</v>
      </c>
      <c r="P16" s="164">
        <f t="shared" si="24"/>
        <v>0.61439999999999995</v>
      </c>
      <c r="Q16" s="164">
        <f t="shared" si="24"/>
        <v>559.5562239999997</v>
      </c>
      <c r="R16" s="164">
        <f t="shared" si="24"/>
        <v>1317.45</v>
      </c>
      <c r="S16" s="164">
        <f t="shared" si="24"/>
        <v>1877.0062239999997</v>
      </c>
      <c r="T16" s="164">
        <f t="shared" si="24"/>
        <v>0</v>
      </c>
      <c r="U16" s="164">
        <f t="shared" si="24"/>
        <v>1877.0199999999998</v>
      </c>
      <c r="V16" s="163">
        <f t="shared" si="24"/>
        <v>0</v>
      </c>
      <c r="W16" s="163">
        <f t="shared" si="24"/>
        <v>1877.0199999999998</v>
      </c>
      <c r="X16" s="163">
        <f t="shared" si="24"/>
        <v>1877.0199999999998</v>
      </c>
      <c r="Y16" s="163">
        <f t="shared" si="24"/>
        <v>22303.769999999997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B16" zoomScale="68" zoomScaleNormal="68" workbookViewId="0">
      <selection activeCell="V19" sqref="V1:V1048576"/>
    </sheetView>
  </sheetViews>
  <sheetFormatPr baseColWidth="10" defaultColWidth="11.44140625" defaultRowHeight="13.2" x14ac:dyDescent="0.25"/>
  <cols>
    <col min="1" max="1" width="5.5546875" style="70" hidden="1" customWidth="1"/>
    <col min="2" max="2" width="10.5546875" style="70" customWidth="1"/>
    <col min="3" max="3" width="9" style="70" customWidth="1"/>
    <col min="4" max="4" width="15.33203125" style="70" customWidth="1"/>
    <col min="5" max="5" width="22" style="70" customWidth="1"/>
    <col min="6" max="6" width="11.33203125" style="70" hidden="1" customWidth="1"/>
    <col min="7" max="7" width="17.5546875" style="70" customWidth="1"/>
    <col min="8" max="8" width="14" style="70" customWidth="1"/>
    <col min="9" max="9" width="15.44140625" style="70" customWidth="1"/>
    <col min="10" max="10" width="12.6640625" style="70" hidden="1" customWidth="1"/>
    <col min="11" max="11" width="13.109375" style="70" hidden="1" customWidth="1"/>
    <col min="12" max="12" width="14.44140625" style="70" hidden="1" customWidth="1"/>
    <col min="13" max="13" width="15" style="70" hidden="1" customWidth="1"/>
    <col min="14" max="14" width="11" style="70" hidden="1" customWidth="1"/>
    <col min="15" max="16" width="13.109375" style="70" hidden="1" customWidth="1"/>
    <col min="17" max="17" width="15.44140625" style="70" hidden="1" customWidth="1"/>
    <col min="18" max="18" width="10.44140625" style="70" hidden="1" customWidth="1"/>
    <col min="19" max="19" width="13.109375" style="70" hidden="1" customWidth="1"/>
    <col min="20" max="20" width="11.5546875" style="70" customWidth="1"/>
    <col min="21" max="21" width="15.5546875" style="70" customWidth="1"/>
    <col min="22" max="22" width="15.88671875" style="70" customWidth="1"/>
    <col min="23" max="23" width="15.44140625" style="70" customWidth="1"/>
    <col min="24" max="24" width="71" style="70" customWidth="1"/>
    <col min="25" max="25" width="73.44140625" style="70" customWidth="1"/>
    <col min="26" max="16384" width="11.44140625" style="70"/>
  </cols>
  <sheetData>
    <row r="1" spans="1:26" ht="17.399999999999999" x14ac:dyDescent="0.3">
      <c r="A1" s="300" t="s">
        <v>76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4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4"/>
    </row>
    <row r="3" spans="1:26" ht="19.8" x14ac:dyDescent="0.3">
      <c r="A3" s="42" t="s">
        <v>181</v>
      </c>
      <c r="B3" s="291" t="s">
        <v>351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197"/>
      <c r="Z3" s="197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1" t="s">
        <v>1</v>
      </c>
      <c r="H5" s="302"/>
      <c r="I5" s="303"/>
      <c r="J5" s="24" t="s">
        <v>25</v>
      </c>
      <c r="K5" s="25"/>
      <c r="L5" s="304" t="s">
        <v>8</v>
      </c>
      <c r="M5" s="305"/>
      <c r="N5" s="305"/>
      <c r="O5" s="305"/>
      <c r="P5" s="305"/>
      <c r="Q5" s="306"/>
      <c r="R5" s="24" t="s">
        <v>29</v>
      </c>
      <c r="S5" s="24" t="s">
        <v>9</v>
      </c>
      <c r="T5" s="23" t="s">
        <v>52</v>
      </c>
      <c r="U5" s="307" t="s">
        <v>2</v>
      </c>
      <c r="V5" s="308"/>
      <c r="W5" s="23" t="s">
        <v>0</v>
      </c>
      <c r="X5" s="107"/>
      <c r="Y5" s="4"/>
    </row>
    <row r="6" spans="1:26" ht="32.25" customHeight="1" x14ac:dyDescent="0.25">
      <c r="A6" s="26" t="s">
        <v>20</v>
      </c>
      <c r="B6" s="46" t="s">
        <v>99</v>
      </c>
      <c r="C6" s="46" t="s">
        <v>112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273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126</v>
      </c>
      <c r="T7" s="26" t="s">
        <v>51</v>
      </c>
      <c r="U7" s="26"/>
      <c r="V7" s="26" t="s">
        <v>43</v>
      </c>
      <c r="W7" s="26" t="s">
        <v>4</v>
      </c>
      <c r="X7" s="108"/>
      <c r="Y7" s="4"/>
    </row>
    <row r="8" spans="1:26" ht="26.25" customHeight="1" x14ac:dyDescent="0.25">
      <c r="A8" s="39"/>
      <c r="B8" s="106"/>
      <c r="C8" s="106"/>
      <c r="D8" s="104" t="s">
        <v>289</v>
      </c>
      <c r="E8" s="37" t="s">
        <v>60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2"/>
      <c r="Y8" s="4"/>
    </row>
    <row r="9" spans="1:26" ht="78" customHeight="1" x14ac:dyDescent="0.3">
      <c r="A9" s="113" t="s">
        <v>82</v>
      </c>
      <c r="B9" s="152" t="s">
        <v>310</v>
      </c>
      <c r="C9" s="152" t="s">
        <v>111</v>
      </c>
      <c r="D9" s="226">
        <v>45090</v>
      </c>
      <c r="E9" s="153" t="s">
        <v>65</v>
      </c>
      <c r="F9" s="155">
        <v>15</v>
      </c>
      <c r="G9" s="157">
        <v>10293</v>
      </c>
      <c r="H9" s="158">
        <v>0</v>
      </c>
      <c r="I9" s="159">
        <f t="shared" ref="I9" si="0">SUM(G9:H9)</f>
        <v>10293</v>
      </c>
      <c r="J9" s="160">
        <f t="shared" ref="J9:J10" si="1">IF(G9/15&lt;=SMG,0,H9/2)</f>
        <v>0</v>
      </c>
      <c r="K9" s="160">
        <f t="shared" ref="K9:K10" si="2">G9+J9</f>
        <v>10293</v>
      </c>
      <c r="L9" s="160">
        <f t="shared" ref="L9:L10" si="3">VLOOKUP(K9,Tarifa1,1)</f>
        <v>7641.91</v>
      </c>
      <c r="M9" s="160">
        <f>K9-L9</f>
        <v>2651.09</v>
      </c>
      <c r="N9" s="161">
        <f t="shared" ref="N9:N10" si="4">VLOOKUP(K9,Tarifa1,3)</f>
        <v>0.21360000000000001</v>
      </c>
      <c r="O9" s="160">
        <f>M9*N9</f>
        <v>566.27282400000001</v>
      </c>
      <c r="P9" s="162">
        <f t="shared" ref="P9:P10" si="5">VLOOKUP(K9,Tarifa1,2)</f>
        <v>809.25</v>
      </c>
      <c r="Q9" s="160">
        <f>O9+P9</f>
        <v>1375.5228240000001</v>
      </c>
      <c r="R9" s="160">
        <f t="shared" ref="R9:R10" si="6">VLOOKUP(K9,Credito1,2)</f>
        <v>0</v>
      </c>
      <c r="S9" s="160">
        <f>ROUND(Q9-R9,2)</f>
        <v>1375.52</v>
      </c>
      <c r="T9" s="159">
        <f>-IF(S9&gt;0,0,S9)</f>
        <v>0</v>
      </c>
      <c r="U9" s="159">
        <f t="shared" ref="U9:U10" si="7">IF(G9/15&lt;=SMG,0,IF(S9&lt;0,0,S9))</f>
        <v>1375.52</v>
      </c>
      <c r="V9" s="159">
        <f t="shared" ref="V9:V25" si="8">SUM(U9:U9)</f>
        <v>1375.52</v>
      </c>
      <c r="W9" s="159">
        <f>I9+T9-U9</f>
        <v>8917.48</v>
      </c>
      <c r="X9" s="91"/>
      <c r="Y9" s="4"/>
    </row>
    <row r="10" spans="1:26" ht="78" customHeight="1" x14ac:dyDescent="0.3">
      <c r="A10" s="113"/>
      <c r="B10" s="152" t="s">
        <v>312</v>
      </c>
      <c r="C10" s="152" t="s">
        <v>148</v>
      </c>
      <c r="D10" s="227">
        <v>45092</v>
      </c>
      <c r="E10" s="153" t="s">
        <v>78</v>
      </c>
      <c r="F10" s="155"/>
      <c r="G10" s="157">
        <v>8409</v>
      </c>
      <c r="H10" s="158">
        <v>0</v>
      </c>
      <c r="I10" s="159">
        <f t="shared" ref="I10" si="9">SUM(G10:H10)</f>
        <v>8409</v>
      </c>
      <c r="J10" s="160">
        <f t="shared" si="1"/>
        <v>0</v>
      </c>
      <c r="K10" s="160">
        <f t="shared" si="2"/>
        <v>8409</v>
      </c>
      <c r="L10" s="160">
        <f t="shared" si="3"/>
        <v>7641.91</v>
      </c>
      <c r="M10" s="160">
        <f t="shared" ref="M10" si="10">K10-L10</f>
        <v>767.09000000000015</v>
      </c>
      <c r="N10" s="161">
        <f t="shared" si="4"/>
        <v>0.21360000000000001</v>
      </c>
      <c r="O10" s="160">
        <f t="shared" ref="O10" si="11">M10*N10</f>
        <v>163.85042400000003</v>
      </c>
      <c r="P10" s="162">
        <f t="shared" si="5"/>
        <v>809.25</v>
      </c>
      <c r="Q10" s="160">
        <f t="shared" ref="Q10" si="12">O10+P10</f>
        <v>973.10042399999998</v>
      </c>
      <c r="R10" s="160">
        <f t="shared" si="6"/>
        <v>0</v>
      </c>
      <c r="S10" s="160">
        <f t="shared" ref="S10" si="13">ROUND(Q10-R10,2)</f>
        <v>973.1</v>
      </c>
      <c r="T10" s="159">
        <f t="shared" ref="T10" si="14">-IF(S10&gt;0,0,S10)</f>
        <v>0</v>
      </c>
      <c r="U10" s="159">
        <f t="shared" si="7"/>
        <v>973.1</v>
      </c>
      <c r="V10" s="159">
        <f t="shared" si="8"/>
        <v>973.1</v>
      </c>
      <c r="W10" s="159">
        <f t="shared" ref="W10:W25" si="15">I10+T10-V10</f>
        <v>7435.9</v>
      </c>
      <c r="X10" s="91"/>
      <c r="Y10" s="4"/>
    </row>
    <row r="11" spans="1:26" s="96" customFormat="1" ht="78" customHeight="1" x14ac:dyDescent="0.3">
      <c r="A11" s="193"/>
      <c r="B11" s="152" t="s">
        <v>172</v>
      </c>
      <c r="C11" s="152" t="s">
        <v>111</v>
      </c>
      <c r="D11" s="226">
        <v>43601</v>
      </c>
      <c r="E11" s="154" t="s">
        <v>78</v>
      </c>
      <c r="F11" s="155">
        <v>15</v>
      </c>
      <c r="G11" s="157">
        <v>8409</v>
      </c>
      <c r="H11" s="158">
        <v>0</v>
      </c>
      <c r="I11" s="159">
        <f t="shared" ref="I11:I12" si="16">SUM(G11:H11)</f>
        <v>8409</v>
      </c>
      <c r="J11" s="160">
        <f t="shared" ref="J11:J12" si="17">IF(G11/15&lt;=SMG,0,H11/2)</f>
        <v>0</v>
      </c>
      <c r="K11" s="160">
        <f t="shared" ref="K11:K12" si="18">G11+J11</f>
        <v>8409</v>
      </c>
      <c r="L11" s="160">
        <f t="shared" ref="L11:L16" si="19">VLOOKUP(K11,Tarifa1,1)</f>
        <v>7641.91</v>
      </c>
      <c r="M11" s="160">
        <f t="shared" ref="M11:M16" si="20">K11-L11</f>
        <v>767.09000000000015</v>
      </c>
      <c r="N11" s="161">
        <f t="shared" ref="N11:N16" si="21">VLOOKUP(K11,Tarifa1,3)</f>
        <v>0.21360000000000001</v>
      </c>
      <c r="O11" s="160">
        <f t="shared" ref="O11:O16" si="22">M11*N11</f>
        <v>163.85042400000003</v>
      </c>
      <c r="P11" s="162">
        <f t="shared" ref="P11:P16" si="23">VLOOKUP(K11,Tarifa1,2)</f>
        <v>809.25</v>
      </c>
      <c r="Q11" s="160">
        <f t="shared" ref="Q11:Q16" si="24">O11+P11</f>
        <v>973.10042399999998</v>
      </c>
      <c r="R11" s="160">
        <f t="shared" ref="R11:R16" si="25">VLOOKUP(K11,Credito1,2)</f>
        <v>0</v>
      </c>
      <c r="S11" s="160">
        <f t="shared" ref="S11:S16" si="26">ROUND(Q11-R11,2)</f>
        <v>973.1</v>
      </c>
      <c r="T11" s="159">
        <f t="shared" ref="T11:T16" si="27">-IF(S11&gt;0,0,S11)</f>
        <v>0</v>
      </c>
      <c r="U11" s="159">
        <f t="shared" ref="U11:U16" si="28">IF(G11/15&lt;=SMG,0,IF(S11&lt;0,0,S11))</f>
        <v>973.1</v>
      </c>
      <c r="V11" s="159">
        <f t="shared" si="8"/>
        <v>973.1</v>
      </c>
      <c r="W11" s="159">
        <f t="shared" si="15"/>
        <v>7435.9</v>
      </c>
      <c r="X11" s="91"/>
      <c r="Y11" s="4"/>
    </row>
    <row r="12" spans="1:26" s="96" customFormat="1" ht="78" customHeight="1" x14ac:dyDescent="0.3">
      <c r="A12" s="193"/>
      <c r="B12" s="152" t="s">
        <v>186</v>
      </c>
      <c r="C12" s="152" t="s">
        <v>111</v>
      </c>
      <c r="D12" s="226">
        <v>43937</v>
      </c>
      <c r="E12" s="154" t="s">
        <v>252</v>
      </c>
      <c r="F12" s="155">
        <v>15</v>
      </c>
      <c r="G12" s="157">
        <v>8016</v>
      </c>
      <c r="H12" s="158">
        <v>0</v>
      </c>
      <c r="I12" s="159">
        <f t="shared" si="16"/>
        <v>8016</v>
      </c>
      <c r="J12" s="160">
        <f t="shared" si="17"/>
        <v>0</v>
      </c>
      <c r="K12" s="160">
        <f t="shared" si="18"/>
        <v>8016</v>
      </c>
      <c r="L12" s="160">
        <f t="shared" ref="L12" si="29">VLOOKUP(K12,Tarifa1,1)</f>
        <v>7641.91</v>
      </c>
      <c r="M12" s="160">
        <f t="shared" ref="M12" si="30">K12-L12</f>
        <v>374.09000000000015</v>
      </c>
      <c r="N12" s="161">
        <f t="shared" ref="N12" si="31">VLOOKUP(K12,Tarifa1,3)</f>
        <v>0.21360000000000001</v>
      </c>
      <c r="O12" s="160">
        <f t="shared" ref="O12" si="32">M12*N12</f>
        <v>79.905624000000032</v>
      </c>
      <c r="P12" s="162">
        <f t="shared" ref="P12" si="33">VLOOKUP(K12,Tarifa1,2)</f>
        <v>809.25</v>
      </c>
      <c r="Q12" s="160">
        <f t="shared" ref="Q12" si="34">O12+P12</f>
        <v>889.15562399999999</v>
      </c>
      <c r="R12" s="160">
        <f t="shared" ref="R12" si="35">VLOOKUP(K12,Credito1,2)</f>
        <v>0</v>
      </c>
      <c r="S12" s="160">
        <f t="shared" ref="S12" si="36">ROUND(Q12-R12,2)</f>
        <v>889.16</v>
      </c>
      <c r="T12" s="159">
        <f t="shared" ref="T12" si="37">-IF(S12&gt;0,0,S12)</f>
        <v>0</v>
      </c>
      <c r="U12" s="159">
        <f t="shared" ref="U12" si="38">IF(G12/15&lt;=SMG,0,IF(S12&lt;0,0,S12))</f>
        <v>889.16</v>
      </c>
      <c r="V12" s="159">
        <f t="shared" si="8"/>
        <v>889.16</v>
      </c>
      <c r="W12" s="159">
        <f t="shared" si="15"/>
        <v>7126.84</v>
      </c>
      <c r="X12" s="91"/>
      <c r="Y12" s="4"/>
    </row>
    <row r="13" spans="1:26" s="96" customFormat="1" ht="78" customHeight="1" x14ac:dyDescent="0.3">
      <c r="A13" s="193"/>
      <c r="B13" s="152" t="s">
        <v>320</v>
      </c>
      <c r="C13" s="152" t="s">
        <v>111</v>
      </c>
      <c r="D13" s="227">
        <v>45122</v>
      </c>
      <c r="E13" s="154" t="s">
        <v>252</v>
      </c>
      <c r="F13" s="155">
        <v>15</v>
      </c>
      <c r="G13" s="157">
        <v>8016</v>
      </c>
      <c r="H13" s="158">
        <v>0</v>
      </c>
      <c r="I13" s="159">
        <f t="shared" ref="I13" si="39">SUM(G13:H13)</f>
        <v>8016</v>
      </c>
      <c r="J13" s="160">
        <f t="shared" ref="J13" si="40">IF(G13/15&lt;=SMG,0,H13/2)</f>
        <v>0</v>
      </c>
      <c r="K13" s="160">
        <f t="shared" ref="K13" si="41">G13+J13</f>
        <v>8016</v>
      </c>
      <c r="L13" s="160">
        <f t="shared" ref="L13" si="42">VLOOKUP(K13,Tarifa1,1)</f>
        <v>7641.91</v>
      </c>
      <c r="M13" s="160">
        <f t="shared" ref="M13" si="43">K13-L13</f>
        <v>374.09000000000015</v>
      </c>
      <c r="N13" s="161">
        <f t="shared" ref="N13" si="44">VLOOKUP(K13,Tarifa1,3)</f>
        <v>0.21360000000000001</v>
      </c>
      <c r="O13" s="160">
        <f t="shared" ref="O13" si="45">M13*N13</f>
        <v>79.905624000000032</v>
      </c>
      <c r="P13" s="162">
        <f t="shared" ref="P13" si="46">VLOOKUP(K13,Tarifa1,2)</f>
        <v>809.25</v>
      </c>
      <c r="Q13" s="160">
        <f t="shared" ref="Q13" si="47">O13+P13</f>
        <v>889.15562399999999</v>
      </c>
      <c r="R13" s="160">
        <f t="shared" ref="R13" si="48">VLOOKUP(K13,Credito1,2)</f>
        <v>0</v>
      </c>
      <c r="S13" s="160">
        <f t="shared" ref="S13" si="49">ROUND(Q13-R13,2)</f>
        <v>889.16</v>
      </c>
      <c r="T13" s="159">
        <f t="shared" ref="T13" si="50">-IF(S13&gt;0,0,S13)</f>
        <v>0</v>
      </c>
      <c r="U13" s="159">
        <f t="shared" ref="U13" si="51">IF(G13/15&lt;=SMG,0,IF(S13&lt;0,0,S13))</f>
        <v>889.16</v>
      </c>
      <c r="V13" s="159">
        <f t="shared" si="8"/>
        <v>889.16</v>
      </c>
      <c r="W13" s="159">
        <f t="shared" si="15"/>
        <v>7126.84</v>
      </c>
      <c r="X13" s="91"/>
      <c r="Y13" s="4"/>
    </row>
    <row r="14" spans="1:26" s="96" customFormat="1" ht="78" customHeight="1" x14ac:dyDescent="0.3">
      <c r="A14" s="193"/>
      <c r="B14" s="152" t="s">
        <v>103</v>
      </c>
      <c r="C14" s="152" t="s">
        <v>111</v>
      </c>
      <c r="D14" s="227">
        <v>41898</v>
      </c>
      <c r="E14" s="154" t="s">
        <v>79</v>
      </c>
      <c r="F14" s="155">
        <v>15</v>
      </c>
      <c r="G14" s="157">
        <v>7623</v>
      </c>
      <c r="H14" s="158">
        <v>0</v>
      </c>
      <c r="I14" s="159">
        <f t="shared" ref="I14" si="52">SUM(G14:H14)</f>
        <v>7623</v>
      </c>
      <c r="J14" s="160">
        <f t="shared" ref="J14:J15" si="53">IF(G14/15&lt;=SMG,0,H14/2)</f>
        <v>0</v>
      </c>
      <c r="K14" s="160">
        <f t="shared" ref="K14:K15" si="54">G14+J14</f>
        <v>7623</v>
      </c>
      <c r="L14" s="160">
        <f t="shared" si="19"/>
        <v>6382.81</v>
      </c>
      <c r="M14" s="160">
        <f t="shared" si="20"/>
        <v>1240.1899999999996</v>
      </c>
      <c r="N14" s="161">
        <f t="shared" si="21"/>
        <v>0.1792</v>
      </c>
      <c r="O14" s="160">
        <f t="shared" si="22"/>
        <v>222.24204799999993</v>
      </c>
      <c r="P14" s="162">
        <f t="shared" si="23"/>
        <v>583.65</v>
      </c>
      <c r="Q14" s="160">
        <f t="shared" si="24"/>
        <v>805.89204799999993</v>
      </c>
      <c r="R14" s="160">
        <f t="shared" si="25"/>
        <v>0</v>
      </c>
      <c r="S14" s="160">
        <f t="shared" si="26"/>
        <v>805.89</v>
      </c>
      <c r="T14" s="159">
        <f t="shared" si="27"/>
        <v>0</v>
      </c>
      <c r="U14" s="159">
        <f t="shared" si="28"/>
        <v>805.89</v>
      </c>
      <c r="V14" s="159">
        <f t="shared" si="8"/>
        <v>805.89</v>
      </c>
      <c r="W14" s="159">
        <f t="shared" si="15"/>
        <v>6817.11</v>
      </c>
      <c r="X14" s="92"/>
      <c r="Y14" s="4"/>
    </row>
    <row r="15" spans="1:26" ht="78" customHeight="1" x14ac:dyDescent="0.3">
      <c r="A15" s="193"/>
      <c r="B15" s="152" t="s">
        <v>182</v>
      </c>
      <c r="C15" s="152" t="s">
        <v>111</v>
      </c>
      <c r="D15" s="226">
        <v>43831</v>
      </c>
      <c r="E15" s="154" t="s">
        <v>79</v>
      </c>
      <c r="F15" s="195">
        <v>15</v>
      </c>
      <c r="G15" s="157">
        <v>7623</v>
      </c>
      <c r="H15" s="158">
        <v>0</v>
      </c>
      <c r="I15" s="159">
        <f t="shared" ref="I15" si="55">SUM(G15:H15)</f>
        <v>7623</v>
      </c>
      <c r="J15" s="160">
        <f t="shared" si="53"/>
        <v>0</v>
      </c>
      <c r="K15" s="160">
        <f t="shared" si="54"/>
        <v>7623</v>
      </c>
      <c r="L15" s="160">
        <f t="shared" si="19"/>
        <v>6382.81</v>
      </c>
      <c r="M15" s="160">
        <f t="shared" si="20"/>
        <v>1240.1899999999996</v>
      </c>
      <c r="N15" s="161">
        <f t="shared" si="21"/>
        <v>0.1792</v>
      </c>
      <c r="O15" s="160">
        <f t="shared" si="22"/>
        <v>222.24204799999993</v>
      </c>
      <c r="P15" s="162">
        <f t="shared" si="23"/>
        <v>583.65</v>
      </c>
      <c r="Q15" s="160">
        <f t="shared" si="24"/>
        <v>805.89204799999993</v>
      </c>
      <c r="R15" s="160">
        <f t="shared" si="25"/>
        <v>0</v>
      </c>
      <c r="S15" s="160">
        <f t="shared" si="26"/>
        <v>805.89</v>
      </c>
      <c r="T15" s="159">
        <f t="shared" si="27"/>
        <v>0</v>
      </c>
      <c r="U15" s="159">
        <f t="shared" si="28"/>
        <v>805.89</v>
      </c>
      <c r="V15" s="159">
        <f t="shared" si="8"/>
        <v>805.89</v>
      </c>
      <c r="W15" s="159">
        <f t="shared" si="15"/>
        <v>6817.11</v>
      </c>
      <c r="X15" s="92"/>
      <c r="Y15" s="4"/>
    </row>
    <row r="16" spans="1:26" ht="78" customHeight="1" x14ac:dyDescent="0.3">
      <c r="A16" s="193"/>
      <c r="B16" s="152" t="s">
        <v>249</v>
      </c>
      <c r="C16" s="152" t="s">
        <v>111</v>
      </c>
      <c r="D16" s="226">
        <v>44608</v>
      </c>
      <c r="E16" s="154" t="s">
        <v>79</v>
      </c>
      <c r="F16" s="155"/>
      <c r="G16" s="157">
        <v>7623</v>
      </c>
      <c r="H16" s="158">
        <v>0</v>
      </c>
      <c r="I16" s="159">
        <f t="shared" ref="I16" si="56">SUM(G16:H16)</f>
        <v>7623</v>
      </c>
      <c r="J16" s="160">
        <f t="shared" ref="J16:J17" si="57">IF(G16/15&lt;=SMG,0,H16/2)</f>
        <v>0</v>
      </c>
      <c r="K16" s="160">
        <f t="shared" ref="K16:K17" si="58">G16+J16</f>
        <v>7623</v>
      </c>
      <c r="L16" s="160">
        <f t="shared" si="19"/>
        <v>6382.81</v>
      </c>
      <c r="M16" s="160">
        <f t="shared" si="20"/>
        <v>1240.1899999999996</v>
      </c>
      <c r="N16" s="161">
        <f t="shared" si="21"/>
        <v>0.1792</v>
      </c>
      <c r="O16" s="160">
        <f t="shared" si="22"/>
        <v>222.24204799999993</v>
      </c>
      <c r="P16" s="162">
        <f t="shared" si="23"/>
        <v>583.65</v>
      </c>
      <c r="Q16" s="160">
        <f t="shared" si="24"/>
        <v>805.89204799999993</v>
      </c>
      <c r="R16" s="160">
        <f t="shared" si="25"/>
        <v>0</v>
      </c>
      <c r="S16" s="160">
        <f t="shared" si="26"/>
        <v>805.89</v>
      </c>
      <c r="T16" s="159">
        <f t="shared" si="27"/>
        <v>0</v>
      </c>
      <c r="U16" s="159">
        <f t="shared" si="28"/>
        <v>805.89</v>
      </c>
      <c r="V16" s="159">
        <f t="shared" si="8"/>
        <v>805.89</v>
      </c>
      <c r="W16" s="159">
        <f t="shared" si="15"/>
        <v>6817.11</v>
      </c>
      <c r="X16" s="92"/>
      <c r="Y16" s="4"/>
    </row>
    <row r="17" spans="1:25" ht="78" customHeight="1" x14ac:dyDescent="0.3">
      <c r="A17" s="193"/>
      <c r="B17" s="152" t="s">
        <v>293</v>
      </c>
      <c r="C17" s="152" t="s">
        <v>111</v>
      </c>
      <c r="D17" s="227">
        <v>44986</v>
      </c>
      <c r="E17" s="154" t="s">
        <v>79</v>
      </c>
      <c r="F17" s="155"/>
      <c r="G17" s="157">
        <v>7623</v>
      </c>
      <c r="H17" s="158">
        <v>0</v>
      </c>
      <c r="I17" s="159">
        <f t="shared" ref="I17" si="59">SUM(G17:H17)</f>
        <v>7623</v>
      </c>
      <c r="J17" s="160">
        <f t="shared" si="57"/>
        <v>0</v>
      </c>
      <c r="K17" s="160">
        <f t="shared" si="58"/>
        <v>7623</v>
      </c>
      <c r="L17" s="160">
        <f t="shared" ref="L17" si="60">VLOOKUP(K17,Tarifa1,1)</f>
        <v>6382.81</v>
      </c>
      <c r="M17" s="160">
        <f t="shared" ref="M17" si="61">K17-L17</f>
        <v>1240.1899999999996</v>
      </c>
      <c r="N17" s="161">
        <f t="shared" ref="N17" si="62">VLOOKUP(K17,Tarifa1,3)</f>
        <v>0.1792</v>
      </c>
      <c r="O17" s="160">
        <f t="shared" ref="O17" si="63">M17*N17</f>
        <v>222.24204799999993</v>
      </c>
      <c r="P17" s="162">
        <f t="shared" ref="P17" si="64">VLOOKUP(K17,Tarifa1,2)</f>
        <v>583.65</v>
      </c>
      <c r="Q17" s="160">
        <f t="shared" ref="Q17" si="65">O17+P17</f>
        <v>805.89204799999993</v>
      </c>
      <c r="R17" s="160">
        <f t="shared" ref="R17" si="66">VLOOKUP(K17,Credito1,2)</f>
        <v>0</v>
      </c>
      <c r="S17" s="160">
        <f t="shared" ref="S17" si="67">ROUND(Q17-R17,2)</f>
        <v>805.89</v>
      </c>
      <c r="T17" s="159">
        <f t="shared" ref="T17" si="68">-IF(S17&gt;0,0,S17)</f>
        <v>0</v>
      </c>
      <c r="U17" s="159">
        <f t="shared" ref="U17" si="69">IF(G17/15&lt;=SMG,0,IF(S17&lt;0,0,S17))</f>
        <v>805.89</v>
      </c>
      <c r="V17" s="159">
        <f t="shared" si="8"/>
        <v>805.89</v>
      </c>
      <c r="W17" s="159">
        <f t="shared" si="15"/>
        <v>6817.11</v>
      </c>
      <c r="X17" s="92"/>
      <c r="Y17" s="4"/>
    </row>
    <row r="18" spans="1:25" ht="78" customHeight="1" x14ac:dyDescent="0.3">
      <c r="A18" s="193"/>
      <c r="B18" s="152" t="s">
        <v>311</v>
      </c>
      <c r="C18" s="152" t="s">
        <v>111</v>
      </c>
      <c r="D18" s="227">
        <v>45092</v>
      </c>
      <c r="E18" s="154" t="s">
        <v>79</v>
      </c>
      <c r="F18" s="155"/>
      <c r="G18" s="157">
        <v>7623</v>
      </c>
      <c r="H18" s="158">
        <v>0</v>
      </c>
      <c r="I18" s="159">
        <f t="shared" ref="I18" si="70">SUM(G18:H18)</f>
        <v>7623</v>
      </c>
      <c r="J18" s="160">
        <f t="shared" ref="J18" si="71">IF(G18/15&lt;=SMG,0,H18/2)</f>
        <v>0</v>
      </c>
      <c r="K18" s="160">
        <f t="shared" ref="K18" si="72">G18+J18</f>
        <v>7623</v>
      </c>
      <c r="L18" s="160">
        <f t="shared" ref="L18" si="73">VLOOKUP(K18,Tarifa1,1)</f>
        <v>6382.81</v>
      </c>
      <c r="M18" s="160">
        <f t="shared" ref="M18" si="74">K18-L18</f>
        <v>1240.1899999999996</v>
      </c>
      <c r="N18" s="161">
        <f t="shared" ref="N18" si="75">VLOOKUP(K18,Tarifa1,3)</f>
        <v>0.1792</v>
      </c>
      <c r="O18" s="160">
        <f t="shared" ref="O18" si="76">M18*N18</f>
        <v>222.24204799999993</v>
      </c>
      <c r="P18" s="162">
        <f t="shared" ref="P18" si="77">VLOOKUP(K18,Tarifa1,2)</f>
        <v>583.65</v>
      </c>
      <c r="Q18" s="160">
        <f t="shared" ref="Q18" si="78">O18+P18</f>
        <v>805.89204799999993</v>
      </c>
      <c r="R18" s="160">
        <f t="shared" ref="R18" si="79">VLOOKUP(K18,Credito1,2)</f>
        <v>0</v>
      </c>
      <c r="S18" s="160">
        <f t="shared" ref="S18" si="80">ROUND(Q18-R18,2)</f>
        <v>805.89</v>
      </c>
      <c r="T18" s="159">
        <f t="shared" ref="T18" si="81">-IF(S18&gt;0,0,S18)</f>
        <v>0</v>
      </c>
      <c r="U18" s="159">
        <f t="shared" ref="U18" si="82">IF(G18/15&lt;=SMG,0,IF(S18&lt;0,0,S18))</f>
        <v>805.89</v>
      </c>
      <c r="V18" s="159">
        <f t="shared" si="8"/>
        <v>805.89</v>
      </c>
      <c r="W18" s="159">
        <f t="shared" si="15"/>
        <v>6817.11</v>
      </c>
      <c r="X18" s="92"/>
      <c r="Y18" s="4"/>
    </row>
    <row r="19" spans="1:25" ht="78" customHeight="1" x14ac:dyDescent="0.3">
      <c r="A19" s="193"/>
      <c r="B19" s="152" t="s">
        <v>313</v>
      </c>
      <c r="C19" s="152" t="s">
        <v>111</v>
      </c>
      <c r="D19" s="227">
        <v>45096</v>
      </c>
      <c r="E19" s="154" t="s">
        <v>79</v>
      </c>
      <c r="F19" s="155"/>
      <c r="G19" s="157">
        <v>7623</v>
      </c>
      <c r="H19" s="158">
        <v>0</v>
      </c>
      <c r="I19" s="159">
        <f t="shared" ref="I19" si="83">SUM(G19:H19)</f>
        <v>7623</v>
      </c>
      <c r="J19" s="160">
        <f t="shared" ref="J19" si="84">IF(G19/15&lt;=SMG,0,H19/2)</f>
        <v>0</v>
      </c>
      <c r="K19" s="160">
        <f t="shared" ref="K19" si="85">G19+J19</f>
        <v>7623</v>
      </c>
      <c r="L19" s="160">
        <f t="shared" ref="L19" si="86">VLOOKUP(K19,Tarifa1,1)</f>
        <v>6382.81</v>
      </c>
      <c r="M19" s="160">
        <f t="shared" ref="M19" si="87">K19-L19</f>
        <v>1240.1899999999996</v>
      </c>
      <c r="N19" s="161">
        <f t="shared" ref="N19" si="88">VLOOKUP(K19,Tarifa1,3)</f>
        <v>0.1792</v>
      </c>
      <c r="O19" s="160">
        <f t="shared" ref="O19" si="89">M19*N19</f>
        <v>222.24204799999993</v>
      </c>
      <c r="P19" s="162">
        <f t="shared" ref="P19" si="90">VLOOKUP(K19,Tarifa1,2)</f>
        <v>583.65</v>
      </c>
      <c r="Q19" s="160">
        <f t="shared" ref="Q19" si="91">O19+P19</f>
        <v>805.89204799999993</v>
      </c>
      <c r="R19" s="160">
        <f t="shared" ref="R19" si="92">VLOOKUP(K19,Credito1,2)</f>
        <v>0</v>
      </c>
      <c r="S19" s="160">
        <f t="shared" ref="S19" si="93">ROUND(Q19-R19,2)</f>
        <v>805.89</v>
      </c>
      <c r="T19" s="159">
        <f t="shared" ref="T19" si="94">-IF(S19&gt;0,0,S19)</f>
        <v>0</v>
      </c>
      <c r="U19" s="159">
        <f t="shared" ref="U19" si="95">IF(G19/15&lt;=SMG,0,IF(S19&lt;0,0,S19))</f>
        <v>805.89</v>
      </c>
      <c r="V19" s="159">
        <f t="shared" si="8"/>
        <v>805.89</v>
      </c>
      <c r="W19" s="159">
        <f t="shared" si="15"/>
        <v>6817.11</v>
      </c>
      <c r="X19" s="92"/>
      <c r="Y19" s="4"/>
    </row>
    <row r="20" spans="1:25" ht="78" customHeight="1" x14ac:dyDescent="0.3">
      <c r="A20" s="193"/>
      <c r="B20" s="152" t="s">
        <v>326</v>
      </c>
      <c r="C20" s="152" t="s">
        <v>111</v>
      </c>
      <c r="D20" s="227">
        <v>45132</v>
      </c>
      <c r="E20" s="154" t="s">
        <v>79</v>
      </c>
      <c r="F20" s="155"/>
      <c r="G20" s="157">
        <v>7623</v>
      </c>
      <c r="H20" s="158">
        <v>0</v>
      </c>
      <c r="I20" s="159">
        <f t="shared" ref="I20" si="96">SUM(G20:H20)</f>
        <v>7623</v>
      </c>
      <c r="J20" s="160">
        <f t="shared" ref="J20" si="97">IF(G20/15&lt;=SMG,0,H20/2)</f>
        <v>0</v>
      </c>
      <c r="K20" s="160">
        <f t="shared" ref="K20" si="98">G20+J20</f>
        <v>7623</v>
      </c>
      <c r="L20" s="160">
        <f t="shared" ref="L20" si="99">VLOOKUP(K20,Tarifa1,1)</f>
        <v>6382.81</v>
      </c>
      <c r="M20" s="160">
        <f t="shared" ref="M20" si="100">K20-L20</f>
        <v>1240.1899999999996</v>
      </c>
      <c r="N20" s="161">
        <f t="shared" ref="N20" si="101">VLOOKUP(K20,Tarifa1,3)</f>
        <v>0.1792</v>
      </c>
      <c r="O20" s="160">
        <f t="shared" ref="O20" si="102">M20*N20</f>
        <v>222.24204799999993</v>
      </c>
      <c r="P20" s="162">
        <f t="shared" ref="P20" si="103">VLOOKUP(K20,Tarifa1,2)</f>
        <v>583.65</v>
      </c>
      <c r="Q20" s="160">
        <f t="shared" ref="Q20" si="104">O20+P20</f>
        <v>805.89204799999993</v>
      </c>
      <c r="R20" s="160">
        <f t="shared" ref="R20" si="105">VLOOKUP(K20,Credito1,2)</f>
        <v>0</v>
      </c>
      <c r="S20" s="160">
        <f t="shared" ref="S20" si="106">ROUND(Q20-R20,2)</f>
        <v>805.89</v>
      </c>
      <c r="T20" s="159">
        <f t="shared" ref="T20" si="107">-IF(S20&gt;0,0,S20)</f>
        <v>0</v>
      </c>
      <c r="U20" s="159">
        <f t="shared" ref="U20" si="108">IF(G20/15&lt;=SMG,0,IF(S20&lt;0,0,S20))</f>
        <v>805.89</v>
      </c>
      <c r="V20" s="159">
        <f t="shared" si="8"/>
        <v>805.89</v>
      </c>
      <c r="W20" s="159">
        <f t="shared" si="15"/>
        <v>6817.11</v>
      </c>
      <c r="X20" s="92"/>
      <c r="Y20" s="4"/>
    </row>
    <row r="21" spans="1:25" ht="78" customHeight="1" x14ac:dyDescent="0.3">
      <c r="A21" s="193"/>
      <c r="B21" s="152" t="s">
        <v>324</v>
      </c>
      <c r="C21" s="152" t="s">
        <v>111</v>
      </c>
      <c r="D21" s="227">
        <v>45139</v>
      </c>
      <c r="E21" s="154" t="s">
        <v>79</v>
      </c>
      <c r="F21" s="155"/>
      <c r="G21" s="157">
        <v>7623</v>
      </c>
      <c r="H21" s="158">
        <v>0</v>
      </c>
      <c r="I21" s="159">
        <f t="shared" ref="I21" si="109">SUM(G21:H21)</f>
        <v>7623</v>
      </c>
      <c r="J21" s="160">
        <f t="shared" ref="J21" si="110">IF(G21/15&lt;=SMG,0,H21/2)</f>
        <v>0</v>
      </c>
      <c r="K21" s="160">
        <f t="shared" ref="K21" si="111">G21+J21</f>
        <v>7623</v>
      </c>
      <c r="L21" s="160">
        <f t="shared" ref="L21" si="112">VLOOKUP(K21,Tarifa1,1)</f>
        <v>6382.81</v>
      </c>
      <c r="M21" s="160">
        <f t="shared" ref="M21" si="113">K21-L21</f>
        <v>1240.1899999999996</v>
      </c>
      <c r="N21" s="161">
        <f t="shared" ref="N21" si="114">VLOOKUP(K21,Tarifa1,3)</f>
        <v>0.1792</v>
      </c>
      <c r="O21" s="160">
        <f t="shared" ref="O21" si="115">M21*N21</f>
        <v>222.24204799999993</v>
      </c>
      <c r="P21" s="162">
        <f t="shared" ref="P21" si="116">VLOOKUP(K21,Tarifa1,2)</f>
        <v>583.65</v>
      </c>
      <c r="Q21" s="160">
        <f t="shared" ref="Q21" si="117">O21+P21</f>
        <v>805.89204799999993</v>
      </c>
      <c r="R21" s="160">
        <f t="shared" ref="R21" si="118">VLOOKUP(K21,Credito1,2)</f>
        <v>0</v>
      </c>
      <c r="S21" s="160">
        <f t="shared" ref="S21" si="119">ROUND(Q21-R21,2)</f>
        <v>805.89</v>
      </c>
      <c r="T21" s="159">
        <f t="shared" ref="T21" si="120">-IF(S21&gt;0,0,S21)</f>
        <v>0</v>
      </c>
      <c r="U21" s="159">
        <f t="shared" ref="U21" si="121">IF(G21/15&lt;=SMG,0,IF(S21&lt;0,0,S21))</f>
        <v>805.89</v>
      </c>
      <c r="V21" s="159">
        <f t="shared" si="8"/>
        <v>805.89</v>
      </c>
      <c r="W21" s="159">
        <f t="shared" si="15"/>
        <v>6817.11</v>
      </c>
      <c r="X21" s="92"/>
      <c r="Y21" s="4"/>
    </row>
    <row r="22" spans="1:25" ht="78" customHeight="1" x14ac:dyDescent="0.3">
      <c r="A22" s="193"/>
      <c r="B22" s="152" t="s">
        <v>327</v>
      </c>
      <c r="C22" s="152" t="s">
        <v>111</v>
      </c>
      <c r="D22" s="227">
        <v>45168</v>
      </c>
      <c r="E22" s="154" t="s">
        <v>79</v>
      </c>
      <c r="F22" s="155"/>
      <c r="G22" s="157">
        <v>7623</v>
      </c>
      <c r="H22" s="158">
        <v>0</v>
      </c>
      <c r="I22" s="159">
        <f t="shared" ref="I22:I23" si="122">SUM(G22:H22)</f>
        <v>7623</v>
      </c>
      <c r="J22" s="160">
        <f t="shared" ref="J22:J23" si="123">IF(G22/15&lt;=SMG,0,H22/2)</f>
        <v>0</v>
      </c>
      <c r="K22" s="160">
        <f t="shared" ref="K22:K23" si="124">G22+J22</f>
        <v>7623</v>
      </c>
      <c r="L22" s="160">
        <f t="shared" ref="L22:L23" si="125">VLOOKUP(K22,Tarifa1,1)</f>
        <v>6382.81</v>
      </c>
      <c r="M22" s="160">
        <f t="shared" ref="M22:M23" si="126">K22-L22</f>
        <v>1240.1899999999996</v>
      </c>
      <c r="N22" s="161">
        <f t="shared" ref="N22:N23" si="127">VLOOKUP(K22,Tarifa1,3)</f>
        <v>0.1792</v>
      </c>
      <c r="O22" s="160">
        <f t="shared" ref="O22:O23" si="128">M22*N22</f>
        <v>222.24204799999993</v>
      </c>
      <c r="P22" s="162">
        <f t="shared" ref="P22:P23" si="129">VLOOKUP(K22,Tarifa1,2)</f>
        <v>583.65</v>
      </c>
      <c r="Q22" s="160">
        <f t="shared" ref="Q22:Q23" si="130">O22+P22</f>
        <v>805.89204799999993</v>
      </c>
      <c r="R22" s="160">
        <f t="shared" ref="R22:R23" si="131">VLOOKUP(K22,Credito1,2)</f>
        <v>0</v>
      </c>
      <c r="S22" s="160">
        <f t="shared" ref="S22:S23" si="132">ROUND(Q22-R22,2)</f>
        <v>805.89</v>
      </c>
      <c r="T22" s="159">
        <f t="shared" ref="T22:T23" si="133">-IF(S22&gt;0,0,S22)</f>
        <v>0</v>
      </c>
      <c r="U22" s="159">
        <f t="shared" ref="U22:U23" si="134">IF(G22/15&lt;=SMG,0,IF(S22&lt;0,0,S22))</f>
        <v>805.89</v>
      </c>
      <c r="V22" s="159">
        <f t="shared" si="8"/>
        <v>805.89</v>
      </c>
      <c r="W22" s="159">
        <f t="shared" si="15"/>
        <v>6817.11</v>
      </c>
      <c r="X22" s="92"/>
      <c r="Y22" s="4"/>
    </row>
    <row r="23" spans="1:25" ht="78" customHeight="1" x14ac:dyDescent="0.3">
      <c r="A23" s="193"/>
      <c r="B23" s="152" t="s">
        <v>328</v>
      </c>
      <c r="C23" s="152" t="s">
        <v>111</v>
      </c>
      <c r="D23" s="227">
        <v>45168</v>
      </c>
      <c r="E23" s="154" t="s">
        <v>79</v>
      </c>
      <c r="F23" s="155"/>
      <c r="G23" s="157">
        <v>7623</v>
      </c>
      <c r="H23" s="158">
        <v>0</v>
      </c>
      <c r="I23" s="159">
        <f t="shared" si="122"/>
        <v>7623</v>
      </c>
      <c r="J23" s="160">
        <f t="shared" si="123"/>
        <v>0</v>
      </c>
      <c r="K23" s="160">
        <f t="shared" si="124"/>
        <v>7623</v>
      </c>
      <c r="L23" s="160">
        <f t="shared" si="125"/>
        <v>6382.81</v>
      </c>
      <c r="M23" s="160">
        <f t="shared" si="126"/>
        <v>1240.1899999999996</v>
      </c>
      <c r="N23" s="161">
        <f t="shared" si="127"/>
        <v>0.1792</v>
      </c>
      <c r="O23" s="160">
        <f t="shared" si="128"/>
        <v>222.24204799999993</v>
      </c>
      <c r="P23" s="162">
        <f t="shared" si="129"/>
        <v>583.65</v>
      </c>
      <c r="Q23" s="160">
        <f t="shared" si="130"/>
        <v>805.89204799999993</v>
      </c>
      <c r="R23" s="160">
        <f t="shared" si="131"/>
        <v>0</v>
      </c>
      <c r="S23" s="160">
        <f t="shared" si="132"/>
        <v>805.89</v>
      </c>
      <c r="T23" s="159">
        <f t="shared" si="133"/>
        <v>0</v>
      </c>
      <c r="U23" s="159">
        <f t="shared" si="134"/>
        <v>805.89</v>
      </c>
      <c r="V23" s="159">
        <f t="shared" si="8"/>
        <v>805.89</v>
      </c>
      <c r="W23" s="159">
        <f t="shared" si="15"/>
        <v>6817.11</v>
      </c>
      <c r="X23" s="92"/>
      <c r="Y23" s="4"/>
    </row>
    <row r="24" spans="1:25" ht="78" customHeight="1" x14ac:dyDescent="0.3">
      <c r="A24" s="193"/>
      <c r="B24" s="152" t="s">
        <v>338</v>
      </c>
      <c r="C24" s="152" t="s">
        <v>111</v>
      </c>
      <c r="D24" s="227">
        <v>45192</v>
      </c>
      <c r="E24" s="154" t="s">
        <v>79</v>
      </c>
      <c r="F24" s="155"/>
      <c r="G24" s="157">
        <v>7623</v>
      </c>
      <c r="H24" s="158">
        <v>0</v>
      </c>
      <c r="I24" s="159">
        <f t="shared" ref="I24:I25" si="135">SUM(G24:H24)</f>
        <v>7623</v>
      </c>
      <c r="J24" s="160">
        <f t="shared" ref="J24:J25" si="136">IF(G24/15&lt;=SMG,0,H24/2)</f>
        <v>0</v>
      </c>
      <c r="K24" s="160">
        <f t="shared" ref="K24:K25" si="137">G24+J24</f>
        <v>7623</v>
      </c>
      <c r="L24" s="160">
        <f t="shared" ref="L24:L25" si="138">VLOOKUP(K24,Tarifa1,1)</f>
        <v>6382.81</v>
      </c>
      <c r="M24" s="160">
        <f t="shared" ref="M24:M25" si="139">K24-L24</f>
        <v>1240.1899999999996</v>
      </c>
      <c r="N24" s="161">
        <f t="shared" ref="N24:N25" si="140">VLOOKUP(K24,Tarifa1,3)</f>
        <v>0.1792</v>
      </c>
      <c r="O24" s="160">
        <f t="shared" ref="O24:O25" si="141">M24*N24</f>
        <v>222.24204799999993</v>
      </c>
      <c r="P24" s="162">
        <f t="shared" ref="P24:P25" si="142">VLOOKUP(K24,Tarifa1,2)</f>
        <v>583.65</v>
      </c>
      <c r="Q24" s="160">
        <f t="shared" ref="Q24:Q25" si="143">O24+P24</f>
        <v>805.89204799999993</v>
      </c>
      <c r="R24" s="160">
        <f t="shared" ref="R24:R25" si="144">VLOOKUP(K24,Credito1,2)</f>
        <v>0</v>
      </c>
      <c r="S24" s="160">
        <f t="shared" ref="S24:S25" si="145">ROUND(Q24-R24,2)</f>
        <v>805.89</v>
      </c>
      <c r="T24" s="159">
        <f t="shared" ref="T24:T25" si="146">-IF(S24&gt;0,0,S24)</f>
        <v>0</v>
      </c>
      <c r="U24" s="159">
        <f t="shared" ref="U24:U25" si="147">IF(G24/15&lt;=SMG,0,IF(S24&lt;0,0,S24))</f>
        <v>805.89</v>
      </c>
      <c r="V24" s="159">
        <f t="shared" si="8"/>
        <v>805.89</v>
      </c>
      <c r="W24" s="159">
        <f t="shared" si="15"/>
        <v>6817.11</v>
      </c>
      <c r="X24" s="92"/>
      <c r="Y24" s="4"/>
    </row>
    <row r="25" spans="1:25" ht="78" customHeight="1" x14ac:dyDescent="0.3">
      <c r="A25" s="193"/>
      <c r="B25" s="152" t="s">
        <v>344</v>
      </c>
      <c r="C25" s="152" t="s">
        <v>148</v>
      </c>
      <c r="D25" s="227">
        <v>45200</v>
      </c>
      <c r="E25" s="154" t="s">
        <v>79</v>
      </c>
      <c r="F25" s="155"/>
      <c r="G25" s="157">
        <v>7623</v>
      </c>
      <c r="H25" s="158">
        <v>0</v>
      </c>
      <c r="I25" s="159">
        <f t="shared" si="135"/>
        <v>7623</v>
      </c>
      <c r="J25" s="160">
        <f t="shared" si="136"/>
        <v>0</v>
      </c>
      <c r="K25" s="160">
        <f t="shared" si="137"/>
        <v>7623</v>
      </c>
      <c r="L25" s="160">
        <f t="shared" si="138"/>
        <v>6382.81</v>
      </c>
      <c r="M25" s="160">
        <f t="shared" si="139"/>
        <v>1240.1899999999996</v>
      </c>
      <c r="N25" s="161">
        <f t="shared" si="140"/>
        <v>0.1792</v>
      </c>
      <c r="O25" s="160">
        <f t="shared" si="141"/>
        <v>222.24204799999993</v>
      </c>
      <c r="P25" s="162">
        <f t="shared" si="142"/>
        <v>583.65</v>
      </c>
      <c r="Q25" s="160">
        <f t="shared" si="143"/>
        <v>805.89204799999993</v>
      </c>
      <c r="R25" s="160">
        <f t="shared" si="144"/>
        <v>0</v>
      </c>
      <c r="S25" s="160">
        <f t="shared" si="145"/>
        <v>805.89</v>
      </c>
      <c r="T25" s="159">
        <f t="shared" si="146"/>
        <v>0</v>
      </c>
      <c r="U25" s="159">
        <f t="shared" si="147"/>
        <v>805.89</v>
      </c>
      <c r="V25" s="159">
        <f t="shared" si="8"/>
        <v>805.89</v>
      </c>
      <c r="W25" s="159">
        <f t="shared" si="15"/>
        <v>6817.11</v>
      </c>
      <c r="X25" s="92"/>
      <c r="Y25" s="4"/>
    </row>
    <row r="26" spans="1:25" ht="29.25" customHeight="1" thickBot="1" x14ac:dyDescent="0.35">
      <c r="A26" s="287" t="s">
        <v>44</v>
      </c>
      <c r="B26" s="288"/>
      <c r="C26" s="288"/>
      <c r="D26" s="288"/>
      <c r="E26" s="288"/>
      <c r="F26" s="288"/>
      <c r="G26" s="163">
        <f>SUM(G9:G25)</f>
        <v>134619</v>
      </c>
      <c r="H26" s="163">
        <f>SUM(H9:H25)</f>
        <v>0</v>
      </c>
      <c r="I26" s="163">
        <f>SUM(I9:I25)</f>
        <v>134619</v>
      </c>
      <c r="J26" s="164">
        <f t="shared" ref="J26:S26" si="148">SUM(J9:J14)</f>
        <v>0</v>
      </c>
      <c r="K26" s="164">
        <f t="shared" si="148"/>
        <v>50766</v>
      </c>
      <c r="L26" s="164">
        <f t="shared" si="148"/>
        <v>44592.36</v>
      </c>
      <c r="M26" s="164">
        <f t="shared" si="148"/>
        <v>6173.64</v>
      </c>
      <c r="N26" s="164">
        <f t="shared" si="148"/>
        <v>1.2472000000000001</v>
      </c>
      <c r="O26" s="164">
        <f t="shared" si="148"/>
        <v>1276.0269679999999</v>
      </c>
      <c r="P26" s="164">
        <f t="shared" si="148"/>
        <v>4629.8999999999996</v>
      </c>
      <c r="Q26" s="164">
        <f t="shared" si="148"/>
        <v>5905.9269679999998</v>
      </c>
      <c r="R26" s="164">
        <f t="shared" si="148"/>
        <v>0</v>
      </c>
      <c r="S26" s="164">
        <f t="shared" si="148"/>
        <v>5905.93</v>
      </c>
      <c r="T26" s="163">
        <f>SUM(T9:T25)</f>
        <v>0</v>
      </c>
      <c r="U26" s="163">
        <f>SUM(U9:U25)</f>
        <v>14770.719999999996</v>
      </c>
      <c r="V26" s="163">
        <f>SUM(V9:V25)</f>
        <v>14770.719999999996</v>
      </c>
      <c r="W26" s="163">
        <f>SUM(W9:W25)</f>
        <v>119848.28</v>
      </c>
      <c r="X26" s="4"/>
      <c r="Y26" s="4"/>
    </row>
    <row r="27" spans="1:25" ht="13.8" thickTop="1" x14ac:dyDescent="0.25"/>
    <row r="29" spans="1:25" ht="6" customHeight="1" x14ac:dyDescent="0.25"/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3" zoomScale="73" zoomScaleNormal="73" workbookViewId="0">
      <selection activeCell="B21" sqref="A21:XFD25"/>
    </sheetView>
  </sheetViews>
  <sheetFormatPr baseColWidth="10" defaultColWidth="11.44140625" defaultRowHeight="13.2" x14ac:dyDescent="0.25"/>
  <cols>
    <col min="1" max="1" width="5.5546875" style="70" hidden="1" customWidth="1"/>
    <col min="2" max="2" width="9.44140625" style="70" customWidth="1"/>
    <col min="3" max="3" width="7.6640625" style="70" customWidth="1"/>
    <col min="4" max="4" width="27.5546875" style="70" customWidth="1"/>
    <col min="5" max="5" width="17.5546875" style="70" customWidth="1"/>
    <col min="6" max="6" width="19.5546875" style="70" customWidth="1"/>
    <col min="7" max="7" width="6.5546875" style="70" hidden="1" customWidth="1"/>
    <col min="8" max="8" width="10" style="70" hidden="1" customWidth="1"/>
    <col min="9" max="9" width="16.33203125" style="70" customWidth="1"/>
    <col min="10" max="10" width="14" style="70" customWidth="1"/>
    <col min="11" max="11" width="15.6640625" style="70" customWidth="1"/>
    <col min="12" max="12" width="13.109375" style="70" hidden="1" customWidth="1"/>
    <col min="13" max="15" width="14.33203125" style="70" hidden="1" customWidth="1"/>
    <col min="16" max="17" width="13.109375" style="70" hidden="1" customWidth="1"/>
    <col min="18" max="18" width="10.5546875" style="70" hidden="1" customWidth="1"/>
    <col min="19" max="20" width="13.109375" style="70" hidden="1" customWidth="1"/>
    <col min="21" max="21" width="11.5546875" style="70" hidden="1" customWidth="1"/>
    <col min="22" max="22" width="9.6640625" style="70" customWidth="1"/>
    <col min="23" max="23" width="14.44140625" style="70" customWidth="1"/>
    <col min="24" max="24" width="15" style="70" customWidth="1"/>
    <col min="25" max="25" width="15.88671875" style="70" customWidth="1"/>
    <col min="26" max="26" width="50" style="70" customWidth="1"/>
    <col min="27" max="16384" width="11.44140625" style="70"/>
  </cols>
  <sheetData>
    <row r="1" spans="1:26" ht="17.399999999999999" x14ac:dyDescent="0.3">
      <c r="A1" s="300" t="s">
        <v>76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x14ac:dyDescent="0.25">
      <c r="A5" s="71"/>
      <c r="B5" s="71"/>
      <c r="C5" s="71"/>
      <c r="D5" s="71"/>
      <c r="E5" s="71"/>
      <c r="F5" s="71"/>
      <c r="G5" s="72" t="s">
        <v>22</v>
      </c>
      <c r="H5" s="72" t="s">
        <v>5</v>
      </c>
      <c r="I5" s="327" t="s">
        <v>1</v>
      </c>
      <c r="J5" s="328"/>
      <c r="K5" s="329"/>
      <c r="L5" s="73" t="s">
        <v>25</v>
      </c>
      <c r="M5" s="74"/>
      <c r="N5" s="330" t="s">
        <v>8</v>
      </c>
      <c r="O5" s="331"/>
      <c r="P5" s="331"/>
      <c r="Q5" s="331"/>
      <c r="R5" s="331"/>
      <c r="S5" s="332"/>
      <c r="T5" s="73" t="s">
        <v>29</v>
      </c>
      <c r="U5" s="73" t="s">
        <v>9</v>
      </c>
      <c r="V5" s="72" t="s">
        <v>52</v>
      </c>
      <c r="W5" s="333" t="s">
        <v>2</v>
      </c>
      <c r="X5" s="334"/>
      <c r="Y5" s="72" t="s">
        <v>0</v>
      </c>
      <c r="Z5" s="75"/>
    </row>
    <row r="6" spans="1:26" ht="21" x14ac:dyDescent="0.25">
      <c r="A6" s="76" t="s">
        <v>20</v>
      </c>
      <c r="B6" s="77" t="s">
        <v>99</v>
      </c>
      <c r="C6" s="77" t="s">
        <v>112</v>
      </c>
      <c r="D6" s="76" t="s">
        <v>21</v>
      </c>
      <c r="E6" s="76"/>
      <c r="F6" s="76"/>
      <c r="G6" s="78" t="s">
        <v>23</v>
      </c>
      <c r="H6" s="76" t="s">
        <v>24</v>
      </c>
      <c r="I6" s="72" t="s">
        <v>5</v>
      </c>
      <c r="J6" s="72" t="s">
        <v>57</v>
      </c>
      <c r="K6" s="72" t="s">
        <v>27</v>
      </c>
      <c r="L6" s="79" t="s">
        <v>26</v>
      </c>
      <c r="M6" s="74" t="s">
        <v>31</v>
      </c>
      <c r="N6" s="74" t="s">
        <v>11</v>
      </c>
      <c r="O6" s="74" t="s">
        <v>33</v>
      </c>
      <c r="P6" s="74" t="s">
        <v>35</v>
      </c>
      <c r="Q6" s="74" t="s">
        <v>36</v>
      </c>
      <c r="R6" s="74" t="s">
        <v>13</v>
      </c>
      <c r="S6" s="74" t="s">
        <v>9</v>
      </c>
      <c r="T6" s="79" t="s">
        <v>39</v>
      </c>
      <c r="U6" s="79" t="s">
        <v>40</v>
      </c>
      <c r="V6" s="76" t="s">
        <v>30</v>
      </c>
      <c r="W6" s="23" t="s">
        <v>273</v>
      </c>
      <c r="X6" s="72" t="s">
        <v>6</v>
      </c>
      <c r="Y6" s="76" t="s">
        <v>3</v>
      </c>
      <c r="Z6" s="80" t="s">
        <v>56</v>
      </c>
    </row>
    <row r="7" spans="1:26" x14ac:dyDescent="0.25">
      <c r="A7" s="81"/>
      <c r="B7" s="76"/>
      <c r="C7" s="76"/>
      <c r="D7" s="76"/>
      <c r="E7" s="76"/>
      <c r="F7" s="76"/>
      <c r="G7" s="76"/>
      <c r="H7" s="76"/>
      <c r="I7" s="76" t="s">
        <v>46</v>
      </c>
      <c r="J7" s="76" t="s">
        <v>58</v>
      </c>
      <c r="K7" s="76" t="s">
        <v>28</v>
      </c>
      <c r="L7" s="79" t="s">
        <v>42</v>
      </c>
      <c r="M7" s="73" t="s">
        <v>32</v>
      </c>
      <c r="N7" s="73" t="s">
        <v>12</v>
      </c>
      <c r="O7" s="73" t="s">
        <v>34</v>
      </c>
      <c r="P7" s="73" t="s">
        <v>34</v>
      </c>
      <c r="Q7" s="73" t="s">
        <v>37</v>
      </c>
      <c r="R7" s="73" t="s">
        <v>14</v>
      </c>
      <c r="S7" s="73" t="s">
        <v>38</v>
      </c>
      <c r="T7" s="79" t="s">
        <v>18</v>
      </c>
      <c r="U7" s="82" t="s">
        <v>126</v>
      </c>
      <c r="V7" s="76" t="s">
        <v>51</v>
      </c>
      <c r="W7" s="76"/>
      <c r="X7" s="76" t="s">
        <v>43</v>
      </c>
      <c r="Y7" s="76" t="s">
        <v>4</v>
      </c>
      <c r="Z7" s="83"/>
    </row>
    <row r="8" spans="1:26" ht="37.5" customHeight="1" x14ac:dyDescent="0.3">
      <c r="A8" s="84"/>
      <c r="B8" s="85"/>
      <c r="C8" s="85"/>
      <c r="D8" s="139" t="s">
        <v>132</v>
      </c>
      <c r="E8" s="104" t="s">
        <v>288</v>
      </c>
      <c r="F8" s="86" t="s">
        <v>60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7"/>
    </row>
    <row r="9" spans="1:26" ht="96" customHeight="1" x14ac:dyDescent="0.3">
      <c r="A9" s="212"/>
      <c r="B9" s="152" t="s">
        <v>266</v>
      </c>
      <c r="C9" s="152" t="s">
        <v>111</v>
      </c>
      <c r="D9" s="194" t="s">
        <v>264</v>
      </c>
      <c r="E9" s="226">
        <v>44730</v>
      </c>
      <c r="F9" s="154" t="s">
        <v>265</v>
      </c>
      <c r="G9" s="155"/>
      <c r="H9" s="156"/>
      <c r="I9" s="157">
        <v>9547</v>
      </c>
      <c r="J9" s="158">
        <v>0</v>
      </c>
      <c r="K9" s="159">
        <f t="shared" ref="K9" si="0">SUM(I9:J9)</f>
        <v>9547</v>
      </c>
      <c r="L9" s="160">
        <f t="shared" ref="L9" si="1">IF(I9/15&lt;=SMG,0,J9/2)</f>
        <v>0</v>
      </c>
      <c r="M9" s="160">
        <f t="shared" ref="M9" si="2">I9+L9</f>
        <v>9547</v>
      </c>
      <c r="N9" s="160">
        <f t="shared" ref="N9:N13" si="3">VLOOKUP(M9,Tarifa1,1)</f>
        <v>7641.91</v>
      </c>
      <c r="O9" s="160">
        <f>M9-N9</f>
        <v>1905.0900000000001</v>
      </c>
      <c r="P9" s="161">
        <f t="shared" ref="P9:P13" si="4">VLOOKUP(M9,Tarifa1,3)</f>
        <v>0.21360000000000001</v>
      </c>
      <c r="Q9" s="160">
        <f>O9*P9</f>
        <v>406.92722400000008</v>
      </c>
      <c r="R9" s="162">
        <f t="shared" ref="R9:R13" si="5">VLOOKUP(M9,Tarifa1,2)</f>
        <v>809.25</v>
      </c>
      <c r="S9" s="160">
        <f>Q9+R9</f>
        <v>1216.177224</v>
      </c>
      <c r="T9" s="160">
        <f t="shared" ref="T9:T13" si="6">VLOOKUP(M9,Credito1,2)</f>
        <v>0</v>
      </c>
      <c r="U9" s="160">
        <f>ROUND(S9-T9,2)</f>
        <v>1216.18</v>
      </c>
      <c r="V9" s="159">
        <f>-IF(U9&gt;0,0,U9)</f>
        <v>0</v>
      </c>
      <c r="W9" s="159">
        <f t="shared" ref="W9:W13" si="7">IF(I9/15&lt;=SMG,0,IF(U9&lt;0,0,U9))</f>
        <v>1216.18</v>
      </c>
      <c r="X9" s="159">
        <f t="shared" ref="X9:X15" si="8">SUM(W9:W9)</f>
        <v>1216.18</v>
      </c>
      <c r="Y9" s="159">
        <f t="shared" ref="Y9:Y15" si="9">K9+V9-X9</f>
        <v>8330.82</v>
      </c>
      <c r="Z9" s="209"/>
    </row>
    <row r="10" spans="1:26" s="96" customFormat="1" ht="96" customHeight="1" x14ac:dyDescent="0.3">
      <c r="A10" s="113"/>
      <c r="B10" s="152" t="s">
        <v>190</v>
      </c>
      <c r="C10" s="152" t="s">
        <v>111</v>
      </c>
      <c r="D10" s="194" t="s">
        <v>189</v>
      </c>
      <c r="E10" s="226">
        <v>43998</v>
      </c>
      <c r="F10" s="153" t="s">
        <v>130</v>
      </c>
      <c r="G10" s="155"/>
      <c r="H10" s="156"/>
      <c r="I10" s="157">
        <v>5767.5</v>
      </c>
      <c r="J10" s="158">
        <v>300</v>
      </c>
      <c r="K10" s="159">
        <f t="shared" ref="K10" si="10">SUM(I10:J10)</f>
        <v>6067.5</v>
      </c>
      <c r="L10" s="160">
        <f t="shared" ref="L10" si="11">IF(I10/15&lt;=SMG,0,J10/2)</f>
        <v>150</v>
      </c>
      <c r="M10" s="160">
        <f t="shared" ref="M10:M11" si="12">I10+L10</f>
        <v>5917.5</v>
      </c>
      <c r="N10" s="160">
        <f t="shared" si="3"/>
        <v>5490.76</v>
      </c>
      <c r="O10" s="160">
        <f t="shared" ref="O10:O11" si="13">M10-N10</f>
        <v>426.73999999999978</v>
      </c>
      <c r="P10" s="161">
        <f t="shared" si="4"/>
        <v>0.16</v>
      </c>
      <c r="Q10" s="160">
        <f t="shared" ref="Q10:Q11" si="14">O10*P10</f>
        <v>68.278399999999962</v>
      </c>
      <c r="R10" s="162">
        <f t="shared" si="5"/>
        <v>441</v>
      </c>
      <c r="S10" s="160">
        <f t="shared" ref="S10:S11" si="15">Q10+R10</f>
        <v>509.27839999999998</v>
      </c>
      <c r="T10" s="160">
        <f t="shared" si="6"/>
        <v>0</v>
      </c>
      <c r="U10" s="160">
        <f t="shared" ref="U10:U11" si="16">ROUND(S10-T10,2)</f>
        <v>509.28</v>
      </c>
      <c r="V10" s="159">
        <f t="shared" ref="V10:V11" si="17">-IF(U10&gt;0,0,U10)</f>
        <v>0</v>
      </c>
      <c r="W10" s="159">
        <f t="shared" si="7"/>
        <v>509.28</v>
      </c>
      <c r="X10" s="159">
        <f t="shared" si="8"/>
        <v>509.28</v>
      </c>
      <c r="Y10" s="159">
        <f t="shared" si="9"/>
        <v>5558.22</v>
      </c>
      <c r="Z10" s="95"/>
    </row>
    <row r="11" spans="1:26" s="96" customFormat="1" ht="96" customHeight="1" x14ac:dyDescent="0.3">
      <c r="A11" s="113"/>
      <c r="B11" s="152" t="s">
        <v>282</v>
      </c>
      <c r="C11" s="152" t="s">
        <v>111</v>
      </c>
      <c r="D11" s="194" t="s">
        <v>283</v>
      </c>
      <c r="E11" s="226">
        <v>44942</v>
      </c>
      <c r="F11" s="153" t="s">
        <v>130</v>
      </c>
      <c r="G11" s="155"/>
      <c r="H11" s="156"/>
      <c r="I11" s="157">
        <v>5210.41</v>
      </c>
      <c r="J11" s="158">
        <v>0</v>
      </c>
      <c r="K11" s="159">
        <f t="shared" ref="K11:K13" si="18">SUM(I11:J11)</f>
        <v>5210.41</v>
      </c>
      <c r="L11" s="160">
        <f t="shared" ref="L11:L13" si="19">IF(I11/15&lt;=SMG,0,J11/2)</f>
        <v>0</v>
      </c>
      <c r="M11" s="160">
        <f t="shared" si="12"/>
        <v>5210.41</v>
      </c>
      <c r="N11" s="160">
        <f t="shared" si="3"/>
        <v>3124.36</v>
      </c>
      <c r="O11" s="160">
        <f t="shared" si="13"/>
        <v>2086.0499999999997</v>
      </c>
      <c r="P11" s="161">
        <f t="shared" si="4"/>
        <v>0.10879999999999999</v>
      </c>
      <c r="Q11" s="160">
        <f t="shared" si="14"/>
        <v>226.96223999999995</v>
      </c>
      <c r="R11" s="162">
        <f t="shared" si="5"/>
        <v>183.45</v>
      </c>
      <c r="S11" s="160">
        <f t="shared" si="15"/>
        <v>410.41223999999994</v>
      </c>
      <c r="T11" s="160">
        <f t="shared" si="6"/>
        <v>0</v>
      </c>
      <c r="U11" s="160">
        <f t="shared" si="16"/>
        <v>410.41</v>
      </c>
      <c r="V11" s="159">
        <f t="shared" si="17"/>
        <v>0</v>
      </c>
      <c r="W11" s="159">
        <f t="shared" si="7"/>
        <v>410.41</v>
      </c>
      <c r="X11" s="159">
        <f t="shared" si="8"/>
        <v>410.41</v>
      </c>
      <c r="Y11" s="159">
        <f t="shared" si="9"/>
        <v>4800</v>
      </c>
      <c r="Z11" s="95"/>
    </row>
    <row r="12" spans="1:26" s="96" customFormat="1" ht="96" customHeight="1" x14ac:dyDescent="0.3">
      <c r="A12" s="113"/>
      <c r="B12" s="152" t="s">
        <v>284</v>
      </c>
      <c r="C12" s="152" t="s">
        <v>111</v>
      </c>
      <c r="D12" s="194" t="s">
        <v>285</v>
      </c>
      <c r="E12" s="226">
        <v>44942</v>
      </c>
      <c r="F12" s="153" t="s">
        <v>130</v>
      </c>
      <c r="G12" s="155"/>
      <c r="H12" s="156"/>
      <c r="I12" s="157">
        <v>5210.41</v>
      </c>
      <c r="J12" s="158">
        <v>1549.71</v>
      </c>
      <c r="K12" s="159">
        <f t="shared" si="18"/>
        <v>6760.12</v>
      </c>
      <c r="L12" s="160">
        <f t="shared" si="19"/>
        <v>774.85500000000002</v>
      </c>
      <c r="M12" s="160">
        <f t="shared" ref="M12" si="20">I12+L12</f>
        <v>5985.2649999999994</v>
      </c>
      <c r="N12" s="160">
        <f t="shared" si="3"/>
        <v>5490.76</v>
      </c>
      <c r="O12" s="160">
        <f t="shared" ref="O12" si="21">M12-N12</f>
        <v>494.5049999999992</v>
      </c>
      <c r="P12" s="161">
        <f t="shared" si="4"/>
        <v>0.16</v>
      </c>
      <c r="Q12" s="160">
        <f t="shared" ref="Q12" si="22">O12*P12</f>
        <v>79.120799999999875</v>
      </c>
      <c r="R12" s="162">
        <f t="shared" si="5"/>
        <v>441</v>
      </c>
      <c r="S12" s="160">
        <f t="shared" ref="S12" si="23">Q12+R12</f>
        <v>520.12079999999992</v>
      </c>
      <c r="T12" s="160">
        <f t="shared" si="6"/>
        <v>0</v>
      </c>
      <c r="U12" s="160">
        <f t="shared" ref="U12" si="24">ROUND(S12-T12,2)</f>
        <v>520.12</v>
      </c>
      <c r="V12" s="159">
        <f t="shared" ref="V12" si="25">-IF(U12&gt;0,0,U12)</f>
        <v>0</v>
      </c>
      <c r="W12" s="159">
        <f t="shared" si="7"/>
        <v>520.12</v>
      </c>
      <c r="X12" s="159">
        <f t="shared" si="8"/>
        <v>520.12</v>
      </c>
      <c r="Y12" s="159">
        <f t="shared" si="9"/>
        <v>6240</v>
      </c>
      <c r="Z12" s="95"/>
    </row>
    <row r="13" spans="1:26" s="96" customFormat="1" ht="96" customHeight="1" x14ac:dyDescent="0.3">
      <c r="A13" s="113"/>
      <c r="B13" s="152" t="s">
        <v>286</v>
      </c>
      <c r="C13" s="152" t="s">
        <v>111</v>
      </c>
      <c r="D13" s="194" t="s">
        <v>287</v>
      </c>
      <c r="E13" s="226">
        <v>44942</v>
      </c>
      <c r="F13" s="153" t="s">
        <v>130</v>
      </c>
      <c r="G13" s="155"/>
      <c r="H13" s="156"/>
      <c r="I13" s="157">
        <v>5210.41</v>
      </c>
      <c r="J13" s="158">
        <v>300</v>
      </c>
      <c r="K13" s="159">
        <f t="shared" si="18"/>
        <v>5510.41</v>
      </c>
      <c r="L13" s="160">
        <f t="shared" si="19"/>
        <v>150</v>
      </c>
      <c r="M13" s="160">
        <f t="shared" ref="M13" si="26">I13+L13</f>
        <v>5360.41</v>
      </c>
      <c r="N13" s="160">
        <f t="shared" si="3"/>
        <v>3124.36</v>
      </c>
      <c r="O13" s="160">
        <f t="shared" ref="O13" si="27">M13-N13</f>
        <v>2236.0499999999997</v>
      </c>
      <c r="P13" s="161">
        <f t="shared" si="4"/>
        <v>0.10879999999999999</v>
      </c>
      <c r="Q13" s="160">
        <f t="shared" ref="Q13" si="28">O13*P13</f>
        <v>243.28223999999994</v>
      </c>
      <c r="R13" s="162">
        <f t="shared" si="5"/>
        <v>183.45</v>
      </c>
      <c r="S13" s="160">
        <f t="shared" ref="S13" si="29">Q13+R13</f>
        <v>426.73223999999993</v>
      </c>
      <c r="T13" s="160">
        <f t="shared" si="6"/>
        <v>0</v>
      </c>
      <c r="U13" s="160">
        <f t="shared" ref="U13" si="30">ROUND(S13-T13,2)</f>
        <v>426.73</v>
      </c>
      <c r="V13" s="159">
        <f t="shared" ref="V13" si="31">-IF(U13&gt;0,0,U13)</f>
        <v>0</v>
      </c>
      <c r="W13" s="159">
        <f t="shared" si="7"/>
        <v>426.73</v>
      </c>
      <c r="X13" s="159">
        <f t="shared" si="8"/>
        <v>426.73</v>
      </c>
      <c r="Y13" s="159">
        <f t="shared" si="9"/>
        <v>5083.68</v>
      </c>
      <c r="Z13" s="95"/>
    </row>
    <row r="14" spans="1:26" s="96" customFormat="1" ht="96" customHeight="1" x14ac:dyDescent="0.3">
      <c r="A14" s="113"/>
      <c r="B14" s="152" t="s">
        <v>133</v>
      </c>
      <c r="C14" s="152" t="s">
        <v>111</v>
      </c>
      <c r="D14" s="194" t="s">
        <v>129</v>
      </c>
      <c r="E14" s="226">
        <v>43101</v>
      </c>
      <c r="F14" s="154" t="s">
        <v>131</v>
      </c>
      <c r="G14" s="155">
        <v>15</v>
      </c>
      <c r="H14" s="156">
        <f>I14/G14</f>
        <v>345.66933333333333</v>
      </c>
      <c r="I14" s="157">
        <v>5185.04</v>
      </c>
      <c r="J14" s="158">
        <v>0</v>
      </c>
      <c r="K14" s="159">
        <f t="shared" ref="K14" si="32">SUM(I14:J14)</f>
        <v>5185.04</v>
      </c>
      <c r="L14" s="160">
        <f t="shared" ref="L14" si="33">IF(I14/15&lt;=SMG,0,J14/2)</f>
        <v>0</v>
      </c>
      <c r="M14" s="160">
        <f t="shared" ref="M14" si="34">I14+L14</f>
        <v>5185.04</v>
      </c>
      <c r="N14" s="160">
        <f t="shared" ref="N14" si="35">VLOOKUP(M14,Tarifa1,1)</f>
        <v>3124.36</v>
      </c>
      <c r="O14" s="160">
        <f t="shared" ref="O14" si="36">M14-N14</f>
        <v>2060.6799999999998</v>
      </c>
      <c r="P14" s="161">
        <f t="shared" ref="P14" si="37">VLOOKUP(M14,Tarifa1,3)</f>
        <v>0.10879999999999999</v>
      </c>
      <c r="Q14" s="160">
        <f t="shared" ref="Q14" si="38">O14*P14</f>
        <v>224.20198399999998</v>
      </c>
      <c r="R14" s="162">
        <f t="shared" ref="R14" si="39">VLOOKUP(M14,Tarifa1,2)</f>
        <v>183.45</v>
      </c>
      <c r="S14" s="160">
        <f t="shared" ref="S14" si="40">Q14+R14</f>
        <v>407.65198399999997</v>
      </c>
      <c r="T14" s="160">
        <f t="shared" ref="T14" si="41">VLOOKUP(M14,Credito1,2)</f>
        <v>0</v>
      </c>
      <c r="U14" s="160">
        <f t="shared" ref="U14" si="42">ROUND(S14-T14,2)</f>
        <v>407.65</v>
      </c>
      <c r="V14" s="159">
        <f t="shared" ref="V14" si="43">-IF(U14&gt;0,0,U14)</f>
        <v>0</v>
      </c>
      <c r="W14" s="159">
        <f t="shared" ref="W14" si="44">IF(I14/15&lt;=SMG,0,IF(U14&lt;0,0,U14))</f>
        <v>407.65</v>
      </c>
      <c r="X14" s="159">
        <f t="shared" si="8"/>
        <v>407.65</v>
      </c>
      <c r="Y14" s="159">
        <f t="shared" si="9"/>
        <v>4777.3900000000003</v>
      </c>
      <c r="Z14" s="95"/>
    </row>
    <row r="15" spans="1:26" s="96" customFormat="1" ht="96" customHeight="1" x14ac:dyDescent="0.3">
      <c r="A15" s="113"/>
      <c r="B15" s="152" t="s">
        <v>336</v>
      </c>
      <c r="C15" s="152" t="s">
        <v>111</v>
      </c>
      <c r="D15" s="194" t="s">
        <v>337</v>
      </c>
      <c r="E15" s="226">
        <v>45154</v>
      </c>
      <c r="F15" s="154" t="s">
        <v>131</v>
      </c>
      <c r="G15" s="155">
        <v>15</v>
      </c>
      <c r="H15" s="156">
        <f>I15/G15</f>
        <v>345.66933333333333</v>
      </c>
      <c r="I15" s="157">
        <v>5185.04</v>
      </c>
      <c r="J15" s="158">
        <v>691.34</v>
      </c>
      <c r="K15" s="159">
        <f t="shared" ref="K15" si="45">SUM(I15:J15)</f>
        <v>5876.38</v>
      </c>
      <c r="L15" s="160">
        <f t="shared" ref="L15" si="46">IF(I15/15&lt;=SMG,0,J15/2)</f>
        <v>345.67</v>
      </c>
      <c r="M15" s="160">
        <f t="shared" ref="M15" si="47">I15+L15</f>
        <v>5530.71</v>
      </c>
      <c r="N15" s="160">
        <f t="shared" ref="N15" si="48">VLOOKUP(M15,Tarifa1,1)</f>
        <v>5490.76</v>
      </c>
      <c r="O15" s="160">
        <f t="shared" ref="O15" si="49">M15-N15</f>
        <v>39.949999999999818</v>
      </c>
      <c r="P15" s="161">
        <f t="shared" ref="P15" si="50">VLOOKUP(M15,Tarifa1,3)</f>
        <v>0.16</v>
      </c>
      <c r="Q15" s="160">
        <f t="shared" ref="Q15" si="51">O15*P15</f>
        <v>6.391999999999971</v>
      </c>
      <c r="R15" s="162">
        <f t="shared" ref="R15" si="52">VLOOKUP(M15,Tarifa1,2)</f>
        <v>441</v>
      </c>
      <c r="S15" s="160">
        <f t="shared" ref="S15" si="53">Q15+R15</f>
        <v>447.392</v>
      </c>
      <c r="T15" s="160">
        <f t="shared" ref="T15" si="54">VLOOKUP(M15,Credito1,2)</f>
        <v>0</v>
      </c>
      <c r="U15" s="160">
        <f t="shared" ref="U15" si="55">ROUND(S15-T15,2)</f>
        <v>447.39</v>
      </c>
      <c r="V15" s="159">
        <f t="shared" ref="V15" si="56">-IF(U15&gt;0,0,U15)</f>
        <v>0</v>
      </c>
      <c r="W15" s="159">
        <f t="shared" ref="W15" si="57">IF(I15/15&lt;=SMG,0,IF(U15&lt;0,0,U15))</f>
        <v>447.39</v>
      </c>
      <c r="X15" s="159">
        <f t="shared" si="8"/>
        <v>447.39</v>
      </c>
      <c r="Y15" s="159">
        <f t="shared" si="9"/>
        <v>5428.99</v>
      </c>
      <c r="Z15" s="95"/>
    </row>
    <row r="16" spans="1:26" ht="40.5" customHeight="1" thickBot="1" x14ac:dyDescent="0.35">
      <c r="A16" s="287" t="s">
        <v>44</v>
      </c>
      <c r="B16" s="288"/>
      <c r="C16" s="288"/>
      <c r="D16" s="288"/>
      <c r="E16" s="288"/>
      <c r="F16" s="288"/>
      <c r="G16" s="288"/>
      <c r="H16" s="289"/>
      <c r="I16" s="163">
        <f>SUM(I9:I15)</f>
        <v>41315.81</v>
      </c>
      <c r="J16" s="163">
        <f>SUM(J9:J15)</f>
        <v>2841.05</v>
      </c>
      <c r="K16" s="163">
        <f t="shared" ref="K16:V16" si="58">SUM(K10:K15)</f>
        <v>34609.86</v>
      </c>
      <c r="L16" s="164">
        <f t="shared" si="58"/>
        <v>1420.5250000000001</v>
      </c>
      <c r="M16" s="164">
        <f t="shared" si="58"/>
        <v>33189.334999999999</v>
      </c>
      <c r="N16" s="164">
        <f t="shared" si="58"/>
        <v>25845.360000000001</v>
      </c>
      <c r="O16" s="164">
        <f t="shared" si="58"/>
        <v>7343.9749999999976</v>
      </c>
      <c r="P16" s="164">
        <f t="shared" si="58"/>
        <v>0.80640000000000001</v>
      </c>
      <c r="Q16" s="164">
        <f t="shared" si="58"/>
        <v>848.23766399999965</v>
      </c>
      <c r="R16" s="164">
        <f t="shared" si="58"/>
        <v>1873.3500000000001</v>
      </c>
      <c r="S16" s="164">
        <f t="shared" si="58"/>
        <v>2721.5876639999997</v>
      </c>
      <c r="T16" s="164">
        <f t="shared" si="58"/>
        <v>0</v>
      </c>
      <c r="U16" s="164">
        <f t="shared" si="58"/>
        <v>2721.58</v>
      </c>
      <c r="V16" s="163">
        <f t="shared" si="58"/>
        <v>0</v>
      </c>
      <c r="W16" s="163">
        <f>SUM(W9:W15)</f>
        <v>3937.7599999999998</v>
      </c>
      <c r="X16" s="163">
        <f>SUM(X9:X15)</f>
        <v>3937.7599999999998</v>
      </c>
      <c r="Y16" s="163">
        <f>SUM(Y9:Y15)</f>
        <v>40219.1</v>
      </c>
    </row>
    <row r="17" spans="1:25" ht="18" thickTop="1" x14ac:dyDescent="0.3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ht="17.399999999999999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5" ht="17.399999999999999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</sheetData>
  <mergeCells count="7">
    <mergeCell ref="A16:H16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7"/>
  <sheetViews>
    <sheetView tabSelected="1" topLeftCell="C1" zoomScale="78" zoomScaleNormal="78" workbookViewId="0">
      <pane ySplit="1" topLeftCell="A20" activePane="bottomLeft" state="frozen"/>
      <selection activeCell="B1" sqref="B1"/>
      <selection pane="bottomLeft" activeCell="W23" sqref="W23:W26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0" t="s">
        <v>76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25.5" customHeight="1" x14ac:dyDescent="0.3">
      <c r="A4" s="4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32" s="53" customFormat="1" ht="15.6" x14ac:dyDescent="0.3">
      <c r="A5" s="49"/>
      <c r="B5" s="123"/>
      <c r="C5" s="123"/>
      <c r="D5" s="123"/>
      <c r="E5" s="123"/>
      <c r="F5" s="267"/>
      <c r="G5" s="124" t="s">
        <v>22</v>
      </c>
      <c r="H5" s="270" t="s">
        <v>5</v>
      </c>
      <c r="I5" s="292" t="s">
        <v>1</v>
      </c>
      <c r="J5" s="293"/>
      <c r="K5" s="294"/>
      <c r="L5" s="125" t="s">
        <v>25</v>
      </c>
      <c r="M5" s="126"/>
      <c r="N5" s="295" t="s">
        <v>8</v>
      </c>
      <c r="O5" s="296"/>
      <c r="P5" s="296"/>
      <c r="Q5" s="296"/>
      <c r="R5" s="296"/>
      <c r="S5" s="297"/>
      <c r="T5" s="125" t="s">
        <v>52</v>
      </c>
      <c r="U5" s="125" t="s">
        <v>9</v>
      </c>
      <c r="V5" s="124" t="s">
        <v>52</v>
      </c>
      <c r="W5" s="298" t="s">
        <v>2</v>
      </c>
      <c r="X5" s="299"/>
      <c r="Y5" s="124" t="s">
        <v>0</v>
      </c>
      <c r="Z5" s="49"/>
    </row>
    <row r="6" spans="1:32" s="53" customFormat="1" ht="29.25" customHeight="1" x14ac:dyDescent="0.3">
      <c r="A6" s="54" t="s">
        <v>20</v>
      </c>
      <c r="B6" s="127" t="s">
        <v>99</v>
      </c>
      <c r="C6" s="127" t="s">
        <v>120</v>
      </c>
      <c r="D6" s="128" t="s">
        <v>21</v>
      </c>
      <c r="E6" s="128"/>
      <c r="F6" s="268"/>
      <c r="G6" s="273" t="s">
        <v>23</v>
      </c>
      <c r="H6" s="271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6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273</v>
      </c>
      <c r="X6" s="124" t="s">
        <v>6</v>
      </c>
      <c r="Y6" s="128" t="s">
        <v>3</v>
      </c>
      <c r="Z6" s="54" t="s">
        <v>56</v>
      </c>
    </row>
    <row r="7" spans="1:32" s="53" customFormat="1" ht="15.6" x14ac:dyDescent="0.3">
      <c r="A7" s="63"/>
      <c r="B7" s="130"/>
      <c r="C7" s="130"/>
      <c r="D7" s="131"/>
      <c r="E7" s="131"/>
      <c r="F7" s="269"/>
      <c r="G7" s="131"/>
      <c r="H7" s="272"/>
      <c r="I7" s="131" t="s">
        <v>46</v>
      </c>
      <c r="J7" s="131" t="s">
        <v>58</v>
      </c>
      <c r="K7" s="131" t="s">
        <v>28</v>
      </c>
      <c r="L7" s="132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125" t="s">
        <v>14</v>
      </c>
      <c r="S7" s="125" t="s">
        <v>38</v>
      </c>
      <c r="T7" s="129" t="s">
        <v>51</v>
      </c>
      <c r="U7" s="133" t="s">
        <v>204</v>
      </c>
      <c r="V7" s="131" t="s">
        <v>51</v>
      </c>
      <c r="W7" s="131"/>
      <c r="X7" s="131" t="s">
        <v>43</v>
      </c>
      <c r="Y7" s="131" t="s">
        <v>4</v>
      </c>
      <c r="Z7" s="59"/>
    </row>
    <row r="8" spans="1:32" s="53" customFormat="1" ht="43.5" customHeight="1" x14ac:dyDescent="0.3">
      <c r="A8" s="212"/>
      <c r="B8" s="230" t="s">
        <v>99</v>
      </c>
      <c r="C8" s="230" t="s">
        <v>120</v>
      </c>
      <c r="D8" s="231" t="s">
        <v>61</v>
      </c>
      <c r="E8" s="230" t="s">
        <v>289</v>
      </c>
      <c r="F8" s="212" t="s">
        <v>60</v>
      </c>
      <c r="G8" s="212"/>
      <c r="H8" s="212"/>
      <c r="I8" s="232">
        <f>SUM(I9:I11)</f>
        <v>47383</v>
      </c>
      <c r="J8" s="232">
        <f>SUM(J9:J11)</f>
        <v>0</v>
      </c>
      <c r="K8" s="232">
        <f>SUM(K9:K11)</f>
        <v>47383</v>
      </c>
      <c r="L8" s="212"/>
      <c r="M8" s="212"/>
      <c r="N8" s="212"/>
      <c r="O8" s="212"/>
      <c r="P8" s="212"/>
      <c r="Q8" s="212"/>
      <c r="R8" s="212"/>
      <c r="S8" s="212"/>
      <c r="T8" s="212"/>
      <c r="U8" s="233"/>
      <c r="V8" s="232">
        <f>SUM(V9:V11)</f>
        <v>2300</v>
      </c>
      <c r="W8" s="232">
        <f>SUM(W9:W11)</f>
        <v>8222.0499999999993</v>
      </c>
      <c r="X8" s="232">
        <f>SUM(X9:X11)</f>
        <v>8222.0499999999993</v>
      </c>
      <c r="Y8" s="232" t="e">
        <f>SUM(Y9:Y11)</f>
        <v>#REF!</v>
      </c>
      <c r="Z8" s="66"/>
    </row>
    <row r="9" spans="1:32" s="53" customFormat="1" ht="102.75" customHeight="1" x14ac:dyDescent="0.35">
      <c r="A9" s="152" t="s">
        <v>82</v>
      </c>
      <c r="B9" s="151" t="s">
        <v>194</v>
      </c>
      <c r="C9" s="152" t="s">
        <v>111</v>
      </c>
      <c r="D9" s="216" t="s">
        <v>195</v>
      </c>
      <c r="E9" s="221">
        <v>43374</v>
      </c>
      <c r="F9" s="154" t="s">
        <v>196</v>
      </c>
      <c r="G9" s="155">
        <v>15</v>
      </c>
      <c r="H9" s="156">
        <v>1677.25</v>
      </c>
      <c r="I9" s="157">
        <v>27705</v>
      </c>
      <c r="J9" s="158">
        <v>0</v>
      </c>
      <c r="K9" s="159">
        <f>SUM(I9:J9)</f>
        <v>27705</v>
      </c>
      <c r="L9" s="160">
        <f>IF(I9/15&lt;=SMG,0,J9/2)</f>
        <v>0</v>
      </c>
      <c r="M9" s="160">
        <f>I9+L9</f>
        <v>27705</v>
      </c>
      <c r="N9" s="160">
        <f>VLOOKUP(M9,Tarifa1,1)</f>
        <v>24292.66</v>
      </c>
      <c r="O9" s="160">
        <f>M9-N9</f>
        <v>3412.34</v>
      </c>
      <c r="P9" s="161">
        <f>VLOOKUP(M9,Tarifa1,3)</f>
        <v>0.3</v>
      </c>
      <c r="Q9" s="160">
        <f>O9*P9</f>
        <v>1023.702</v>
      </c>
      <c r="R9" s="162">
        <f>VLOOKUP(M9,Tarifa1,2)</f>
        <v>4557.75</v>
      </c>
      <c r="S9" s="160">
        <f>Q9+R9</f>
        <v>5581.4520000000002</v>
      </c>
      <c r="T9" s="160">
        <f>VLOOKUP(M9,Credito1,2)</f>
        <v>0</v>
      </c>
      <c r="U9" s="160">
        <f>ROUND(S9-T9,2)</f>
        <v>5581.45</v>
      </c>
      <c r="V9" s="159">
        <f>-IF(U9&gt;0,0,U9)</f>
        <v>0</v>
      </c>
      <c r="W9" s="159">
        <f>IF(I9/15&lt;=SMG,0,IF(U9&lt;0,0,U9))</f>
        <v>5581.45</v>
      </c>
      <c r="X9" s="159">
        <f>SUM(W9:W9)</f>
        <v>5581.45</v>
      </c>
      <c r="Y9" s="159">
        <f>K9+V9-X9</f>
        <v>22123.55</v>
      </c>
      <c r="Z9" s="60"/>
    </row>
    <row r="10" spans="1:32" s="53" customFormat="1" ht="102.75" customHeight="1" x14ac:dyDescent="0.35">
      <c r="A10" s="152" t="s">
        <v>83</v>
      </c>
      <c r="B10" s="151" t="s">
        <v>155</v>
      </c>
      <c r="C10" s="152" t="s">
        <v>111</v>
      </c>
      <c r="D10" s="216" t="s">
        <v>145</v>
      </c>
      <c r="E10" s="221">
        <v>43101</v>
      </c>
      <c r="F10" s="154" t="s">
        <v>197</v>
      </c>
      <c r="G10" s="155">
        <v>15</v>
      </c>
      <c r="H10" s="156">
        <v>850.15</v>
      </c>
      <c r="I10" s="157">
        <v>14043</v>
      </c>
      <c r="J10" s="158">
        <v>0</v>
      </c>
      <c r="K10" s="159">
        <f>SUM(I10:J10)</f>
        <v>14043</v>
      </c>
      <c r="L10" s="160">
        <f>IF(I10/15&lt;=SMG,0,J10/2)</f>
        <v>0</v>
      </c>
      <c r="M10" s="160">
        <f t="shared" ref="M10" si="0">I10+L10</f>
        <v>14043</v>
      </c>
      <c r="N10" s="160">
        <f>VLOOKUP(M10,Tarifa1,1)</f>
        <v>7641.91</v>
      </c>
      <c r="O10" s="160">
        <f t="shared" ref="O10" si="1">M10-N10</f>
        <v>6401.09</v>
      </c>
      <c r="P10" s="161">
        <f>VLOOKUP(M10,Tarifa1,3)</f>
        <v>0.21360000000000001</v>
      </c>
      <c r="Q10" s="160">
        <f t="shared" ref="Q10" si="2">O10*P10</f>
        <v>1367.2728240000001</v>
      </c>
      <c r="R10" s="162">
        <f>VLOOKUP(M10,Tarifa1,2)</f>
        <v>809.25</v>
      </c>
      <c r="S10" s="160">
        <f t="shared" ref="S10" si="3">Q10+R10</f>
        <v>2176.5228240000001</v>
      </c>
      <c r="T10" s="160">
        <f>VLOOKUP(M10,Credito1,2)</f>
        <v>0</v>
      </c>
      <c r="U10" s="160">
        <f t="shared" ref="U10" si="4">ROUND(S10-T10,2)</f>
        <v>2176.52</v>
      </c>
      <c r="V10" s="159">
        <v>1500</v>
      </c>
      <c r="W10" s="159">
        <f>IF(I10/15&lt;=SMG,0,IF(U10&lt;0,0,U10))</f>
        <v>2176.52</v>
      </c>
      <c r="X10" s="159">
        <f>SUM(W10:W10)</f>
        <v>2176.52</v>
      </c>
      <c r="Y10" s="159" t="e">
        <f>K10+V10-X10-#REF!</f>
        <v>#REF!</v>
      </c>
      <c r="Z10" s="60"/>
      <c r="AF10" s="61"/>
    </row>
    <row r="11" spans="1:32" s="53" customFormat="1" ht="102.75" customHeight="1" x14ac:dyDescent="0.35">
      <c r="A11" s="152"/>
      <c r="B11" s="152" t="s">
        <v>105</v>
      </c>
      <c r="C11" s="151" t="s">
        <v>111</v>
      </c>
      <c r="D11" s="216" t="s">
        <v>64</v>
      </c>
      <c r="E11" s="221">
        <v>40026</v>
      </c>
      <c r="F11" s="153" t="s">
        <v>62</v>
      </c>
      <c r="G11" s="155">
        <v>15</v>
      </c>
      <c r="H11" s="156">
        <v>341.11</v>
      </c>
      <c r="I11" s="157">
        <v>5635</v>
      </c>
      <c r="J11" s="158">
        <v>0</v>
      </c>
      <c r="K11" s="159">
        <f>SUM(I11:J11)</f>
        <v>5635</v>
      </c>
      <c r="L11" s="160">
        <f>IF(I11/15&lt;=SMG,0,J11/2)</f>
        <v>0</v>
      </c>
      <c r="M11" s="160">
        <f t="shared" ref="M11" si="5">I11+L11</f>
        <v>5635</v>
      </c>
      <c r="N11" s="160">
        <f>VLOOKUP(M11,Tarifa1,1)</f>
        <v>5490.76</v>
      </c>
      <c r="O11" s="160">
        <f t="shared" ref="O11" si="6">M11-N11</f>
        <v>144.23999999999978</v>
      </c>
      <c r="P11" s="161">
        <f>VLOOKUP(M11,Tarifa1,3)</f>
        <v>0.16</v>
      </c>
      <c r="Q11" s="160">
        <f t="shared" ref="Q11" si="7">O11*P11</f>
        <v>23.078399999999966</v>
      </c>
      <c r="R11" s="162">
        <f>VLOOKUP(M11,Tarifa1,2)</f>
        <v>441</v>
      </c>
      <c r="S11" s="160">
        <f t="shared" ref="S11" si="8">Q11+R11</f>
        <v>464.07839999999999</v>
      </c>
      <c r="T11" s="160">
        <f>VLOOKUP(M11,Credito1,2)</f>
        <v>0</v>
      </c>
      <c r="U11" s="160">
        <f t="shared" ref="U11" si="9">ROUND(S11-T11,2)</f>
        <v>464.08</v>
      </c>
      <c r="V11" s="159">
        <v>800</v>
      </c>
      <c r="W11" s="159">
        <f>IF(I11/15&lt;=SMG,0,IF(U11&lt;0,0,U11))</f>
        <v>464.08</v>
      </c>
      <c r="X11" s="159">
        <f>SUM(W11:W11)</f>
        <v>464.08</v>
      </c>
      <c r="Y11" s="159" t="e">
        <f>K11+V11-X11-#REF!</f>
        <v>#REF!</v>
      </c>
      <c r="Z11" s="60"/>
      <c r="AF11" s="61"/>
    </row>
    <row r="12" spans="1:32" s="53" customFormat="1" ht="44.25" customHeight="1" x14ac:dyDescent="0.3">
      <c r="A12" s="152"/>
      <c r="B12" s="230" t="s">
        <v>99</v>
      </c>
      <c r="C12" s="230" t="s">
        <v>120</v>
      </c>
      <c r="D12" s="245" t="s">
        <v>115</v>
      </c>
      <c r="E12" s="230" t="s">
        <v>289</v>
      </c>
      <c r="F12" s="212" t="s">
        <v>60</v>
      </c>
      <c r="G12" s="212"/>
      <c r="H12" s="212"/>
      <c r="I12" s="232">
        <f>SUM(I13)</f>
        <v>6309</v>
      </c>
      <c r="J12" s="232">
        <f>SUM(J13)</f>
        <v>0</v>
      </c>
      <c r="K12" s="232">
        <f>SUM(K13)</f>
        <v>6309</v>
      </c>
      <c r="L12" s="212"/>
      <c r="M12" s="212"/>
      <c r="N12" s="212"/>
      <c r="O12" s="212"/>
      <c r="P12" s="212"/>
      <c r="Q12" s="212"/>
      <c r="R12" s="234"/>
      <c r="S12" s="212"/>
      <c r="T12" s="212"/>
      <c r="U12" s="233"/>
      <c r="V12" s="232">
        <f>SUM(V13)</f>
        <v>0</v>
      </c>
      <c r="W12" s="232">
        <f>SUM(W13)</f>
        <v>571.91999999999996</v>
      </c>
      <c r="X12" s="232">
        <f>SUM(X13)</f>
        <v>571.91999999999996</v>
      </c>
      <c r="Y12" s="232">
        <f>SUM(Y13)</f>
        <v>5737.08</v>
      </c>
      <c r="Z12" s="66"/>
      <c r="AF12" s="61"/>
    </row>
    <row r="13" spans="1:32" s="53" customFormat="1" ht="102.75" customHeight="1" x14ac:dyDescent="0.35">
      <c r="A13" s="152" t="s">
        <v>84</v>
      </c>
      <c r="B13" s="152" t="s">
        <v>263</v>
      </c>
      <c r="C13" s="151" t="s">
        <v>111</v>
      </c>
      <c r="D13" s="216" t="s">
        <v>258</v>
      </c>
      <c r="E13" s="221">
        <v>44743</v>
      </c>
      <c r="F13" s="154" t="s">
        <v>96</v>
      </c>
      <c r="G13" s="155">
        <v>15</v>
      </c>
      <c r="H13" s="156">
        <v>381.95</v>
      </c>
      <c r="I13" s="157">
        <v>6309</v>
      </c>
      <c r="J13" s="158">
        <v>0</v>
      </c>
      <c r="K13" s="159">
        <f>I13</f>
        <v>6309</v>
      </c>
      <c r="L13" s="160">
        <f>IF(I13/15&lt;=SMG,0,J13/2)</f>
        <v>0</v>
      </c>
      <c r="M13" s="160">
        <f t="shared" ref="M13" si="10">I13+L13</f>
        <v>6309</v>
      </c>
      <c r="N13" s="160">
        <f>VLOOKUP(M13,Tarifa1,1)</f>
        <v>5490.76</v>
      </c>
      <c r="O13" s="160">
        <f t="shared" ref="O13" si="11">M13-N13</f>
        <v>818.23999999999978</v>
      </c>
      <c r="P13" s="161">
        <f>VLOOKUP(M13,Tarifa1,3)</f>
        <v>0.16</v>
      </c>
      <c r="Q13" s="160">
        <f t="shared" ref="Q13" si="12">O13*P13</f>
        <v>130.91839999999996</v>
      </c>
      <c r="R13" s="162">
        <f>VLOOKUP(M13,Tarifa1,2)</f>
        <v>441</v>
      </c>
      <c r="S13" s="160">
        <f t="shared" ref="S13" si="13">Q13+R13</f>
        <v>571.91840000000002</v>
      </c>
      <c r="T13" s="160">
        <f>VLOOKUP(M13,Credito1,2)</f>
        <v>0</v>
      </c>
      <c r="U13" s="160">
        <f t="shared" ref="U13" si="14">ROUND(S13-T13,2)</f>
        <v>571.91999999999996</v>
      </c>
      <c r="V13" s="159">
        <f>-IF(U13&gt;0,0,U13)</f>
        <v>0</v>
      </c>
      <c r="W13" s="159">
        <f>IF(I13/15&lt;=SMG,0,IF(U13&lt;0,0,U13))</f>
        <v>571.91999999999996</v>
      </c>
      <c r="X13" s="159">
        <f>SUM(W13:W13)</f>
        <v>571.91999999999996</v>
      </c>
      <c r="Y13" s="159">
        <f>K13+V13-X13</f>
        <v>5737.08</v>
      </c>
      <c r="Z13" s="60"/>
      <c r="AF13" s="61"/>
    </row>
    <row r="14" spans="1:32" s="53" customFormat="1" ht="44.25" customHeight="1" x14ac:dyDescent="0.3">
      <c r="A14" s="152"/>
      <c r="B14" s="230" t="s">
        <v>99</v>
      </c>
      <c r="C14" s="230" t="s">
        <v>120</v>
      </c>
      <c r="D14" s="231" t="s">
        <v>116</v>
      </c>
      <c r="E14" s="230" t="s">
        <v>289</v>
      </c>
      <c r="F14" s="212" t="s">
        <v>60</v>
      </c>
      <c r="G14" s="212"/>
      <c r="H14" s="212"/>
      <c r="I14" s="232">
        <v>4896.5</v>
      </c>
      <c r="J14" s="232">
        <f>SUM(J15)</f>
        <v>0</v>
      </c>
      <c r="K14" s="232">
        <f>SUM(K15)</f>
        <v>5043</v>
      </c>
      <c r="L14" s="212"/>
      <c r="M14" s="212"/>
      <c r="N14" s="212"/>
      <c r="O14" s="212"/>
      <c r="P14" s="212"/>
      <c r="Q14" s="212"/>
      <c r="R14" s="234"/>
      <c r="S14" s="212"/>
      <c r="T14" s="212"/>
      <c r="U14" s="233"/>
      <c r="V14" s="232">
        <f>SUM(V15)</f>
        <v>0</v>
      </c>
      <c r="W14" s="232">
        <f>SUM(W15)</f>
        <v>392.2</v>
      </c>
      <c r="X14" s="232">
        <f>SUM(X15)</f>
        <v>392.2</v>
      </c>
      <c r="Y14" s="232">
        <f>SUM(Y15)</f>
        <v>4650.8</v>
      </c>
      <c r="Z14" s="66"/>
      <c r="AF14" s="61"/>
    </row>
    <row r="15" spans="1:32" s="53" customFormat="1" ht="102.75" customHeight="1" x14ac:dyDescent="0.35">
      <c r="A15" s="152" t="s">
        <v>86</v>
      </c>
      <c r="B15" s="152" t="s">
        <v>207</v>
      </c>
      <c r="C15" s="152" t="s">
        <v>111</v>
      </c>
      <c r="D15" s="216" t="s">
        <v>222</v>
      </c>
      <c r="E15" s="221">
        <v>44470</v>
      </c>
      <c r="F15" s="154" t="s">
        <v>261</v>
      </c>
      <c r="G15" s="155">
        <v>15</v>
      </c>
      <c r="H15" s="156">
        <v>305.35000000000002</v>
      </c>
      <c r="I15" s="157">
        <v>5043</v>
      </c>
      <c r="J15" s="158">
        <v>0</v>
      </c>
      <c r="K15" s="159">
        <f>SUM(I15:J15)</f>
        <v>5043</v>
      </c>
      <c r="L15" s="160">
        <f>IF(I15/15&lt;=SMG,0,J15/2)</f>
        <v>0</v>
      </c>
      <c r="M15" s="160">
        <f t="shared" ref="M15" si="15">I15+L15</f>
        <v>5043</v>
      </c>
      <c r="N15" s="160">
        <f>VLOOKUP(M15,Tarifa1,1)</f>
        <v>3124.36</v>
      </c>
      <c r="O15" s="160">
        <f t="shared" ref="O15" si="16">M15-N15</f>
        <v>1918.6399999999999</v>
      </c>
      <c r="P15" s="161">
        <f>VLOOKUP(M15,Tarifa1,3)</f>
        <v>0.10879999999999999</v>
      </c>
      <c r="Q15" s="160">
        <f t="shared" ref="Q15" si="17">O15*P15</f>
        <v>208.74803199999997</v>
      </c>
      <c r="R15" s="162">
        <f>VLOOKUP(M15,Tarifa1,2)</f>
        <v>183.45</v>
      </c>
      <c r="S15" s="160">
        <f t="shared" ref="S15" si="18">Q15+R15</f>
        <v>392.19803199999996</v>
      </c>
      <c r="T15" s="160">
        <f>VLOOKUP(M15,Credito1,2)</f>
        <v>0</v>
      </c>
      <c r="U15" s="160">
        <f t="shared" ref="U15" si="19">ROUND(S15-T15,2)</f>
        <v>392.2</v>
      </c>
      <c r="V15" s="159">
        <f t="shared" ref="V15" si="20">-IF(U15&gt;0,0,U15)</f>
        <v>0</v>
      </c>
      <c r="W15" s="159">
        <f>IF(I15/15&lt;=SMG,0,IF(U15&lt;0,0,U15))</f>
        <v>392.2</v>
      </c>
      <c r="X15" s="159">
        <f>SUM(W15:W15)</f>
        <v>392.2</v>
      </c>
      <c r="Y15" s="159">
        <f>K15+V15-X15</f>
        <v>4650.8</v>
      </c>
      <c r="Z15" s="60"/>
      <c r="AF15" s="67"/>
    </row>
    <row r="16" spans="1:32" s="53" customFormat="1" ht="43.5" customHeight="1" x14ac:dyDescent="0.3">
      <c r="A16" s="152"/>
      <c r="B16" s="230" t="s">
        <v>99</v>
      </c>
      <c r="C16" s="230" t="s">
        <v>120</v>
      </c>
      <c r="D16" s="231" t="s">
        <v>117</v>
      </c>
      <c r="E16" s="230" t="s">
        <v>289</v>
      </c>
      <c r="F16" s="212" t="s">
        <v>60</v>
      </c>
      <c r="G16" s="212"/>
      <c r="H16" s="212"/>
      <c r="I16" s="232">
        <f>SUM(I17:I18)</f>
        <v>14516.91</v>
      </c>
      <c r="J16" s="232">
        <f>SUM(J17:J18)</f>
        <v>0</v>
      </c>
      <c r="K16" s="232">
        <f>SUM(K17:K18)</f>
        <v>14516.91</v>
      </c>
      <c r="L16" s="212"/>
      <c r="M16" s="212"/>
      <c r="N16" s="212"/>
      <c r="O16" s="212"/>
      <c r="P16" s="212"/>
      <c r="Q16" s="212"/>
      <c r="R16" s="234"/>
      <c r="S16" s="212"/>
      <c r="T16" s="212"/>
      <c r="U16" s="233"/>
      <c r="V16" s="232">
        <f>SUM(V17:V18)</f>
        <v>0</v>
      </c>
      <c r="W16" s="232">
        <f>SUM(W17:W18)</f>
        <v>1716.3300000000002</v>
      </c>
      <c r="X16" s="232">
        <f>SUM(X17:X18)</f>
        <v>1716.3300000000002</v>
      </c>
      <c r="Y16" s="232">
        <f>SUM(Y17:Y18)</f>
        <v>12800.58</v>
      </c>
      <c r="Z16" s="66"/>
      <c r="AF16" s="67"/>
    </row>
    <row r="17" spans="1:3223" s="53" customFormat="1" ht="102.75" customHeight="1" x14ac:dyDescent="0.35">
      <c r="A17" s="152" t="s">
        <v>87</v>
      </c>
      <c r="B17" s="151" t="s">
        <v>151</v>
      </c>
      <c r="C17" s="152" t="s">
        <v>111</v>
      </c>
      <c r="D17" s="216" t="s">
        <v>135</v>
      </c>
      <c r="E17" s="221">
        <v>43374</v>
      </c>
      <c r="F17" s="154" t="s">
        <v>81</v>
      </c>
      <c r="G17" s="155">
        <v>15</v>
      </c>
      <c r="H17" s="156">
        <v>625.85200000000009</v>
      </c>
      <c r="I17" s="157">
        <v>10653</v>
      </c>
      <c r="J17" s="158">
        <v>0</v>
      </c>
      <c r="K17" s="159">
        <f>I17</f>
        <v>10653</v>
      </c>
      <c r="L17" s="160">
        <f>IF(I17/15&lt;=SMG,0,J17/2)</f>
        <v>0</v>
      </c>
      <c r="M17" s="160">
        <f t="shared" ref="M17:M18" si="21">I17+L17</f>
        <v>10653</v>
      </c>
      <c r="N17" s="160">
        <f>VLOOKUP(M17,Tarifa1,1)</f>
        <v>7641.91</v>
      </c>
      <c r="O17" s="160">
        <f t="shared" ref="O17:O18" si="22">M17-N17</f>
        <v>3011.09</v>
      </c>
      <c r="P17" s="161">
        <f>VLOOKUP(M17,Tarifa1,3)</f>
        <v>0.21360000000000001</v>
      </c>
      <c r="Q17" s="160">
        <f t="shared" ref="Q17:Q18" si="23">O17*P17</f>
        <v>643.16882400000009</v>
      </c>
      <c r="R17" s="162">
        <f>VLOOKUP(M17,Tarifa1,2)</f>
        <v>809.25</v>
      </c>
      <c r="S17" s="160">
        <f t="shared" ref="S17:S18" si="24">Q17+R17</f>
        <v>1452.4188240000001</v>
      </c>
      <c r="T17" s="160">
        <f>VLOOKUP(M17,Credito1,2)</f>
        <v>0</v>
      </c>
      <c r="U17" s="160">
        <f t="shared" ref="U17:U18" si="25">ROUND(S17-T17,2)</f>
        <v>1452.42</v>
      </c>
      <c r="V17" s="159">
        <f t="shared" ref="V17:V18" si="26">-IF(U17&gt;0,0,U17)</f>
        <v>0</v>
      </c>
      <c r="W17" s="159">
        <f>IF(I17/15&lt;=SMG,0,IF(U17&lt;0,0,U17))</f>
        <v>1452.42</v>
      </c>
      <c r="X17" s="159">
        <f>SUM(W17:W17)</f>
        <v>1452.42</v>
      </c>
      <c r="Y17" s="159">
        <f>K17+V17-X17</f>
        <v>9200.58</v>
      </c>
      <c r="Z17" s="60"/>
      <c r="AF17" s="67"/>
    </row>
    <row r="18" spans="1:3223" s="53" customFormat="1" ht="102.75" customHeight="1" x14ac:dyDescent="0.35">
      <c r="A18" s="266"/>
      <c r="B18" s="256" t="s">
        <v>291</v>
      </c>
      <c r="C18" s="165" t="s">
        <v>111</v>
      </c>
      <c r="D18" s="261" t="s">
        <v>292</v>
      </c>
      <c r="E18" s="257">
        <v>44991</v>
      </c>
      <c r="F18" s="258" t="s">
        <v>62</v>
      </c>
      <c r="G18" s="259">
        <v>10</v>
      </c>
      <c r="H18" s="260"/>
      <c r="I18" s="157">
        <v>3863.91</v>
      </c>
      <c r="J18" s="158">
        <v>0</v>
      </c>
      <c r="K18" s="159">
        <f>SUM(I18:J18)</f>
        <v>3863.91</v>
      </c>
      <c r="L18" s="160">
        <f>IF(I18/15&lt;=SMG,0,J18/2)</f>
        <v>0</v>
      </c>
      <c r="M18" s="160">
        <f t="shared" si="21"/>
        <v>3863.91</v>
      </c>
      <c r="N18" s="160">
        <f>VLOOKUP(M18,Tarifa1,1)</f>
        <v>3124.36</v>
      </c>
      <c r="O18" s="160">
        <f t="shared" si="22"/>
        <v>739.54999999999973</v>
      </c>
      <c r="P18" s="161">
        <f>VLOOKUP(M18,Tarifa1,3)</f>
        <v>0.10879999999999999</v>
      </c>
      <c r="Q18" s="160">
        <f t="shared" si="23"/>
        <v>80.463039999999964</v>
      </c>
      <c r="R18" s="162">
        <f>VLOOKUP(M18,Tarifa1,2)</f>
        <v>183.45</v>
      </c>
      <c r="S18" s="160">
        <f t="shared" si="24"/>
        <v>263.91303999999997</v>
      </c>
      <c r="T18" s="160">
        <f>VLOOKUP(M18,Credito1,2)</f>
        <v>0</v>
      </c>
      <c r="U18" s="160">
        <f t="shared" si="25"/>
        <v>263.91000000000003</v>
      </c>
      <c r="V18" s="159">
        <f t="shared" si="26"/>
        <v>0</v>
      </c>
      <c r="W18" s="159">
        <f>IF(I18/15&lt;=SMG,0,IF(U18&lt;0,0,U18))</f>
        <v>263.91000000000003</v>
      </c>
      <c r="X18" s="159">
        <f>SUM(W18:W18)</f>
        <v>263.91000000000003</v>
      </c>
      <c r="Y18" s="159">
        <f>K18+V18-X18</f>
        <v>3600</v>
      </c>
      <c r="Z18" s="58"/>
      <c r="AF18" s="67"/>
    </row>
    <row r="19" spans="1:3223" s="69" customFormat="1" ht="42" customHeight="1" x14ac:dyDescent="0.3">
      <c r="A19" s="152"/>
      <c r="B19" s="196" t="s">
        <v>99</v>
      </c>
      <c r="C19" s="196" t="s">
        <v>120</v>
      </c>
      <c r="D19" s="196" t="s">
        <v>118</v>
      </c>
      <c r="E19" s="196" t="s">
        <v>289</v>
      </c>
      <c r="F19" s="247" t="s">
        <v>60</v>
      </c>
      <c r="G19" s="247"/>
      <c r="H19" s="212"/>
      <c r="I19" s="232">
        <f>SUM(I20:I20)</f>
        <v>2954</v>
      </c>
      <c r="J19" s="232">
        <f>SUM(J20:J20)</f>
        <v>0</v>
      </c>
      <c r="K19" s="232">
        <f>SUM(K20:K20)</f>
        <v>2954</v>
      </c>
      <c r="L19" s="212"/>
      <c r="M19" s="212"/>
      <c r="N19" s="212"/>
      <c r="O19" s="212"/>
      <c r="P19" s="212"/>
      <c r="Q19" s="212"/>
      <c r="R19" s="234"/>
      <c r="S19" s="212"/>
      <c r="T19" s="212"/>
      <c r="U19" s="233"/>
      <c r="V19" s="232">
        <f>SUM(V20:V20)</f>
        <v>0</v>
      </c>
      <c r="W19" s="232">
        <f>SUM(W20:W20)</f>
        <v>0</v>
      </c>
      <c r="X19" s="232">
        <f>SUM(X20:X20)</f>
        <v>0</v>
      </c>
      <c r="Y19" s="232">
        <f>SUM(Y20:Y20)</f>
        <v>2954</v>
      </c>
      <c r="Z19" s="66"/>
      <c r="AA19" s="90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</row>
    <row r="20" spans="1:3223" s="69" customFormat="1" ht="102.75" customHeight="1" x14ac:dyDescent="0.35">
      <c r="A20" s="236"/>
      <c r="B20" s="152" t="s">
        <v>106</v>
      </c>
      <c r="C20" s="152" t="s">
        <v>111</v>
      </c>
      <c r="D20" s="218" t="s">
        <v>91</v>
      </c>
      <c r="E20" s="221">
        <v>42171</v>
      </c>
      <c r="F20" s="169" t="s">
        <v>142</v>
      </c>
      <c r="G20" s="167">
        <v>15</v>
      </c>
      <c r="H20" s="156">
        <v>178.81533333333334</v>
      </c>
      <c r="I20" s="157">
        <v>2954</v>
      </c>
      <c r="J20" s="158">
        <v>0</v>
      </c>
      <c r="K20" s="159">
        <f t="shared" ref="K20" si="27">SUM(I20:J20)</f>
        <v>2954</v>
      </c>
      <c r="L20" s="160">
        <f t="shared" ref="L20" si="28">IF(I20/15&lt;=SMG,0,J20/2)</f>
        <v>0</v>
      </c>
      <c r="M20" s="160">
        <f t="shared" ref="M20" si="29">I20+L20</f>
        <v>2954</v>
      </c>
      <c r="N20" s="160">
        <f>VLOOKUP(M20,Tarifa1,1)</f>
        <v>368.11</v>
      </c>
      <c r="O20" s="160">
        <f t="shared" ref="O20" si="30">M20-N20</f>
        <v>2585.89</v>
      </c>
      <c r="P20" s="161">
        <f>VLOOKUP(M20,Tarifa1,3)</f>
        <v>6.4000000000000001E-2</v>
      </c>
      <c r="Q20" s="160">
        <f t="shared" ref="Q20" si="31">O20*P20</f>
        <v>165.49696</v>
      </c>
      <c r="R20" s="162">
        <f>VLOOKUP(M20,Tarifa1,2)</f>
        <v>7.05</v>
      </c>
      <c r="S20" s="160">
        <f t="shared" ref="S20" si="32">Q20+R20</f>
        <v>172.54696000000001</v>
      </c>
      <c r="T20" s="160">
        <f>VLOOKUP(M20,Credito1,2)</f>
        <v>145.35</v>
      </c>
      <c r="U20" s="160">
        <f t="shared" ref="U20" si="33">ROUND(S20-T20,2)</f>
        <v>27.2</v>
      </c>
      <c r="V20" s="159">
        <f t="shared" ref="V20" si="34">-IF(U20&gt;0,0,U20)</f>
        <v>0</v>
      </c>
      <c r="W20" s="168">
        <f>IF(I20/15&lt;=SMG,0,IF(U20&lt;0,0,U20))</f>
        <v>0</v>
      </c>
      <c r="X20" s="159">
        <f>SUM(W20:W20)</f>
        <v>0</v>
      </c>
      <c r="Y20" s="168">
        <f>K20+V20-X20</f>
        <v>2954</v>
      </c>
      <c r="Z20" s="68"/>
      <c r="AA20" s="90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  <c r="AMJ20" s="53"/>
      <c r="AMK20" s="53"/>
      <c r="AML20" s="53"/>
      <c r="AMM20" s="53"/>
      <c r="AMN20" s="53"/>
      <c r="AMO20" s="53"/>
      <c r="AMP20" s="53"/>
      <c r="AMQ20" s="53"/>
      <c r="AMR20" s="53"/>
      <c r="AMS20" s="53"/>
      <c r="AMT20" s="53"/>
      <c r="AMU20" s="53"/>
      <c r="AMV20" s="53"/>
      <c r="AMW20" s="53"/>
      <c r="AMX20" s="53"/>
      <c r="AMY20" s="53"/>
      <c r="AMZ20" s="53"/>
      <c r="ANA20" s="53"/>
      <c r="ANB20" s="53"/>
      <c r="ANC20" s="53"/>
      <c r="AND20" s="53"/>
      <c r="ANE20" s="53"/>
      <c r="ANF20" s="53"/>
      <c r="ANG20" s="53"/>
      <c r="ANH20" s="53"/>
      <c r="ANI20" s="53"/>
      <c r="ANJ20" s="53"/>
      <c r="ANK20" s="53"/>
      <c r="ANL20" s="53"/>
      <c r="ANM20" s="53"/>
      <c r="ANN20" s="53"/>
      <c r="ANO20" s="53"/>
      <c r="ANP20" s="53"/>
      <c r="ANQ20" s="53"/>
      <c r="ANR20" s="53"/>
      <c r="ANS20" s="53"/>
      <c r="ANT20" s="53"/>
      <c r="ANU20" s="53"/>
      <c r="ANV20" s="53"/>
      <c r="ANW20" s="53"/>
      <c r="ANX20" s="53"/>
      <c r="ANY20" s="53"/>
      <c r="ANZ20" s="53"/>
      <c r="AOA20" s="53"/>
      <c r="AOB20" s="53"/>
      <c r="AOC20" s="53"/>
      <c r="AOD20" s="53"/>
      <c r="AOE20" s="53"/>
      <c r="AOF20" s="53"/>
      <c r="AOG20" s="53"/>
      <c r="AOH20" s="53"/>
      <c r="AOI20" s="53"/>
      <c r="AOJ20" s="53"/>
      <c r="AOK20" s="53"/>
      <c r="AOL20" s="53"/>
      <c r="AOM20" s="53"/>
      <c r="AON20" s="53"/>
      <c r="AOO20" s="53"/>
      <c r="AOP20" s="53"/>
      <c r="AOQ20" s="53"/>
      <c r="AOR20" s="53"/>
      <c r="AOS20" s="53"/>
      <c r="AOT20" s="53"/>
      <c r="AOU20" s="53"/>
      <c r="AOV20" s="53"/>
      <c r="AOW20" s="53"/>
      <c r="AOX20" s="53"/>
      <c r="AOY20" s="53"/>
      <c r="AOZ20" s="53"/>
      <c r="APA20" s="53"/>
      <c r="APB20" s="53"/>
      <c r="APC20" s="53"/>
      <c r="APD20" s="53"/>
      <c r="APE20" s="53"/>
      <c r="APF20" s="53"/>
      <c r="APG20" s="53"/>
      <c r="APH20" s="53"/>
      <c r="API20" s="53"/>
      <c r="APJ20" s="53"/>
      <c r="APK20" s="53"/>
      <c r="APL20" s="53"/>
      <c r="APM20" s="53"/>
      <c r="APN20" s="53"/>
      <c r="APO20" s="53"/>
      <c r="APP20" s="53"/>
      <c r="APQ20" s="53"/>
      <c r="APR20" s="53"/>
      <c r="APS20" s="53"/>
      <c r="APT20" s="53"/>
      <c r="APU20" s="53"/>
      <c r="APV20" s="53"/>
      <c r="APW20" s="53"/>
      <c r="APX20" s="53"/>
      <c r="APY20" s="53"/>
      <c r="APZ20" s="53"/>
      <c r="AQA20" s="53"/>
      <c r="AQB20" s="53"/>
      <c r="AQC20" s="53"/>
      <c r="AQD20" s="53"/>
      <c r="AQE20" s="53"/>
      <c r="AQF20" s="53"/>
      <c r="AQG20" s="53"/>
      <c r="AQH20" s="53"/>
      <c r="AQI20" s="53"/>
      <c r="AQJ20" s="53"/>
      <c r="AQK20" s="53"/>
      <c r="AQL20" s="53"/>
      <c r="AQM20" s="53"/>
      <c r="AQN20" s="53"/>
      <c r="AQO20" s="53"/>
      <c r="AQP20" s="53"/>
      <c r="AQQ20" s="53"/>
      <c r="AQR20" s="53"/>
      <c r="AQS20" s="53"/>
      <c r="AQT20" s="53"/>
      <c r="AQU20" s="53"/>
      <c r="AQV20" s="53"/>
      <c r="AQW20" s="53"/>
      <c r="AQX20" s="53"/>
      <c r="AQY20" s="53"/>
      <c r="AQZ20" s="53"/>
      <c r="ARA20" s="53"/>
      <c r="ARB20" s="53"/>
      <c r="ARC20" s="53"/>
      <c r="ARD20" s="53"/>
      <c r="ARE20" s="53"/>
      <c r="ARF20" s="53"/>
      <c r="ARG20" s="53"/>
      <c r="ARH20" s="53"/>
      <c r="ARI20" s="53"/>
      <c r="ARJ20" s="53"/>
      <c r="ARK20" s="53"/>
      <c r="ARL20" s="53"/>
      <c r="ARM20" s="53"/>
      <c r="ARN20" s="53"/>
      <c r="ARO20" s="53"/>
      <c r="ARP20" s="53"/>
      <c r="ARQ20" s="53"/>
      <c r="ARR20" s="53"/>
      <c r="ARS20" s="53"/>
      <c r="ART20" s="53"/>
      <c r="ARU20" s="53"/>
      <c r="ARV20" s="53"/>
      <c r="ARW20" s="53"/>
      <c r="ARX20" s="53"/>
      <c r="ARY20" s="53"/>
      <c r="ARZ20" s="53"/>
      <c r="ASA20" s="53"/>
      <c r="ASB20" s="53"/>
      <c r="ASC20" s="53"/>
      <c r="ASD20" s="53"/>
      <c r="ASE20" s="53"/>
      <c r="ASF20" s="53"/>
      <c r="ASG20" s="53"/>
      <c r="ASH20" s="53"/>
      <c r="ASI20" s="53"/>
      <c r="ASJ20" s="53"/>
      <c r="ASK20" s="53"/>
      <c r="ASL20" s="53"/>
      <c r="ASM20" s="53"/>
      <c r="ASN20" s="53"/>
      <c r="ASO20" s="53"/>
      <c r="ASP20" s="53"/>
      <c r="ASQ20" s="53"/>
      <c r="ASR20" s="53"/>
      <c r="ASS20" s="53"/>
      <c r="AST20" s="53"/>
      <c r="ASU20" s="53"/>
      <c r="ASV20" s="53"/>
      <c r="ASW20" s="53"/>
      <c r="ASX20" s="53"/>
      <c r="ASY20" s="53"/>
      <c r="ASZ20" s="53"/>
      <c r="ATA20" s="53"/>
      <c r="ATB20" s="53"/>
      <c r="ATC20" s="53"/>
      <c r="ATD20" s="53"/>
      <c r="ATE20" s="53"/>
      <c r="ATF20" s="53"/>
      <c r="ATG20" s="53"/>
      <c r="ATH20" s="53"/>
      <c r="ATI20" s="53"/>
      <c r="ATJ20" s="53"/>
      <c r="ATK20" s="53"/>
      <c r="ATL20" s="53"/>
      <c r="ATM20" s="53"/>
      <c r="ATN20" s="53"/>
      <c r="ATO20" s="53"/>
      <c r="ATP20" s="53"/>
      <c r="ATQ20" s="53"/>
      <c r="ATR20" s="53"/>
      <c r="ATS20" s="53"/>
      <c r="ATT20" s="53"/>
      <c r="ATU20" s="53"/>
      <c r="ATV20" s="53"/>
      <c r="ATW20" s="53"/>
      <c r="ATX20" s="53"/>
      <c r="ATY20" s="53"/>
      <c r="ATZ20" s="53"/>
      <c r="AUA20" s="53"/>
      <c r="AUB20" s="53"/>
      <c r="AUC20" s="53"/>
      <c r="AUD20" s="53"/>
      <c r="AUE20" s="53"/>
      <c r="AUF20" s="53"/>
      <c r="AUG20" s="53"/>
      <c r="AUH20" s="53"/>
      <c r="AUI20" s="53"/>
      <c r="AUJ20" s="53"/>
      <c r="AUK20" s="53"/>
      <c r="AUL20" s="53"/>
      <c r="AUM20" s="53"/>
      <c r="AUN20" s="53"/>
      <c r="AUO20" s="53"/>
      <c r="AUP20" s="53"/>
      <c r="AUQ20" s="53"/>
      <c r="AUR20" s="53"/>
      <c r="AUS20" s="53"/>
      <c r="AUT20" s="53"/>
      <c r="AUU20" s="53"/>
      <c r="AUV20" s="53"/>
      <c r="AUW20" s="53"/>
      <c r="AUX20" s="53"/>
      <c r="AUY20" s="53"/>
      <c r="AUZ20" s="53"/>
      <c r="AVA20" s="53"/>
      <c r="AVB20" s="53"/>
      <c r="AVC20" s="53"/>
      <c r="AVD20" s="53"/>
      <c r="AVE20" s="53"/>
      <c r="AVF20" s="53"/>
      <c r="AVG20" s="53"/>
      <c r="AVH20" s="53"/>
      <c r="AVI20" s="53"/>
      <c r="AVJ20" s="53"/>
      <c r="AVK20" s="53"/>
      <c r="AVL20" s="53"/>
      <c r="AVM20" s="53"/>
      <c r="AVN20" s="53"/>
      <c r="AVO20" s="53"/>
      <c r="AVP20" s="53"/>
      <c r="AVQ20" s="53"/>
      <c r="AVR20" s="53"/>
      <c r="AVS20" s="53"/>
      <c r="AVT20" s="53"/>
      <c r="AVU20" s="53"/>
      <c r="AVV20" s="53"/>
      <c r="AVW20" s="53"/>
      <c r="AVX20" s="53"/>
      <c r="AVY20" s="53"/>
      <c r="AVZ20" s="53"/>
      <c r="AWA20" s="53"/>
      <c r="AWB20" s="53"/>
      <c r="AWC20" s="53"/>
      <c r="AWD20" s="53"/>
      <c r="AWE20" s="53"/>
      <c r="AWF20" s="53"/>
      <c r="AWG20" s="53"/>
      <c r="AWH20" s="53"/>
      <c r="AWI20" s="53"/>
      <c r="AWJ20" s="53"/>
      <c r="AWK20" s="53"/>
      <c r="AWL20" s="53"/>
      <c r="AWM20" s="53"/>
      <c r="AWN20" s="53"/>
      <c r="AWO20" s="53"/>
      <c r="AWP20" s="53"/>
      <c r="AWQ20" s="53"/>
      <c r="AWR20" s="53"/>
      <c r="AWS20" s="53"/>
      <c r="AWT20" s="53"/>
      <c r="AWU20" s="53"/>
      <c r="AWV20" s="53"/>
      <c r="AWW20" s="53"/>
      <c r="AWX20" s="53"/>
      <c r="AWY20" s="53"/>
      <c r="AWZ20" s="53"/>
      <c r="AXA20" s="53"/>
      <c r="AXB20" s="53"/>
      <c r="AXC20" s="53"/>
      <c r="AXD20" s="53"/>
      <c r="AXE20" s="53"/>
      <c r="AXF20" s="53"/>
      <c r="AXG20" s="53"/>
      <c r="AXH20" s="53"/>
      <c r="AXI20" s="53"/>
      <c r="AXJ20" s="53"/>
      <c r="AXK20" s="53"/>
      <c r="AXL20" s="53"/>
      <c r="AXM20" s="53"/>
      <c r="AXN20" s="53"/>
      <c r="AXO20" s="53"/>
      <c r="AXP20" s="53"/>
      <c r="AXQ20" s="53"/>
      <c r="AXR20" s="53"/>
      <c r="AXS20" s="53"/>
      <c r="AXT20" s="53"/>
      <c r="AXU20" s="53"/>
      <c r="AXV20" s="53"/>
      <c r="AXW20" s="53"/>
      <c r="AXX20" s="53"/>
      <c r="AXY20" s="53"/>
      <c r="AXZ20" s="53"/>
      <c r="AYA20" s="53"/>
      <c r="AYB20" s="53"/>
      <c r="AYC20" s="53"/>
      <c r="AYD20" s="53"/>
      <c r="AYE20" s="53"/>
      <c r="AYF20" s="53"/>
      <c r="AYG20" s="53"/>
      <c r="AYH20" s="53"/>
      <c r="AYI20" s="53"/>
      <c r="AYJ20" s="53"/>
      <c r="AYK20" s="53"/>
      <c r="AYL20" s="53"/>
      <c r="AYM20" s="53"/>
      <c r="AYN20" s="53"/>
      <c r="AYO20" s="53"/>
      <c r="AYP20" s="53"/>
      <c r="AYQ20" s="53"/>
      <c r="AYR20" s="53"/>
      <c r="AYS20" s="53"/>
      <c r="AYT20" s="53"/>
      <c r="AYU20" s="53"/>
      <c r="AYV20" s="53"/>
      <c r="AYW20" s="53"/>
      <c r="AYX20" s="53"/>
      <c r="AYY20" s="53"/>
      <c r="AYZ20" s="53"/>
      <c r="AZA20" s="53"/>
      <c r="AZB20" s="53"/>
      <c r="AZC20" s="53"/>
      <c r="AZD20" s="53"/>
      <c r="AZE20" s="53"/>
      <c r="AZF20" s="53"/>
      <c r="AZG20" s="53"/>
      <c r="AZH20" s="53"/>
      <c r="AZI20" s="53"/>
      <c r="AZJ20" s="53"/>
      <c r="AZK20" s="53"/>
      <c r="AZL20" s="53"/>
      <c r="AZM20" s="53"/>
      <c r="AZN20" s="53"/>
      <c r="AZO20" s="53"/>
      <c r="AZP20" s="53"/>
      <c r="AZQ20" s="53"/>
      <c r="AZR20" s="53"/>
      <c r="AZS20" s="53"/>
      <c r="AZT20" s="53"/>
      <c r="AZU20" s="53"/>
      <c r="AZV20" s="53"/>
      <c r="AZW20" s="53"/>
      <c r="AZX20" s="53"/>
      <c r="AZY20" s="53"/>
      <c r="AZZ20" s="53"/>
      <c r="BAA20" s="53"/>
      <c r="BAB20" s="53"/>
      <c r="BAC20" s="53"/>
      <c r="BAD20" s="53"/>
      <c r="BAE20" s="53"/>
      <c r="BAF20" s="53"/>
      <c r="BAG20" s="53"/>
      <c r="BAH20" s="53"/>
      <c r="BAI20" s="53"/>
      <c r="BAJ20" s="53"/>
      <c r="BAK20" s="53"/>
      <c r="BAL20" s="53"/>
      <c r="BAM20" s="53"/>
      <c r="BAN20" s="53"/>
      <c r="BAO20" s="53"/>
      <c r="BAP20" s="53"/>
      <c r="BAQ20" s="53"/>
      <c r="BAR20" s="53"/>
      <c r="BAS20" s="53"/>
      <c r="BAT20" s="53"/>
      <c r="BAU20" s="53"/>
      <c r="BAV20" s="53"/>
      <c r="BAW20" s="53"/>
      <c r="BAX20" s="53"/>
      <c r="BAY20" s="53"/>
      <c r="BAZ20" s="53"/>
      <c r="BBA20" s="53"/>
      <c r="BBB20" s="53"/>
      <c r="BBC20" s="53"/>
      <c r="BBD20" s="53"/>
      <c r="BBE20" s="53"/>
      <c r="BBF20" s="53"/>
      <c r="BBG20" s="53"/>
      <c r="BBH20" s="53"/>
      <c r="BBI20" s="53"/>
      <c r="BBJ20" s="53"/>
      <c r="BBK20" s="53"/>
      <c r="BBL20" s="53"/>
      <c r="BBM20" s="53"/>
      <c r="BBN20" s="53"/>
      <c r="BBO20" s="53"/>
      <c r="BBP20" s="53"/>
      <c r="BBQ20" s="53"/>
      <c r="BBR20" s="53"/>
      <c r="BBS20" s="53"/>
      <c r="BBT20" s="53"/>
      <c r="BBU20" s="53"/>
      <c r="BBV20" s="53"/>
      <c r="BBW20" s="53"/>
      <c r="BBX20" s="53"/>
      <c r="BBY20" s="53"/>
      <c r="BBZ20" s="53"/>
      <c r="BCA20" s="53"/>
      <c r="BCB20" s="53"/>
      <c r="BCC20" s="53"/>
      <c r="BCD20" s="53"/>
      <c r="BCE20" s="53"/>
      <c r="BCF20" s="53"/>
      <c r="BCG20" s="53"/>
      <c r="BCH20" s="53"/>
      <c r="BCI20" s="53"/>
      <c r="BCJ20" s="53"/>
      <c r="BCK20" s="53"/>
      <c r="BCL20" s="53"/>
      <c r="BCM20" s="53"/>
      <c r="BCN20" s="53"/>
      <c r="BCO20" s="53"/>
      <c r="BCP20" s="53"/>
      <c r="BCQ20" s="53"/>
      <c r="BCR20" s="53"/>
      <c r="BCS20" s="53"/>
      <c r="BCT20" s="53"/>
      <c r="BCU20" s="53"/>
      <c r="BCV20" s="53"/>
      <c r="BCW20" s="53"/>
      <c r="BCX20" s="53"/>
      <c r="BCY20" s="53"/>
      <c r="BCZ20" s="53"/>
      <c r="BDA20" s="53"/>
      <c r="BDB20" s="53"/>
      <c r="BDC20" s="53"/>
      <c r="BDD20" s="53"/>
      <c r="BDE20" s="53"/>
      <c r="BDF20" s="53"/>
      <c r="BDG20" s="53"/>
      <c r="BDH20" s="53"/>
      <c r="BDI20" s="53"/>
      <c r="BDJ20" s="53"/>
      <c r="BDK20" s="53"/>
      <c r="BDL20" s="53"/>
      <c r="BDM20" s="53"/>
      <c r="BDN20" s="53"/>
      <c r="BDO20" s="53"/>
      <c r="BDP20" s="53"/>
      <c r="BDQ20" s="53"/>
      <c r="BDR20" s="53"/>
      <c r="BDS20" s="53"/>
      <c r="BDT20" s="53"/>
      <c r="BDU20" s="53"/>
      <c r="BDV20" s="53"/>
      <c r="BDW20" s="53"/>
      <c r="BDX20" s="53"/>
      <c r="BDY20" s="53"/>
      <c r="BDZ20" s="53"/>
      <c r="BEA20" s="53"/>
      <c r="BEB20" s="53"/>
      <c r="BEC20" s="53"/>
      <c r="BED20" s="53"/>
      <c r="BEE20" s="53"/>
      <c r="BEF20" s="53"/>
      <c r="BEG20" s="53"/>
      <c r="BEH20" s="53"/>
      <c r="BEI20" s="53"/>
      <c r="BEJ20" s="53"/>
      <c r="BEK20" s="53"/>
      <c r="BEL20" s="53"/>
      <c r="BEM20" s="53"/>
      <c r="BEN20" s="53"/>
      <c r="BEO20" s="53"/>
      <c r="BEP20" s="53"/>
      <c r="BEQ20" s="53"/>
      <c r="BER20" s="53"/>
      <c r="BES20" s="53"/>
      <c r="BET20" s="53"/>
      <c r="BEU20" s="53"/>
      <c r="BEV20" s="53"/>
      <c r="BEW20" s="53"/>
      <c r="BEX20" s="53"/>
      <c r="BEY20" s="53"/>
      <c r="BEZ20" s="53"/>
      <c r="BFA20" s="53"/>
      <c r="BFB20" s="53"/>
      <c r="BFC20" s="53"/>
      <c r="BFD20" s="53"/>
      <c r="BFE20" s="53"/>
      <c r="BFF20" s="53"/>
      <c r="BFG20" s="53"/>
      <c r="BFH20" s="53"/>
      <c r="BFI20" s="53"/>
      <c r="BFJ20" s="53"/>
      <c r="BFK20" s="53"/>
      <c r="BFL20" s="53"/>
      <c r="BFM20" s="53"/>
      <c r="BFN20" s="53"/>
      <c r="BFO20" s="53"/>
      <c r="BFP20" s="53"/>
      <c r="BFQ20" s="53"/>
      <c r="BFR20" s="53"/>
      <c r="BFS20" s="53"/>
      <c r="BFT20" s="53"/>
      <c r="BFU20" s="53"/>
      <c r="BFV20" s="53"/>
      <c r="BFW20" s="53"/>
      <c r="BFX20" s="53"/>
      <c r="BFY20" s="53"/>
      <c r="BFZ20" s="53"/>
      <c r="BGA20" s="53"/>
      <c r="BGB20" s="53"/>
      <c r="BGC20" s="53"/>
      <c r="BGD20" s="53"/>
      <c r="BGE20" s="53"/>
      <c r="BGF20" s="53"/>
      <c r="BGG20" s="53"/>
      <c r="BGH20" s="53"/>
      <c r="BGI20" s="53"/>
      <c r="BGJ20" s="53"/>
      <c r="BGK20" s="53"/>
      <c r="BGL20" s="53"/>
      <c r="BGM20" s="53"/>
      <c r="BGN20" s="53"/>
      <c r="BGO20" s="53"/>
      <c r="BGP20" s="53"/>
      <c r="BGQ20" s="53"/>
      <c r="BGR20" s="53"/>
      <c r="BGS20" s="53"/>
      <c r="BGT20" s="53"/>
      <c r="BGU20" s="53"/>
      <c r="BGV20" s="53"/>
      <c r="BGW20" s="53"/>
      <c r="BGX20" s="53"/>
      <c r="BGY20" s="53"/>
      <c r="BGZ20" s="53"/>
      <c r="BHA20" s="53"/>
      <c r="BHB20" s="53"/>
      <c r="BHC20" s="53"/>
      <c r="BHD20" s="53"/>
      <c r="BHE20" s="53"/>
      <c r="BHF20" s="53"/>
      <c r="BHG20" s="53"/>
      <c r="BHH20" s="53"/>
      <c r="BHI20" s="53"/>
      <c r="BHJ20" s="53"/>
      <c r="BHK20" s="53"/>
      <c r="BHL20" s="53"/>
      <c r="BHM20" s="53"/>
      <c r="BHN20" s="53"/>
      <c r="BHO20" s="53"/>
      <c r="BHP20" s="53"/>
      <c r="BHQ20" s="53"/>
      <c r="BHR20" s="53"/>
      <c r="BHS20" s="53"/>
      <c r="BHT20" s="53"/>
      <c r="BHU20" s="53"/>
      <c r="BHV20" s="53"/>
      <c r="BHW20" s="53"/>
      <c r="BHX20" s="53"/>
      <c r="BHY20" s="53"/>
      <c r="BHZ20" s="53"/>
      <c r="BIA20" s="53"/>
      <c r="BIB20" s="53"/>
      <c r="BIC20" s="53"/>
      <c r="BID20" s="53"/>
      <c r="BIE20" s="53"/>
      <c r="BIF20" s="53"/>
      <c r="BIG20" s="53"/>
      <c r="BIH20" s="53"/>
      <c r="BII20" s="53"/>
      <c r="BIJ20" s="53"/>
      <c r="BIK20" s="53"/>
      <c r="BIL20" s="53"/>
      <c r="BIM20" s="53"/>
      <c r="BIN20" s="53"/>
      <c r="BIO20" s="53"/>
      <c r="BIP20" s="53"/>
      <c r="BIQ20" s="53"/>
      <c r="BIR20" s="53"/>
      <c r="BIS20" s="53"/>
      <c r="BIT20" s="53"/>
      <c r="BIU20" s="53"/>
      <c r="BIV20" s="53"/>
      <c r="BIW20" s="53"/>
      <c r="BIX20" s="53"/>
      <c r="BIY20" s="53"/>
      <c r="BIZ20" s="53"/>
      <c r="BJA20" s="53"/>
      <c r="BJB20" s="53"/>
      <c r="BJC20" s="53"/>
      <c r="BJD20" s="53"/>
      <c r="BJE20" s="53"/>
      <c r="BJF20" s="53"/>
      <c r="BJG20" s="53"/>
      <c r="BJH20" s="53"/>
      <c r="BJI20" s="53"/>
      <c r="BJJ20" s="53"/>
      <c r="BJK20" s="53"/>
      <c r="BJL20" s="53"/>
      <c r="BJM20" s="53"/>
      <c r="BJN20" s="53"/>
      <c r="BJO20" s="53"/>
      <c r="BJP20" s="53"/>
      <c r="BJQ20" s="53"/>
      <c r="BJR20" s="53"/>
      <c r="BJS20" s="53"/>
      <c r="BJT20" s="53"/>
      <c r="BJU20" s="53"/>
      <c r="BJV20" s="53"/>
      <c r="BJW20" s="53"/>
      <c r="BJX20" s="53"/>
      <c r="BJY20" s="53"/>
      <c r="BJZ20" s="53"/>
      <c r="BKA20" s="53"/>
      <c r="BKB20" s="53"/>
      <c r="BKC20" s="53"/>
      <c r="BKD20" s="53"/>
      <c r="BKE20" s="53"/>
      <c r="BKF20" s="53"/>
      <c r="BKG20" s="53"/>
      <c r="BKH20" s="53"/>
      <c r="BKI20" s="53"/>
      <c r="BKJ20" s="53"/>
      <c r="BKK20" s="53"/>
      <c r="BKL20" s="53"/>
      <c r="BKM20" s="53"/>
      <c r="BKN20" s="53"/>
      <c r="BKO20" s="53"/>
      <c r="BKP20" s="53"/>
      <c r="BKQ20" s="53"/>
      <c r="BKR20" s="53"/>
      <c r="BKS20" s="53"/>
      <c r="BKT20" s="53"/>
      <c r="BKU20" s="53"/>
      <c r="BKV20" s="53"/>
      <c r="BKW20" s="53"/>
      <c r="BKX20" s="53"/>
      <c r="BKY20" s="53"/>
      <c r="BKZ20" s="53"/>
      <c r="BLA20" s="53"/>
      <c r="BLB20" s="53"/>
      <c r="BLC20" s="53"/>
      <c r="BLD20" s="53"/>
      <c r="BLE20" s="53"/>
      <c r="BLF20" s="53"/>
      <c r="BLG20" s="53"/>
      <c r="BLH20" s="53"/>
      <c r="BLI20" s="53"/>
      <c r="BLJ20" s="53"/>
      <c r="BLK20" s="53"/>
      <c r="BLL20" s="53"/>
      <c r="BLM20" s="53"/>
      <c r="BLN20" s="53"/>
      <c r="BLO20" s="53"/>
      <c r="BLP20" s="53"/>
      <c r="BLQ20" s="53"/>
      <c r="BLR20" s="53"/>
      <c r="BLS20" s="53"/>
      <c r="BLT20" s="53"/>
      <c r="BLU20" s="53"/>
      <c r="BLV20" s="53"/>
      <c r="BLW20" s="53"/>
      <c r="BLX20" s="53"/>
      <c r="BLY20" s="53"/>
      <c r="BLZ20" s="53"/>
      <c r="BMA20" s="53"/>
      <c r="BMB20" s="53"/>
      <c r="BMC20" s="53"/>
      <c r="BMD20" s="53"/>
      <c r="BME20" s="53"/>
      <c r="BMF20" s="53"/>
      <c r="BMG20" s="53"/>
      <c r="BMH20" s="53"/>
      <c r="BMI20" s="53"/>
      <c r="BMJ20" s="53"/>
      <c r="BMK20" s="53"/>
      <c r="BML20" s="53"/>
      <c r="BMM20" s="53"/>
      <c r="BMN20" s="53"/>
      <c r="BMO20" s="53"/>
      <c r="BMP20" s="53"/>
      <c r="BMQ20" s="53"/>
      <c r="BMR20" s="53"/>
      <c r="BMS20" s="53"/>
      <c r="BMT20" s="53"/>
      <c r="BMU20" s="53"/>
      <c r="BMV20" s="53"/>
      <c r="BMW20" s="53"/>
      <c r="BMX20" s="53"/>
      <c r="BMY20" s="53"/>
      <c r="BMZ20" s="53"/>
      <c r="BNA20" s="53"/>
      <c r="BNB20" s="53"/>
      <c r="BNC20" s="53"/>
      <c r="BND20" s="53"/>
      <c r="BNE20" s="53"/>
      <c r="BNF20" s="53"/>
      <c r="BNG20" s="53"/>
      <c r="BNH20" s="53"/>
      <c r="BNI20" s="53"/>
      <c r="BNJ20" s="53"/>
      <c r="BNK20" s="53"/>
      <c r="BNL20" s="53"/>
      <c r="BNM20" s="53"/>
      <c r="BNN20" s="53"/>
      <c r="BNO20" s="53"/>
      <c r="BNP20" s="53"/>
      <c r="BNQ20" s="53"/>
      <c r="BNR20" s="53"/>
      <c r="BNS20" s="53"/>
      <c r="BNT20" s="53"/>
      <c r="BNU20" s="53"/>
      <c r="BNV20" s="53"/>
      <c r="BNW20" s="53"/>
      <c r="BNX20" s="53"/>
      <c r="BNY20" s="53"/>
      <c r="BNZ20" s="53"/>
      <c r="BOA20" s="53"/>
      <c r="BOB20" s="53"/>
      <c r="BOC20" s="53"/>
      <c r="BOD20" s="53"/>
      <c r="BOE20" s="53"/>
      <c r="BOF20" s="53"/>
      <c r="BOG20" s="53"/>
      <c r="BOH20" s="53"/>
      <c r="BOI20" s="53"/>
      <c r="BOJ20" s="53"/>
      <c r="BOK20" s="53"/>
      <c r="BOL20" s="53"/>
      <c r="BOM20" s="53"/>
      <c r="BON20" s="53"/>
      <c r="BOO20" s="53"/>
      <c r="BOP20" s="53"/>
      <c r="BOQ20" s="53"/>
      <c r="BOR20" s="53"/>
      <c r="BOS20" s="53"/>
      <c r="BOT20" s="53"/>
      <c r="BOU20" s="53"/>
      <c r="BOV20" s="53"/>
      <c r="BOW20" s="53"/>
      <c r="BOX20" s="53"/>
      <c r="BOY20" s="53"/>
      <c r="BOZ20" s="53"/>
      <c r="BPA20" s="53"/>
      <c r="BPB20" s="53"/>
      <c r="BPC20" s="53"/>
      <c r="BPD20" s="53"/>
      <c r="BPE20" s="53"/>
      <c r="BPF20" s="53"/>
      <c r="BPG20" s="53"/>
      <c r="BPH20" s="53"/>
      <c r="BPI20" s="53"/>
      <c r="BPJ20" s="53"/>
      <c r="BPK20" s="53"/>
      <c r="BPL20" s="53"/>
      <c r="BPM20" s="53"/>
      <c r="BPN20" s="53"/>
      <c r="BPO20" s="53"/>
      <c r="BPP20" s="53"/>
      <c r="BPQ20" s="53"/>
      <c r="BPR20" s="53"/>
      <c r="BPS20" s="53"/>
      <c r="BPT20" s="53"/>
      <c r="BPU20" s="53"/>
      <c r="BPV20" s="53"/>
      <c r="BPW20" s="53"/>
      <c r="BPX20" s="53"/>
      <c r="BPY20" s="53"/>
      <c r="BPZ20" s="53"/>
      <c r="BQA20" s="53"/>
      <c r="BQB20" s="53"/>
      <c r="BQC20" s="53"/>
      <c r="BQD20" s="53"/>
      <c r="BQE20" s="53"/>
      <c r="BQF20" s="53"/>
      <c r="BQG20" s="53"/>
      <c r="BQH20" s="53"/>
      <c r="BQI20" s="53"/>
      <c r="BQJ20" s="53"/>
      <c r="BQK20" s="53"/>
      <c r="BQL20" s="53"/>
      <c r="BQM20" s="53"/>
      <c r="BQN20" s="53"/>
      <c r="BQO20" s="53"/>
      <c r="BQP20" s="53"/>
      <c r="BQQ20" s="53"/>
      <c r="BQR20" s="53"/>
      <c r="BQS20" s="53"/>
      <c r="BQT20" s="53"/>
      <c r="BQU20" s="53"/>
      <c r="BQV20" s="53"/>
      <c r="BQW20" s="53"/>
      <c r="BQX20" s="53"/>
      <c r="BQY20" s="53"/>
      <c r="BQZ20" s="53"/>
      <c r="BRA20" s="53"/>
      <c r="BRB20" s="53"/>
      <c r="BRC20" s="53"/>
      <c r="BRD20" s="53"/>
      <c r="BRE20" s="53"/>
      <c r="BRF20" s="53"/>
      <c r="BRG20" s="53"/>
      <c r="BRH20" s="53"/>
      <c r="BRI20" s="53"/>
      <c r="BRJ20" s="53"/>
      <c r="BRK20" s="53"/>
      <c r="BRL20" s="53"/>
      <c r="BRM20" s="53"/>
      <c r="BRN20" s="53"/>
      <c r="BRO20" s="53"/>
      <c r="BRP20" s="53"/>
      <c r="BRQ20" s="53"/>
      <c r="BRR20" s="53"/>
      <c r="BRS20" s="53"/>
      <c r="BRT20" s="53"/>
      <c r="BRU20" s="53"/>
      <c r="BRV20" s="53"/>
      <c r="BRW20" s="53"/>
      <c r="BRX20" s="53"/>
      <c r="BRY20" s="53"/>
      <c r="BRZ20" s="53"/>
      <c r="BSA20" s="53"/>
      <c r="BSB20" s="53"/>
      <c r="BSC20" s="53"/>
      <c r="BSD20" s="53"/>
      <c r="BSE20" s="53"/>
      <c r="BSF20" s="53"/>
      <c r="BSG20" s="53"/>
      <c r="BSH20" s="53"/>
      <c r="BSI20" s="53"/>
      <c r="BSJ20" s="53"/>
      <c r="BSK20" s="53"/>
      <c r="BSL20" s="53"/>
      <c r="BSM20" s="53"/>
      <c r="BSN20" s="53"/>
      <c r="BSO20" s="53"/>
      <c r="BSP20" s="53"/>
      <c r="BSQ20" s="53"/>
      <c r="BSR20" s="53"/>
      <c r="BSS20" s="53"/>
      <c r="BST20" s="53"/>
      <c r="BSU20" s="53"/>
      <c r="BSV20" s="53"/>
      <c r="BSW20" s="53"/>
      <c r="BSX20" s="53"/>
      <c r="BSY20" s="53"/>
      <c r="BSZ20" s="53"/>
      <c r="BTA20" s="53"/>
      <c r="BTB20" s="53"/>
      <c r="BTC20" s="53"/>
      <c r="BTD20" s="53"/>
      <c r="BTE20" s="53"/>
      <c r="BTF20" s="53"/>
      <c r="BTG20" s="53"/>
      <c r="BTH20" s="53"/>
      <c r="BTI20" s="53"/>
      <c r="BTJ20" s="53"/>
      <c r="BTK20" s="53"/>
      <c r="BTL20" s="53"/>
      <c r="BTM20" s="53"/>
      <c r="BTN20" s="53"/>
      <c r="BTO20" s="53"/>
      <c r="BTP20" s="53"/>
      <c r="BTQ20" s="53"/>
      <c r="BTR20" s="53"/>
      <c r="BTS20" s="53"/>
      <c r="BTT20" s="53"/>
      <c r="BTU20" s="53"/>
      <c r="BTV20" s="53"/>
      <c r="BTW20" s="53"/>
      <c r="BTX20" s="53"/>
      <c r="BTY20" s="53"/>
      <c r="BTZ20" s="53"/>
      <c r="BUA20" s="53"/>
      <c r="BUB20" s="53"/>
      <c r="BUC20" s="53"/>
      <c r="BUD20" s="53"/>
      <c r="BUE20" s="53"/>
      <c r="BUF20" s="53"/>
      <c r="BUG20" s="53"/>
      <c r="BUH20" s="53"/>
      <c r="BUI20" s="53"/>
      <c r="BUJ20" s="53"/>
      <c r="BUK20" s="53"/>
      <c r="BUL20" s="53"/>
      <c r="BUM20" s="53"/>
      <c r="BUN20" s="53"/>
      <c r="BUO20" s="53"/>
      <c r="BUP20" s="53"/>
      <c r="BUQ20" s="53"/>
      <c r="BUR20" s="53"/>
      <c r="BUS20" s="53"/>
      <c r="BUT20" s="53"/>
      <c r="BUU20" s="53"/>
      <c r="BUV20" s="53"/>
      <c r="BUW20" s="53"/>
      <c r="BUX20" s="53"/>
      <c r="BUY20" s="53"/>
      <c r="BUZ20" s="53"/>
      <c r="BVA20" s="53"/>
      <c r="BVB20" s="53"/>
      <c r="BVC20" s="53"/>
      <c r="BVD20" s="53"/>
      <c r="BVE20" s="53"/>
      <c r="BVF20" s="53"/>
      <c r="BVG20" s="53"/>
      <c r="BVH20" s="53"/>
      <c r="BVI20" s="53"/>
      <c r="BVJ20" s="53"/>
      <c r="BVK20" s="53"/>
      <c r="BVL20" s="53"/>
      <c r="BVM20" s="53"/>
      <c r="BVN20" s="53"/>
      <c r="BVO20" s="53"/>
      <c r="BVP20" s="53"/>
      <c r="BVQ20" s="53"/>
      <c r="BVR20" s="53"/>
      <c r="BVS20" s="53"/>
      <c r="BVT20" s="53"/>
      <c r="BVU20" s="53"/>
      <c r="BVV20" s="53"/>
      <c r="BVW20" s="53"/>
      <c r="BVX20" s="53"/>
      <c r="BVY20" s="53"/>
      <c r="BVZ20" s="53"/>
      <c r="BWA20" s="53"/>
      <c r="BWB20" s="53"/>
      <c r="BWC20" s="53"/>
      <c r="BWD20" s="53"/>
      <c r="BWE20" s="53"/>
      <c r="BWF20" s="53"/>
      <c r="BWG20" s="53"/>
      <c r="BWH20" s="53"/>
      <c r="BWI20" s="53"/>
      <c r="BWJ20" s="53"/>
      <c r="BWK20" s="53"/>
      <c r="BWL20" s="53"/>
      <c r="BWM20" s="53"/>
      <c r="BWN20" s="53"/>
      <c r="BWO20" s="53"/>
      <c r="BWP20" s="53"/>
      <c r="BWQ20" s="53"/>
      <c r="BWR20" s="53"/>
      <c r="BWS20" s="53"/>
      <c r="BWT20" s="53"/>
      <c r="BWU20" s="53"/>
      <c r="BWV20" s="53"/>
      <c r="BWW20" s="53"/>
      <c r="BWX20" s="53"/>
      <c r="BWY20" s="53"/>
      <c r="BWZ20" s="53"/>
      <c r="BXA20" s="53"/>
      <c r="BXB20" s="53"/>
      <c r="BXC20" s="53"/>
      <c r="BXD20" s="53"/>
      <c r="BXE20" s="53"/>
      <c r="BXF20" s="53"/>
      <c r="BXG20" s="53"/>
      <c r="BXH20" s="53"/>
      <c r="BXI20" s="53"/>
      <c r="BXJ20" s="53"/>
      <c r="BXK20" s="53"/>
      <c r="BXL20" s="53"/>
      <c r="BXM20" s="53"/>
      <c r="BXN20" s="53"/>
      <c r="BXO20" s="53"/>
      <c r="BXP20" s="53"/>
      <c r="BXQ20" s="53"/>
      <c r="BXR20" s="53"/>
      <c r="BXS20" s="53"/>
      <c r="BXT20" s="53"/>
      <c r="BXU20" s="53"/>
      <c r="BXV20" s="53"/>
      <c r="BXW20" s="53"/>
      <c r="BXX20" s="53"/>
      <c r="BXY20" s="53"/>
      <c r="BXZ20" s="53"/>
      <c r="BYA20" s="53"/>
      <c r="BYB20" s="53"/>
      <c r="BYC20" s="53"/>
      <c r="BYD20" s="53"/>
      <c r="BYE20" s="53"/>
      <c r="BYF20" s="53"/>
      <c r="BYG20" s="53"/>
      <c r="BYH20" s="53"/>
      <c r="BYI20" s="53"/>
      <c r="BYJ20" s="53"/>
      <c r="BYK20" s="53"/>
      <c r="BYL20" s="53"/>
      <c r="BYM20" s="53"/>
      <c r="BYN20" s="53"/>
      <c r="BYO20" s="53"/>
      <c r="BYP20" s="53"/>
      <c r="BYQ20" s="53"/>
      <c r="BYR20" s="53"/>
      <c r="BYS20" s="53"/>
      <c r="BYT20" s="53"/>
      <c r="BYU20" s="53"/>
      <c r="BYV20" s="53"/>
      <c r="BYW20" s="53"/>
      <c r="BYX20" s="53"/>
      <c r="BYY20" s="53"/>
      <c r="BYZ20" s="53"/>
      <c r="BZA20" s="53"/>
      <c r="BZB20" s="53"/>
      <c r="BZC20" s="53"/>
      <c r="BZD20" s="53"/>
      <c r="BZE20" s="53"/>
      <c r="BZF20" s="53"/>
      <c r="BZG20" s="53"/>
      <c r="BZH20" s="53"/>
      <c r="BZI20" s="53"/>
      <c r="BZJ20" s="53"/>
      <c r="BZK20" s="53"/>
      <c r="BZL20" s="53"/>
      <c r="BZM20" s="53"/>
      <c r="BZN20" s="53"/>
      <c r="BZO20" s="53"/>
      <c r="BZP20" s="53"/>
      <c r="BZQ20" s="53"/>
      <c r="BZR20" s="53"/>
      <c r="BZS20" s="53"/>
      <c r="BZT20" s="53"/>
      <c r="BZU20" s="53"/>
      <c r="BZV20" s="53"/>
      <c r="BZW20" s="53"/>
      <c r="BZX20" s="53"/>
      <c r="BZY20" s="53"/>
      <c r="BZZ20" s="53"/>
      <c r="CAA20" s="53"/>
      <c r="CAB20" s="53"/>
      <c r="CAC20" s="53"/>
      <c r="CAD20" s="53"/>
      <c r="CAE20" s="53"/>
      <c r="CAF20" s="53"/>
      <c r="CAG20" s="53"/>
      <c r="CAH20" s="53"/>
      <c r="CAI20" s="53"/>
      <c r="CAJ20" s="53"/>
      <c r="CAK20" s="53"/>
      <c r="CAL20" s="53"/>
      <c r="CAM20" s="53"/>
      <c r="CAN20" s="53"/>
      <c r="CAO20" s="53"/>
      <c r="CAP20" s="53"/>
      <c r="CAQ20" s="53"/>
      <c r="CAR20" s="53"/>
      <c r="CAS20" s="53"/>
      <c r="CAT20" s="53"/>
      <c r="CAU20" s="53"/>
      <c r="CAV20" s="53"/>
      <c r="CAW20" s="53"/>
      <c r="CAX20" s="53"/>
      <c r="CAY20" s="53"/>
      <c r="CAZ20" s="53"/>
      <c r="CBA20" s="53"/>
      <c r="CBB20" s="53"/>
      <c r="CBC20" s="53"/>
      <c r="CBD20" s="53"/>
      <c r="CBE20" s="53"/>
      <c r="CBF20" s="53"/>
      <c r="CBG20" s="53"/>
      <c r="CBH20" s="53"/>
      <c r="CBI20" s="53"/>
      <c r="CBJ20" s="53"/>
      <c r="CBK20" s="53"/>
      <c r="CBL20" s="53"/>
      <c r="CBM20" s="53"/>
      <c r="CBN20" s="53"/>
      <c r="CBO20" s="53"/>
      <c r="CBP20" s="53"/>
      <c r="CBQ20" s="53"/>
      <c r="CBR20" s="53"/>
      <c r="CBS20" s="53"/>
      <c r="CBT20" s="53"/>
      <c r="CBU20" s="53"/>
      <c r="CBV20" s="53"/>
      <c r="CBW20" s="53"/>
      <c r="CBX20" s="53"/>
      <c r="CBY20" s="53"/>
      <c r="CBZ20" s="53"/>
      <c r="CCA20" s="53"/>
      <c r="CCB20" s="53"/>
      <c r="CCC20" s="53"/>
      <c r="CCD20" s="53"/>
      <c r="CCE20" s="53"/>
      <c r="CCF20" s="53"/>
      <c r="CCG20" s="53"/>
      <c r="CCH20" s="53"/>
      <c r="CCI20" s="53"/>
      <c r="CCJ20" s="53"/>
      <c r="CCK20" s="53"/>
      <c r="CCL20" s="53"/>
      <c r="CCM20" s="53"/>
      <c r="CCN20" s="53"/>
      <c r="CCO20" s="53"/>
      <c r="CCP20" s="53"/>
      <c r="CCQ20" s="53"/>
      <c r="CCR20" s="53"/>
      <c r="CCS20" s="53"/>
      <c r="CCT20" s="53"/>
      <c r="CCU20" s="53"/>
      <c r="CCV20" s="53"/>
      <c r="CCW20" s="53"/>
      <c r="CCX20" s="53"/>
      <c r="CCY20" s="53"/>
      <c r="CCZ20" s="53"/>
      <c r="CDA20" s="53"/>
      <c r="CDB20" s="53"/>
      <c r="CDC20" s="53"/>
      <c r="CDD20" s="53"/>
      <c r="CDE20" s="53"/>
      <c r="CDF20" s="53"/>
      <c r="CDG20" s="53"/>
      <c r="CDH20" s="53"/>
      <c r="CDI20" s="53"/>
      <c r="CDJ20" s="53"/>
      <c r="CDK20" s="53"/>
      <c r="CDL20" s="53"/>
      <c r="CDM20" s="53"/>
      <c r="CDN20" s="53"/>
      <c r="CDO20" s="53"/>
      <c r="CDP20" s="53"/>
      <c r="CDQ20" s="53"/>
      <c r="CDR20" s="53"/>
      <c r="CDS20" s="53"/>
      <c r="CDT20" s="53"/>
      <c r="CDU20" s="53"/>
      <c r="CDV20" s="53"/>
      <c r="CDW20" s="53"/>
      <c r="CDX20" s="53"/>
      <c r="CDY20" s="53"/>
      <c r="CDZ20" s="53"/>
      <c r="CEA20" s="53"/>
      <c r="CEB20" s="53"/>
      <c r="CEC20" s="53"/>
      <c r="CED20" s="53"/>
      <c r="CEE20" s="53"/>
      <c r="CEF20" s="53"/>
      <c r="CEG20" s="53"/>
      <c r="CEH20" s="53"/>
      <c r="CEI20" s="53"/>
      <c r="CEJ20" s="53"/>
      <c r="CEK20" s="53"/>
      <c r="CEL20" s="53"/>
      <c r="CEM20" s="53"/>
      <c r="CEN20" s="53"/>
      <c r="CEO20" s="53"/>
      <c r="CEP20" s="53"/>
      <c r="CEQ20" s="53"/>
      <c r="CER20" s="53"/>
      <c r="CES20" s="53"/>
      <c r="CET20" s="53"/>
      <c r="CEU20" s="53"/>
      <c r="CEV20" s="53"/>
      <c r="CEW20" s="53"/>
      <c r="CEX20" s="53"/>
      <c r="CEY20" s="53"/>
      <c r="CEZ20" s="53"/>
      <c r="CFA20" s="53"/>
      <c r="CFB20" s="53"/>
      <c r="CFC20" s="53"/>
      <c r="CFD20" s="53"/>
      <c r="CFE20" s="53"/>
      <c r="CFF20" s="53"/>
      <c r="CFG20" s="53"/>
      <c r="CFH20" s="53"/>
      <c r="CFI20" s="53"/>
      <c r="CFJ20" s="53"/>
      <c r="CFK20" s="53"/>
      <c r="CFL20" s="53"/>
      <c r="CFM20" s="53"/>
      <c r="CFN20" s="53"/>
      <c r="CFO20" s="53"/>
      <c r="CFP20" s="53"/>
      <c r="CFQ20" s="53"/>
      <c r="CFR20" s="53"/>
      <c r="CFS20" s="53"/>
      <c r="CFT20" s="53"/>
      <c r="CFU20" s="53"/>
      <c r="CFV20" s="53"/>
      <c r="CFW20" s="53"/>
      <c r="CFX20" s="53"/>
      <c r="CFY20" s="53"/>
      <c r="CFZ20" s="53"/>
      <c r="CGA20" s="53"/>
      <c r="CGB20" s="53"/>
      <c r="CGC20" s="53"/>
      <c r="CGD20" s="53"/>
      <c r="CGE20" s="53"/>
      <c r="CGF20" s="53"/>
      <c r="CGG20" s="53"/>
      <c r="CGH20" s="53"/>
      <c r="CGI20" s="53"/>
      <c r="CGJ20" s="53"/>
      <c r="CGK20" s="53"/>
      <c r="CGL20" s="53"/>
      <c r="CGM20" s="53"/>
      <c r="CGN20" s="53"/>
      <c r="CGO20" s="53"/>
      <c r="CGP20" s="53"/>
      <c r="CGQ20" s="53"/>
      <c r="CGR20" s="53"/>
      <c r="CGS20" s="53"/>
      <c r="CGT20" s="53"/>
      <c r="CGU20" s="53"/>
      <c r="CGV20" s="53"/>
      <c r="CGW20" s="53"/>
      <c r="CGX20" s="53"/>
      <c r="CGY20" s="53"/>
      <c r="CGZ20" s="53"/>
      <c r="CHA20" s="53"/>
      <c r="CHB20" s="53"/>
      <c r="CHC20" s="53"/>
      <c r="CHD20" s="53"/>
      <c r="CHE20" s="53"/>
      <c r="CHF20" s="53"/>
      <c r="CHG20" s="53"/>
      <c r="CHH20" s="53"/>
      <c r="CHI20" s="53"/>
      <c r="CHJ20" s="53"/>
      <c r="CHK20" s="53"/>
      <c r="CHL20" s="53"/>
      <c r="CHM20" s="53"/>
      <c r="CHN20" s="53"/>
      <c r="CHO20" s="53"/>
      <c r="CHP20" s="53"/>
      <c r="CHQ20" s="53"/>
      <c r="CHR20" s="53"/>
      <c r="CHS20" s="53"/>
      <c r="CHT20" s="53"/>
      <c r="CHU20" s="53"/>
      <c r="CHV20" s="53"/>
      <c r="CHW20" s="53"/>
      <c r="CHX20" s="53"/>
      <c r="CHY20" s="53"/>
      <c r="CHZ20" s="53"/>
      <c r="CIA20" s="53"/>
      <c r="CIB20" s="53"/>
      <c r="CIC20" s="53"/>
      <c r="CID20" s="53"/>
      <c r="CIE20" s="53"/>
      <c r="CIF20" s="53"/>
      <c r="CIG20" s="53"/>
      <c r="CIH20" s="53"/>
      <c r="CII20" s="53"/>
      <c r="CIJ20" s="53"/>
      <c r="CIK20" s="53"/>
      <c r="CIL20" s="53"/>
      <c r="CIM20" s="53"/>
      <c r="CIN20" s="53"/>
      <c r="CIO20" s="53"/>
      <c r="CIP20" s="53"/>
      <c r="CIQ20" s="53"/>
      <c r="CIR20" s="53"/>
      <c r="CIS20" s="53"/>
      <c r="CIT20" s="53"/>
      <c r="CIU20" s="53"/>
      <c r="CIV20" s="53"/>
      <c r="CIW20" s="53"/>
      <c r="CIX20" s="53"/>
      <c r="CIY20" s="53"/>
      <c r="CIZ20" s="53"/>
      <c r="CJA20" s="53"/>
      <c r="CJB20" s="53"/>
      <c r="CJC20" s="53"/>
      <c r="CJD20" s="53"/>
      <c r="CJE20" s="53"/>
      <c r="CJF20" s="53"/>
      <c r="CJG20" s="53"/>
      <c r="CJH20" s="53"/>
      <c r="CJI20" s="53"/>
      <c r="CJJ20" s="53"/>
      <c r="CJK20" s="53"/>
      <c r="CJL20" s="53"/>
      <c r="CJM20" s="53"/>
      <c r="CJN20" s="53"/>
      <c r="CJO20" s="53"/>
      <c r="CJP20" s="53"/>
      <c r="CJQ20" s="53"/>
      <c r="CJR20" s="53"/>
      <c r="CJS20" s="53"/>
      <c r="CJT20" s="53"/>
      <c r="CJU20" s="53"/>
      <c r="CJV20" s="53"/>
      <c r="CJW20" s="53"/>
      <c r="CJX20" s="53"/>
      <c r="CJY20" s="53"/>
      <c r="CJZ20" s="53"/>
      <c r="CKA20" s="53"/>
      <c r="CKB20" s="53"/>
      <c r="CKC20" s="53"/>
      <c r="CKD20" s="53"/>
      <c r="CKE20" s="53"/>
      <c r="CKF20" s="53"/>
      <c r="CKG20" s="53"/>
      <c r="CKH20" s="53"/>
      <c r="CKI20" s="53"/>
      <c r="CKJ20" s="53"/>
      <c r="CKK20" s="53"/>
      <c r="CKL20" s="53"/>
      <c r="CKM20" s="53"/>
      <c r="CKN20" s="53"/>
      <c r="CKO20" s="53"/>
      <c r="CKP20" s="53"/>
      <c r="CKQ20" s="53"/>
      <c r="CKR20" s="53"/>
      <c r="CKS20" s="53"/>
      <c r="CKT20" s="53"/>
      <c r="CKU20" s="53"/>
      <c r="CKV20" s="53"/>
      <c r="CKW20" s="53"/>
      <c r="CKX20" s="53"/>
      <c r="CKY20" s="53"/>
      <c r="CKZ20" s="53"/>
      <c r="CLA20" s="53"/>
      <c r="CLB20" s="53"/>
      <c r="CLC20" s="53"/>
      <c r="CLD20" s="53"/>
      <c r="CLE20" s="53"/>
      <c r="CLF20" s="53"/>
      <c r="CLG20" s="53"/>
      <c r="CLH20" s="53"/>
      <c r="CLI20" s="53"/>
      <c r="CLJ20" s="53"/>
      <c r="CLK20" s="53"/>
      <c r="CLL20" s="53"/>
      <c r="CLM20" s="53"/>
      <c r="CLN20" s="53"/>
      <c r="CLO20" s="53"/>
      <c r="CLP20" s="53"/>
      <c r="CLQ20" s="53"/>
      <c r="CLR20" s="53"/>
      <c r="CLS20" s="53"/>
      <c r="CLT20" s="53"/>
      <c r="CLU20" s="53"/>
      <c r="CLV20" s="53"/>
      <c r="CLW20" s="53"/>
      <c r="CLX20" s="53"/>
      <c r="CLY20" s="53"/>
      <c r="CLZ20" s="53"/>
      <c r="CMA20" s="53"/>
      <c r="CMB20" s="53"/>
      <c r="CMC20" s="53"/>
      <c r="CMD20" s="53"/>
      <c r="CME20" s="53"/>
      <c r="CMF20" s="53"/>
      <c r="CMG20" s="53"/>
      <c r="CMH20" s="53"/>
      <c r="CMI20" s="53"/>
      <c r="CMJ20" s="53"/>
      <c r="CMK20" s="53"/>
      <c r="CML20" s="53"/>
      <c r="CMM20" s="53"/>
      <c r="CMN20" s="53"/>
      <c r="CMO20" s="53"/>
      <c r="CMP20" s="53"/>
      <c r="CMQ20" s="53"/>
      <c r="CMR20" s="53"/>
      <c r="CMS20" s="53"/>
      <c r="CMT20" s="53"/>
      <c r="CMU20" s="53"/>
      <c r="CMV20" s="53"/>
      <c r="CMW20" s="53"/>
      <c r="CMX20" s="53"/>
      <c r="CMY20" s="53"/>
      <c r="CMZ20" s="53"/>
      <c r="CNA20" s="53"/>
      <c r="CNB20" s="53"/>
      <c r="CNC20" s="53"/>
      <c r="CND20" s="53"/>
      <c r="CNE20" s="53"/>
      <c r="CNF20" s="53"/>
      <c r="CNG20" s="53"/>
      <c r="CNH20" s="53"/>
      <c r="CNI20" s="53"/>
      <c r="CNJ20" s="53"/>
      <c r="CNK20" s="53"/>
      <c r="CNL20" s="53"/>
      <c r="CNM20" s="53"/>
      <c r="CNN20" s="53"/>
      <c r="CNO20" s="53"/>
      <c r="CNP20" s="53"/>
      <c r="CNQ20" s="53"/>
      <c r="CNR20" s="53"/>
      <c r="CNS20" s="53"/>
      <c r="CNT20" s="53"/>
      <c r="CNU20" s="53"/>
      <c r="CNV20" s="53"/>
      <c r="CNW20" s="53"/>
      <c r="CNX20" s="53"/>
      <c r="CNY20" s="53"/>
      <c r="CNZ20" s="53"/>
      <c r="COA20" s="53"/>
      <c r="COB20" s="53"/>
      <c r="COC20" s="53"/>
      <c r="COD20" s="53"/>
      <c r="COE20" s="53"/>
      <c r="COF20" s="53"/>
      <c r="COG20" s="53"/>
      <c r="COH20" s="53"/>
      <c r="COI20" s="53"/>
      <c r="COJ20" s="53"/>
      <c r="COK20" s="53"/>
      <c r="COL20" s="53"/>
      <c r="COM20" s="53"/>
      <c r="CON20" s="53"/>
      <c r="COO20" s="53"/>
      <c r="COP20" s="53"/>
      <c r="COQ20" s="53"/>
      <c r="COR20" s="53"/>
      <c r="COS20" s="53"/>
      <c r="COT20" s="53"/>
      <c r="COU20" s="53"/>
      <c r="COV20" s="53"/>
      <c r="COW20" s="53"/>
      <c r="COX20" s="53"/>
      <c r="COY20" s="53"/>
      <c r="COZ20" s="53"/>
      <c r="CPA20" s="53"/>
      <c r="CPB20" s="53"/>
      <c r="CPC20" s="53"/>
      <c r="CPD20" s="53"/>
      <c r="CPE20" s="53"/>
      <c r="CPF20" s="53"/>
      <c r="CPG20" s="53"/>
      <c r="CPH20" s="53"/>
      <c r="CPI20" s="53"/>
      <c r="CPJ20" s="53"/>
      <c r="CPK20" s="53"/>
      <c r="CPL20" s="53"/>
      <c r="CPM20" s="53"/>
      <c r="CPN20" s="53"/>
      <c r="CPO20" s="53"/>
      <c r="CPP20" s="53"/>
      <c r="CPQ20" s="53"/>
      <c r="CPR20" s="53"/>
      <c r="CPS20" s="53"/>
      <c r="CPT20" s="53"/>
      <c r="CPU20" s="53"/>
      <c r="CPV20" s="53"/>
      <c r="CPW20" s="53"/>
      <c r="CPX20" s="53"/>
      <c r="CPY20" s="53"/>
      <c r="CPZ20" s="53"/>
      <c r="CQA20" s="53"/>
      <c r="CQB20" s="53"/>
      <c r="CQC20" s="53"/>
      <c r="CQD20" s="53"/>
      <c r="CQE20" s="53"/>
      <c r="CQF20" s="53"/>
      <c r="CQG20" s="53"/>
      <c r="CQH20" s="53"/>
      <c r="CQI20" s="53"/>
      <c r="CQJ20" s="53"/>
      <c r="CQK20" s="53"/>
      <c r="CQL20" s="53"/>
      <c r="CQM20" s="53"/>
      <c r="CQN20" s="53"/>
      <c r="CQO20" s="53"/>
      <c r="CQP20" s="53"/>
      <c r="CQQ20" s="53"/>
      <c r="CQR20" s="53"/>
      <c r="CQS20" s="53"/>
      <c r="CQT20" s="53"/>
      <c r="CQU20" s="53"/>
      <c r="CQV20" s="53"/>
      <c r="CQW20" s="53"/>
      <c r="CQX20" s="53"/>
      <c r="CQY20" s="53"/>
      <c r="CQZ20" s="53"/>
      <c r="CRA20" s="53"/>
      <c r="CRB20" s="53"/>
      <c r="CRC20" s="53"/>
      <c r="CRD20" s="53"/>
      <c r="CRE20" s="53"/>
      <c r="CRF20" s="53"/>
      <c r="CRG20" s="53"/>
      <c r="CRH20" s="53"/>
      <c r="CRI20" s="53"/>
      <c r="CRJ20" s="53"/>
      <c r="CRK20" s="53"/>
      <c r="CRL20" s="53"/>
      <c r="CRM20" s="53"/>
      <c r="CRN20" s="53"/>
      <c r="CRO20" s="53"/>
      <c r="CRP20" s="53"/>
      <c r="CRQ20" s="53"/>
      <c r="CRR20" s="53"/>
      <c r="CRS20" s="53"/>
      <c r="CRT20" s="53"/>
      <c r="CRU20" s="53"/>
      <c r="CRV20" s="53"/>
      <c r="CRW20" s="53"/>
      <c r="CRX20" s="53"/>
      <c r="CRY20" s="53"/>
      <c r="CRZ20" s="53"/>
      <c r="CSA20" s="53"/>
      <c r="CSB20" s="53"/>
      <c r="CSC20" s="53"/>
      <c r="CSD20" s="53"/>
      <c r="CSE20" s="53"/>
      <c r="CSF20" s="53"/>
      <c r="CSG20" s="53"/>
      <c r="CSH20" s="53"/>
      <c r="CSI20" s="53"/>
      <c r="CSJ20" s="53"/>
      <c r="CSK20" s="53"/>
      <c r="CSL20" s="53"/>
      <c r="CSM20" s="53"/>
      <c r="CSN20" s="53"/>
      <c r="CSO20" s="53"/>
      <c r="CSP20" s="53"/>
      <c r="CSQ20" s="53"/>
      <c r="CSR20" s="53"/>
      <c r="CSS20" s="53"/>
      <c r="CST20" s="53"/>
      <c r="CSU20" s="53"/>
      <c r="CSV20" s="53"/>
      <c r="CSW20" s="53"/>
      <c r="CSX20" s="53"/>
      <c r="CSY20" s="53"/>
      <c r="CSZ20" s="53"/>
      <c r="CTA20" s="53"/>
      <c r="CTB20" s="53"/>
      <c r="CTC20" s="53"/>
      <c r="CTD20" s="53"/>
      <c r="CTE20" s="53"/>
      <c r="CTF20" s="53"/>
      <c r="CTG20" s="53"/>
      <c r="CTH20" s="53"/>
      <c r="CTI20" s="53"/>
      <c r="CTJ20" s="53"/>
      <c r="CTK20" s="53"/>
      <c r="CTL20" s="53"/>
      <c r="CTM20" s="53"/>
      <c r="CTN20" s="53"/>
      <c r="CTO20" s="53"/>
      <c r="CTP20" s="53"/>
      <c r="CTQ20" s="53"/>
      <c r="CTR20" s="53"/>
      <c r="CTS20" s="53"/>
      <c r="CTT20" s="53"/>
      <c r="CTU20" s="53"/>
      <c r="CTV20" s="53"/>
      <c r="CTW20" s="53"/>
      <c r="CTX20" s="53"/>
      <c r="CTY20" s="53"/>
      <c r="CTZ20" s="53"/>
      <c r="CUA20" s="53"/>
      <c r="CUB20" s="53"/>
      <c r="CUC20" s="53"/>
      <c r="CUD20" s="53"/>
      <c r="CUE20" s="53"/>
      <c r="CUF20" s="53"/>
      <c r="CUG20" s="53"/>
      <c r="CUH20" s="53"/>
      <c r="CUI20" s="53"/>
      <c r="CUJ20" s="53"/>
      <c r="CUK20" s="53"/>
      <c r="CUL20" s="53"/>
      <c r="CUM20" s="53"/>
      <c r="CUN20" s="53"/>
      <c r="CUO20" s="53"/>
      <c r="CUP20" s="53"/>
      <c r="CUQ20" s="53"/>
      <c r="CUR20" s="53"/>
      <c r="CUS20" s="53"/>
      <c r="CUT20" s="53"/>
      <c r="CUU20" s="53"/>
      <c r="CUV20" s="53"/>
      <c r="CUW20" s="53"/>
      <c r="CUX20" s="53"/>
      <c r="CUY20" s="53"/>
      <c r="CUZ20" s="53"/>
      <c r="CVA20" s="53"/>
      <c r="CVB20" s="53"/>
      <c r="CVC20" s="53"/>
      <c r="CVD20" s="53"/>
      <c r="CVE20" s="53"/>
      <c r="CVF20" s="53"/>
      <c r="CVG20" s="53"/>
      <c r="CVH20" s="53"/>
      <c r="CVI20" s="53"/>
      <c r="CVJ20" s="53"/>
      <c r="CVK20" s="53"/>
      <c r="CVL20" s="53"/>
      <c r="CVM20" s="53"/>
      <c r="CVN20" s="53"/>
      <c r="CVO20" s="53"/>
      <c r="CVP20" s="53"/>
      <c r="CVQ20" s="53"/>
      <c r="CVR20" s="53"/>
      <c r="CVS20" s="53"/>
      <c r="CVT20" s="53"/>
      <c r="CVU20" s="53"/>
      <c r="CVV20" s="53"/>
      <c r="CVW20" s="53"/>
      <c r="CVX20" s="53"/>
      <c r="CVY20" s="53"/>
      <c r="CVZ20" s="53"/>
      <c r="CWA20" s="53"/>
      <c r="CWB20" s="53"/>
      <c r="CWC20" s="53"/>
      <c r="CWD20" s="53"/>
      <c r="CWE20" s="53"/>
      <c r="CWF20" s="53"/>
      <c r="CWG20" s="53"/>
      <c r="CWH20" s="53"/>
      <c r="CWI20" s="53"/>
      <c r="CWJ20" s="53"/>
      <c r="CWK20" s="53"/>
      <c r="CWL20" s="53"/>
      <c r="CWM20" s="53"/>
      <c r="CWN20" s="53"/>
      <c r="CWO20" s="53"/>
      <c r="CWP20" s="53"/>
      <c r="CWQ20" s="53"/>
      <c r="CWR20" s="53"/>
      <c r="CWS20" s="53"/>
      <c r="CWT20" s="53"/>
      <c r="CWU20" s="53"/>
      <c r="CWV20" s="53"/>
      <c r="CWW20" s="53"/>
      <c r="CWX20" s="53"/>
      <c r="CWY20" s="53"/>
      <c r="CWZ20" s="53"/>
      <c r="CXA20" s="53"/>
      <c r="CXB20" s="53"/>
      <c r="CXC20" s="53"/>
      <c r="CXD20" s="53"/>
      <c r="CXE20" s="53"/>
      <c r="CXF20" s="53"/>
      <c r="CXG20" s="53"/>
      <c r="CXH20" s="53"/>
      <c r="CXI20" s="53"/>
      <c r="CXJ20" s="53"/>
      <c r="CXK20" s="53"/>
      <c r="CXL20" s="53"/>
      <c r="CXM20" s="53"/>
      <c r="CXN20" s="53"/>
      <c r="CXO20" s="53"/>
      <c r="CXP20" s="53"/>
      <c r="CXQ20" s="53"/>
      <c r="CXR20" s="53"/>
      <c r="CXS20" s="53"/>
      <c r="CXT20" s="53"/>
      <c r="CXU20" s="53"/>
      <c r="CXV20" s="53"/>
      <c r="CXW20" s="53"/>
      <c r="CXX20" s="53"/>
      <c r="CXY20" s="53"/>
      <c r="CXZ20" s="53"/>
      <c r="CYA20" s="53"/>
      <c r="CYB20" s="53"/>
      <c r="CYC20" s="53"/>
      <c r="CYD20" s="53"/>
      <c r="CYE20" s="53"/>
      <c r="CYF20" s="53"/>
      <c r="CYG20" s="53"/>
      <c r="CYH20" s="53"/>
      <c r="CYI20" s="53"/>
      <c r="CYJ20" s="53"/>
      <c r="CYK20" s="53"/>
      <c r="CYL20" s="53"/>
      <c r="CYM20" s="53"/>
      <c r="CYN20" s="53"/>
      <c r="CYO20" s="53"/>
      <c r="CYP20" s="53"/>
      <c r="CYQ20" s="53"/>
      <c r="CYR20" s="53"/>
      <c r="CYS20" s="53"/>
      <c r="CYT20" s="53"/>
      <c r="CYU20" s="53"/>
      <c r="CYV20" s="53"/>
      <c r="CYW20" s="53"/>
      <c r="CYX20" s="53"/>
      <c r="CYY20" s="53"/>
      <c r="CYZ20" s="53"/>
      <c r="CZA20" s="53"/>
      <c r="CZB20" s="53"/>
      <c r="CZC20" s="53"/>
      <c r="CZD20" s="53"/>
      <c r="CZE20" s="53"/>
      <c r="CZF20" s="53"/>
      <c r="CZG20" s="53"/>
      <c r="CZH20" s="53"/>
      <c r="CZI20" s="53"/>
      <c r="CZJ20" s="53"/>
      <c r="CZK20" s="53"/>
      <c r="CZL20" s="53"/>
      <c r="CZM20" s="53"/>
      <c r="CZN20" s="53"/>
      <c r="CZO20" s="53"/>
      <c r="CZP20" s="53"/>
      <c r="CZQ20" s="53"/>
      <c r="CZR20" s="53"/>
      <c r="CZS20" s="53"/>
      <c r="CZT20" s="53"/>
      <c r="CZU20" s="53"/>
      <c r="CZV20" s="53"/>
      <c r="CZW20" s="53"/>
      <c r="CZX20" s="53"/>
      <c r="CZY20" s="53"/>
      <c r="CZZ20" s="53"/>
      <c r="DAA20" s="53"/>
      <c r="DAB20" s="53"/>
      <c r="DAC20" s="53"/>
      <c r="DAD20" s="53"/>
      <c r="DAE20" s="53"/>
      <c r="DAF20" s="53"/>
      <c r="DAG20" s="53"/>
      <c r="DAH20" s="53"/>
      <c r="DAI20" s="53"/>
      <c r="DAJ20" s="53"/>
      <c r="DAK20" s="53"/>
      <c r="DAL20" s="53"/>
      <c r="DAM20" s="53"/>
      <c r="DAN20" s="53"/>
      <c r="DAO20" s="53"/>
      <c r="DAP20" s="53"/>
      <c r="DAQ20" s="53"/>
      <c r="DAR20" s="53"/>
      <c r="DAS20" s="53"/>
      <c r="DAT20" s="53"/>
      <c r="DAU20" s="53"/>
      <c r="DAV20" s="53"/>
      <c r="DAW20" s="53"/>
      <c r="DAX20" s="53"/>
      <c r="DAY20" s="53"/>
      <c r="DAZ20" s="53"/>
      <c r="DBA20" s="53"/>
      <c r="DBB20" s="53"/>
      <c r="DBC20" s="53"/>
      <c r="DBD20" s="53"/>
      <c r="DBE20" s="53"/>
      <c r="DBF20" s="53"/>
      <c r="DBG20" s="53"/>
      <c r="DBH20" s="53"/>
      <c r="DBI20" s="53"/>
      <c r="DBJ20" s="53"/>
      <c r="DBK20" s="53"/>
      <c r="DBL20" s="53"/>
      <c r="DBM20" s="53"/>
      <c r="DBN20" s="53"/>
      <c r="DBO20" s="53"/>
      <c r="DBP20" s="53"/>
      <c r="DBQ20" s="53"/>
      <c r="DBR20" s="53"/>
      <c r="DBS20" s="53"/>
      <c r="DBT20" s="53"/>
      <c r="DBU20" s="53"/>
      <c r="DBV20" s="53"/>
      <c r="DBW20" s="53"/>
      <c r="DBX20" s="53"/>
      <c r="DBY20" s="53"/>
      <c r="DBZ20" s="53"/>
      <c r="DCA20" s="53"/>
      <c r="DCB20" s="53"/>
      <c r="DCC20" s="53"/>
      <c r="DCD20" s="53"/>
      <c r="DCE20" s="53"/>
      <c r="DCF20" s="53"/>
      <c r="DCG20" s="53"/>
      <c r="DCH20" s="53"/>
      <c r="DCI20" s="53"/>
      <c r="DCJ20" s="53"/>
      <c r="DCK20" s="53"/>
      <c r="DCL20" s="53"/>
      <c r="DCM20" s="53"/>
      <c r="DCN20" s="53"/>
      <c r="DCO20" s="53"/>
      <c r="DCP20" s="53"/>
      <c r="DCQ20" s="53"/>
      <c r="DCR20" s="53"/>
      <c r="DCS20" s="53"/>
      <c r="DCT20" s="53"/>
      <c r="DCU20" s="53"/>
      <c r="DCV20" s="53"/>
      <c r="DCW20" s="53"/>
      <c r="DCX20" s="53"/>
      <c r="DCY20" s="53"/>
      <c r="DCZ20" s="53"/>
      <c r="DDA20" s="53"/>
      <c r="DDB20" s="53"/>
      <c r="DDC20" s="53"/>
      <c r="DDD20" s="53"/>
      <c r="DDE20" s="53"/>
      <c r="DDF20" s="53"/>
      <c r="DDG20" s="53"/>
      <c r="DDH20" s="53"/>
      <c r="DDI20" s="53"/>
      <c r="DDJ20" s="53"/>
      <c r="DDK20" s="53"/>
      <c r="DDL20" s="53"/>
      <c r="DDM20" s="53"/>
      <c r="DDN20" s="53"/>
      <c r="DDO20" s="53"/>
      <c r="DDP20" s="53"/>
      <c r="DDQ20" s="53"/>
      <c r="DDR20" s="53"/>
      <c r="DDS20" s="53"/>
      <c r="DDT20" s="53"/>
      <c r="DDU20" s="53"/>
      <c r="DDV20" s="53"/>
      <c r="DDW20" s="53"/>
      <c r="DDX20" s="53"/>
      <c r="DDY20" s="53"/>
      <c r="DDZ20" s="53"/>
      <c r="DEA20" s="53"/>
      <c r="DEB20" s="53"/>
      <c r="DEC20" s="53"/>
      <c r="DED20" s="53"/>
      <c r="DEE20" s="53"/>
      <c r="DEF20" s="53"/>
      <c r="DEG20" s="53"/>
      <c r="DEH20" s="53"/>
      <c r="DEI20" s="53"/>
      <c r="DEJ20" s="53"/>
      <c r="DEK20" s="53"/>
      <c r="DEL20" s="53"/>
      <c r="DEM20" s="53"/>
      <c r="DEN20" s="53"/>
      <c r="DEO20" s="53"/>
      <c r="DEP20" s="53"/>
      <c r="DEQ20" s="53"/>
      <c r="DER20" s="53"/>
      <c r="DES20" s="53"/>
      <c r="DET20" s="53"/>
      <c r="DEU20" s="53"/>
      <c r="DEV20" s="53"/>
      <c r="DEW20" s="53"/>
      <c r="DEX20" s="53"/>
      <c r="DEY20" s="53"/>
      <c r="DEZ20" s="53"/>
      <c r="DFA20" s="53"/>
      <c r="DFB20" s="53"/>
      <c r="DFC20" s="53"/>
      <c r="DFD20" s="53"/>
      <c r="DFE20" s="53"/>
      <c r="DFF20" s="53"/>
      <c r="DFG20" s="53"/>
      <c r="DFH20" s="53"/>
      <c r="DFI20" s="53"/>
      <c r="DFJ20" s="53"/>
      <c r="DFK20" s="53"/>
      <c r="DFL20" s="53"/>
      <c r="DFM20" s="53"/>
      <c r="DFN20" s="53"/>
      <c r="DFO20" s="53"/>
      <c r="DFP20" s="53"/>
      <c r="DFQ20" s="53"/>
      <c r="DFR20" s="53"/>
      <c r="DFS20" s="53"/>
      <c r="DFT20" s="53"/>
      <c r="DFU20" s="53"/>
      <c r="DFV20" s="53"/>
      <c r="DFW20" s="53"/>
      <c r="DFX20" s="53"/>
      <c r="DFY20" s="53"/>
      <c r="DFZ20" s="53"/>
      <c r="DGA20" s="53"/>
      <c r="DGB20" s="53"/>
      <c r="DGC20" s="53"/>
      <c r="DGD20" s="53"/>
      <c r="DGE20" s="53"/>
      <c r="DGF20" s="53"/>
      <c r="DGG20" s="53"/>
      <c r="DGH20" s="53"/>
      <c r="DGI20" s="53"/>
      <c r="DGJ20" s="53"/>
      <c r="DGK20" s="53"/>
      <c r="DGL20" s="53"/>
      <c r="DGM20" s="53"/>
      <c r="DGN20" s="53"/>
      <c r="DGO20" s="53"/>
      <c r="DGP20" s="53"/>
      <c r="DGQ20" s="53"/>
      <c r="DGR20" s="53"/>
      <c r="DGS20" s="53"/>
      <c r="DGT20" s="53"/>
      <c r="DGU20" s="53"/>
      <c r="DGV20" s="53"/>
      <c r="DGW20" s="53"/>
      <c r="DGX20" s="53"/>
      <c r="DGY20" s="53"/>
      <c r="DGZ20" s="53"/>
      <c r="DHA20" s="53"/>
      <c r="DHB20" s="53"/>
      <c r="DHC20" s="53"/>
      <c r="DHD20" s="53"/>
      <c r="DHE20" s="53"/>
      <c r="DHF20" s="53"/>
      <c r="DHG20" s="53"/>
      <c r="DHH20" s="53"/>
      <c r="DHI20" s="53"/>
      <c r="DHJ20" s="53"/>
      <c r="DHK20" s="53"/>
      <c r="DHL20" s="53"/>
      <c r="DHM20" s="53"/>
      <c r="DHN20" s="53"/>
      <c r="DHO20" s="53"/>
      <c r="DHP20" s="53"/>
      <c r="DHQ20" s="53"/>
      <c r="DHR20" s="53"/>
      <c r="DHS20" s="53"/>
      <c r="DHT20" s="53"/>
      <c r="DHU20" s="53"/>
      <c r="DHV20" s="53"/>
      <c r="DHW20" s="53"/>
      <c r="DHX20" s="53"/>
      <c r="DHY20" s="53"/>
      <c r="DHZ20" s="53"/>
      <c r="DIA20" s="53"/>
      <c r="DIB20" s="53"/>
      <c r="DIC20" s="53"/>
      <c r="DID20" s="53"/>
      <c r="DIE20" s="53"/>
      <c r="DIF20" s="53"/>
      <c r="DIG20" s="53"/>
      <c r="DIH20" s="53"/>
      <c r="DII20" s="53"/>
      <c r="DIJ20" s="53"/>
      <c r="DIK20" s="53"/>
      <c r="DIL20" s="53"/>
      <c r="DIM20" s="53"/>
      <c r="DIN20" s="53"/>
      <c r="DIO20" s="53"/>
      <c r="DIP20" s="53"/>
      <c r="DIQ20" s="53"/>
      <c r="DIR20" s="53"/>
      <c r="DIS20" s="53"/>
      <c r="DIT20" s="53"/>
      <c r="DIU20" s="53"/>
      <c r="DIV20" s="53"/>
      <c r="DIW20" s="53"/>
      <c r="DIX20" s="53"/>
      <c r="DIY20" s="53"/>
      <c r="DIZ20" s="53"/>
      <c r="DJA20" s="53"/>
      <c r="DJB20" s="53"/>
      <c r="DJC20" s="53"/>
      <c r="DJD20" s="53"/>
      <c r="DJE20" s="53"/>
      <c r="DJF20" s="53"/>
      <c r="DJG20" s="53"/>
      <c r="DJH20" s="53"/>
      <c r="DJI20" s="53"/>
      <c r="DJJ20" s="53"/>
      <c r="DJK20" s="53"/>
      <c r="DJL20" s="53"/>
      <c r="DJM20" s="53"/>
      <c r="DJN20" s="53"/>
      <c r="DJO20" s="53"/>
      <c r="DJP20" s="53"/>
      <c r="DJQ20" s="53"/>
      <c r="DJR20" s="53"/>
      <c r="DJS20" s="53"/>
      <c r="DJT20" s="53"/>
      <c r="DJU20" s="53"/>
      <c r="DJV20" s="53"/>
      <c r="DJW20" s="53"/>
      <c r="DJX20" s="53"/>
      <c r="DJY20" s="53"/>
      <c r="DJZ20" s="53"/>
      <c r="DKA20" s="53"/>
      <c r="DKB20" s="53"/>
      <c r="DKC20" s="53"/>
      <c r="DKD20" s="53"/>
      <c r="DKE20" s="53"/>
      <c r="DKF20" s="53"/>
      <c r="DKG20" s="53"/>
      <c r="DKH20" s="53"/>
      <c r="DKI20" s="53"/>
      <c r="DKJ20" s="53"/>
      <c r="DKK20" s="53"/>
      <c r="DKL20" s="53"/>
      <c r="DKM20" s="53"/>
      <c r="DKN20" s="53"/>
      <c r="DKO20" s="53"/>
      <c r="DKP20" s="53"/>
      <c r="DKQ20" s="53"/>
      <c r="DKR20" s="53"/>
      <c r="DKS20" s="53"/>
      <c r="DKT20" s="53"/>
      <c r="DKU20" s="53"/>
      <c r="DKV20" s="53"/>
      <c r="DKW20" s="53"/>
      <c r="DKX20" s="53"/>
      <c r="DKY20" s="53"/>
      <c r="DKZ20" s="53"/>
      <c r="DLA20" s="53"/>
      <c r="DLB20" s="53"/>
      <c r="DLC20" s="53"/>
      <c r="DLD20" s="53"/>
      <c r="DLE20" s="53"/>
      <c r="DLF20" s="53"/>
      <c r="DLG20" s="53"/>
      <c r="DLH20" s="53"/>
      <c r="DLI20" s="53"/>
      <c r="DLJ20" s="53"/>
      <c r="DLK20" s="53"/>
      <c r="DLL20" s="53"/>
      <c r="DLM20" s="53"/>
      <c r="DLN20" s="53"/>
      <c r="DLO20" s="53"/>
      <c r="DLP20" s="53"/>
      <c r="DLQ20" s="53"/>
      <c r="DLR20" s="53"/>
      <c r="DLS20" s="53"/>
      <c r="DLT20" s="53"/>
      <c r="DLU20" s="53"/>
      <c r="DLV20" s="53"/>
      <c r="DLW20" s="53"/>
      <c r="DLX20" s="53"/>
      <c r="DLY20" s="53"/>
      <c r="DLZ20" s="53"/>
      <c r="DMA20" s="53"/>
      <c r="DMB20" s="53"/>
      <c r="DMC20" s="53"/>
      <c r="DMD20" s="53"/>
      <c r="DME20" s="53"/>
      <c r="DMF20" s="53"/>
      <c r="DMG20" s="53"/>
      <c r="DMH20" s="53"/>
      <c r="DMI20" s="53"/>
      <c r="DMJ20" s="53"/>
      <c r="DMK20" s="53"/>
      <c r="DML20" s="53"/>
      <c r="DMM20" s="53"/>
      <c r="DMN20" s="53"/>
      <c r="DMO20" s="53"/>
      <c r="DMP20" s="53"/>
      <c r="DMQ20" s="53"/>
      <c r="DMR20" s="53"/>
      <c r="DMS20" s="53"/>
      <c r="DMT20" s="53"/>
      <c r="DMU20" s="53"/>
      <c r="DMV20" s="53"/>
      <c r="DMW20" s="53"/>
      <c r="DMX20" s="53"/>
      <c r="DMY20" s="53"/>
      <c r="DMZ20" s="53"/>
      <c r="DNA20" s="53"/>
      <c r="DNB20" s="53"/>
      <c r="DNC20" s="53"/>
      <c r="DND20" s="53"/>
      <c r="DNE20" s="53"/>
      <c r="DNF20" s="53"/>
      <c r="DNG20" s="53"/>
      <c r="DNH20" s="53"/>
      <c r="DNI20" s="53"/>
      <c r="DNJ20" s="53"/>
      <c r="DNK20" s="53"/>
      <c r="DNL20" s="53"/>
      <c r="DNM20" s="53"/>
      <c r="DNN20" s="53"/>
      <c r="DNO20" s="53"/>
      <c r="DNP20" s="53"/>
      <c r="DNQ20" s="53"/>
      <c r="DNR20" s="53"/>
      <c r="DNS20" s="53"/>
      <c r="DNT20" s="53"/>
      <c r="DNU20" s="53"/>
      <c r="DNV20" s="53"/>
      <c r="DNW20" s="53"/>
      <c r="DNX20" s="53"/>
      <c r="DNY20" s="53"/>
      <c r="DNZ20" s="53"/>
      <c r="DOA20" s="53"/>
      <c r="DOB20" s="53"/>
      <c r="DOC20" s="53"/>
      <c r="DOD20" s="53"/>
      <c r="DOE20" s="53"/>
      <c r="DOF20" s="53"/>
      <c r="DOG20" s="53"/>
      <c r="DOH20" s="53"/>
      <c r="DOI20" s="53"/>
      <c r="DOJ20" s="53"/>
      <c r="DOK20" s="53"/>
      <c r="DOL20" s="53"/>
      <c r="DOM20" s="53"/>
      <c r="DON20" s="53"/>
      <c r="DOO20" s="53"/>
      <c r="DOP20" s="53"/>
      <c r="DOQ20" s="53"/>
      <c r="DOR20" s="53"/>
      <c r="DOS20" s="53"/>
      <c r="DOT20" s="53"/>
      <c r="DOU20" s="53"/>
      <c r="DOV20" s="53"/>
      <c r="DOW20" s="53"/>
      <c r="DOX20" s="53"/>
      <c r="DOY20" s="53"/>
      <c r="DOZ20" s="53"/>
      <c r="DPA20" s="53"/>
      <c r="DPB20" s="53"/>
      <c r="DPC20" s="53"/>
      <c r="DPD20" s="53"/>
      <c r="DPE20" s="53"/>
      <c r="DPF20" s="53"/>
      <c r="DPG20" s="53"/>
      <c r="DPH20" s="53"/>
      <c r="DPI20" s="53"/>
      <c r="DPJ20" s="53"/>
      <c r="DPK20" s="53"/>
      <c r="DPL20" s="53"/>
      <c r="DPM20" s="53"/>
      <c r="DPN20" s="53"/>
      <c r="DPO20" s="53"/>
      <c r="DPP20" s="53"/>
      <c r="DPQ20" s="53"/>
      <c r="DPR20" s="53"/>
      <c r="DPS20" s="53"/>
      <c r="DPT20" s="53"/>
      <c r="DPU20" s="53"/>
      <c r="DPV20" s="53"/>
      <c r="DPW20" s="53"/>
      <c r="DPX20" s="53"/>
      <c r="DPY20" s="53"/>
      <c r="DPZ20" s="53"/>
      <c r="DQA20" s="53"/>
      <c r="DQB20" s="53"/>
      <c r="DQC20" s="53"/>
      <c r="DQD20" s="53"/>
      <c r="DQE20" s="53"/>
      <c r="DQF20" s="53"/>
      <c r="DQG20" s="53"/>
      <c r="DQH20" s="53"/>
      <c r="DQI20" s="53"/>
      <c r="DQJ20" s="53"/>
      <c r="DQK20" s="53"/>
      <c r="DQL20" s="53"/>
      <c r="DQM20" s="53"/>
      <c r="DQN20" s="53"/>
      <c r="DQO20" s="53"/>
      <c r="DQP20" s="53"/>
      <c r="DQQ20" s="53"/>
      <c r="DQR20" s="53"/>
      <c r="DQS20" s="53"/>
      <c r="DQT20" s="53"/>
      <c r="DQU20" s="53"/>
      <c r="DQV20" s="53"/>
      <c r="DQW20" s="53"/>
      <c r="DQX20" s="53"/>
      <c r="DQY20" s="53"/>
      <c r="DQZ20" s="53"/>
      <c r="DRA20" s="53"/>
      <c r="DRB20" s="53"/>
      <c r="DRC20" s="53"/>
      <c r="DRD20" s="53"/>
      <c r="DRE20" s="53"/>
      <c r="DRF20" s="53"/>
      <c r="DRG20" s="53"/>
      <c r="DRH20" s="53"/>
      <c r="DRI20" s="53"/>
      <c r="DRJ20" s="53"/>
      <c r="DRK20" s="53"/>
      <c r="DRL20" s="53"/>
      <c r="DRM20" s="53"/>
      <c r="DRN20" s="53"/>
      <c r="DRO20" s="53"/>
      <c r="DRP20" s="53"/>
      <c r="DRQ20" s="53"/>
      <c r="DRR20" s="53"/>
      <c r="DRS20" s="53"/>
      <c r="DRT20" s="53"/>
      <c r="DRU20" s="53"/>
      <c r="DRV20" s="53"/>
      <c r="DRW20" s="53"/>
      <c r="DRX20" s="53"/>
      <c r="DRY20" s="53"/>
      <c r="DRZ20" s="53"/>
      <c r="DSA20" s="53"/>
      <c r="DSB20" s="53"/>
      <c r="DSC20" s="53"/>
      <c r="DSD20" s="53"/>
      <c r="DSE20" s="53"/>
      <c r="DSF20" s="53"/>
      <c r="DSG20" s="53"/>
      <c r="DSH20" s="53"/>
      <c r="DSI20" s="53"/>
      <c r="DSJ20" s="53"/>
      <c r="DSK20" s="53"/>
      <c r="DSL20" s="53"/>
      <c r="DSM20" s="53"/>
      <c r="DSN20" s="53"/>
      <c r="DSO20" s="53"/>
      <c r="DSP20" s="53"/>
      <c r="DSQ20" s="53"/>
      <c r="DSR20" s="53"/>
      <c r="DSS20" s="53"/>
      <c r="DST20" s="53"/>
      <c r="DSU20" s="53"/>
      <c r="DSV20" s="53"/>
      <c r="DSW20" s="53"/>
      <c r="DSX20" s="53"/>
      <c r="DSY20" s="53"/>
    </row>
    <row r="21" spans="1:3223" s="53" customFormat="1" ht="21.75" customHeight="1" x14ac:dyDescent="0.3">
      <c r="A21" s="236"/>
      <c r="B21" s="237"/>
      <c r="C21" s="237"/>
      <c r="D21" s="238"/>
      <c r="E21" s="238"/>
      <c r="F21" s="238"/>
      <c r="G21" s="195"/>
      <c r="H21" s="239"/>
      <c r="I21" s="240"/>
      <c r="J21" s="241"/>
      <c r="K21" s="242"/>
      <c r="L21" s="243"/>
      <c r="M21" s="243"/>
      <c r="N21" s="243"/>
      <c r="O21" s="243"/>
      <c r="P21" s="244"/>
      <c r="Q21" s="243"/>
      <c r="R21" s="243"/>
      <c r="S21" s="243"/>
      <c r="T21" s="243"/>
      <c r="U21" s="243"/>
      <c r="V21" s="242"/>
      <c r="W21" s="242"/>
      <c r="X21" s="242"/>
      <c r="Y21" s="242"/>
      <c r="Z21" s="60"/>
    </row>
    <row r="22" spans="1:3223" s="53" customFormat="1" ht="41.25" customHeight="1" thickBot="1" x14ac:dyDescent="0.35">
      <c r="A22" s="287" t="s">
        <v>44</v>
      </c>
      <c r="B22" s="288"/>
      <c r="C22" s="288"/>
      <c r="D22" s="288"/>
      <c r="E22" s="288"/>
      <c r="F22" s="288"/>
      <c r="G22" s="288"/>
      <c r="H22" s="289"/>
      <c r="I22" s="163">
        <f>I8+I12+I14+I16+I19</f>
        <v>76059.41</v>
      </c>
      <c r="J22" s="163">
        <f>J8+J12+J14+J16+J19</f>
        <v>0</v>
      </c>
      <c r="K22" s="163">
        <f>K8+K12+K14+K16+K19</f>
        <v>76205.91</v>
      </c>
      <c r="L22" s="164">
        <f t="shared" ref="L22:U22" si="35">SUM(L9:L20)</f>
        <v>0</v>
      </c>
      <c r="M22" s="164">
        <f t="shared" si="35"/>
        <v>76205.91</v>
      </c>
      <c r="N22" s="164">
        <f t="shared" si="35"/>
        <v>57174.83</v>
      </c>
      <c r="O22" s="164">
        <f t="shared" si="35"/>
        <v>19031.079999999998</v>
      </c>
      <c r="P22" s="164">
        <f t="shared" si="35"/>
        <v>1.3288000000000002</v>
      </c>
      <c r="Q22" s="164">
        <f t="shared" si="35"/>
        <v>3642.8484799999997</v>
      </c>
      <c r="R22" s="164">
        <f t="shared" si="35"/>
        <v>7432.2</v>
      </c>
      <c r="S22" s="164">
        <f t="shared" si="35"/>
        <v>11075.048480000001</v>
      </c>
      <c r="T22" s="164">
        <f t="shared" si="35"/>
        <v>145.35</v>
      </c>
      <c r="U22" s="164">
        <f t="shared" si="35"/>
        <v>10929.7</v>
      </c>
      <c r="V22" s="163">
        <f>V8+V12+V14+V16+V19</f>
        <v>2300</v>
      </c>
      <c r="W22" s="163">
        <f>W8+W12+W14+W16+W19</f>
        <v>10902.5</v>
      </c>
      <c r="X22" s="163">
        <f>X8+X12+X14+X16+X19</f>
        <v>10902.5</v>
      </c>
      <c r="Y22" s="163" t="e">
        <f>Y8+Y12+Y14+Y16+Y19</f>
        <v>#REF!</v>
      </c>
    </row>
    <row r="23" spans="1:3223" s="53" customFormat="1" ht="12" customHeight="1" thickTop="1" x14ac:dyDescent="0.3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3223" s="53" customFormat="1" ht="12" customHeight="1" x14ac:dyDescent="0.2"/>
    <row r="25" spans="1:3223" s="53" customFormat="1" ht="12" customHeight="1" x14ac:dyDescent="0.2"/>
    <row r="26" spans="1:3223" s="53" customFormat="1" ht="12" customHeight="1" x14ac:dyDescent="0.2"/>
    <row r="27" spans="1:3223" s="53" customFormat="1" ht="12" customHeight="1" x14ac:dyDescent="0.2"/>
    <row r="28" spans="1:3223" s="53" customFormat="1" ht="12" customHeight="1" x14ac:dyDescent="0.2"/>
    <row r="29" spans="1:3223" s="53" customFormat="1" ht="12" customHeight="1" x14ac:dyDescent="0.2"/>
    <row r="37" spans="11:11" x14ac:dyDescent="0.25">
      <c r="K37" s="4" t="s">
        <v>235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0" zoomScale="75" zoomScaleNormal="75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7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7" ht="19.8" x14ac:dyDescent="0.3">
      <c r="A3" s="197" t="s">
        <v>348</v>
      </c>
      <c r="B3" s="291" t="s">
        <v>351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193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7" ht="2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11" t="s">
        <v>273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6" t="s">
        <v>99</v>
      </c>
      <c r="C9" s="196" t="s">
        <v>120</v>
      </c>
      <c r="D9" s="245" t="s">
        <v>243</v>
      </c>
      <c r="E9" s="230" t="s">
        <v>289</v>
      </c>
      <c r="F9" s="212" t="s">
        <v>60</v>
      </c>
      <c r="G9" s="247"/>
      <c r="H9" s="212"/>
      <c r="I9" s="248">
        <f>I10</f>
        <v>10653</v>
      </c>
      <c r="J9" s="248">
        <f>J10</f>
        <v>0</v>
      </c>
      <c r="K9" s="248">
        <f>K10</f>
        <v>10653</v>
      </c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>
        <f>V10</f>
        <v>0</v>
      </c>
      <c r="W9" s="248">
        <f>W10</f>
        <v>1452.42</v>
      </c>
      <c r="X9" s="248">
        <f>X10</f>
        <v>1452.42</v>
      </c>
      <c r="Y9" s="248">
        <f>Y10</f>
        <v>9200.58</v>
      </c>
      <c r="Z9" s="138"/>
    </row>
    <row r="10" spans="1:27" ht="133.5" customHeight="1" x14ac:dyDescent="0.35">
      <c r="A10" s="246"/>
      <c r="B10" s="170">
        <v>161</v>
      </c>
      <c r="C10" s="151" t="s">
        <v>111</v>
      </c>
      <c r="D10" s="216" t="s">
        <v>244</v>
      </c>
      <c r="E10" s="221">
        <v>43374</v>
      </c>
      <c r="F10" s="154" t="s">
        <v>245</v>
      </c>
      <c r="G10" s="171">
        <v>15</v>
      </c>
      <c r="H10" s="172">
        <f>I10/G10</f>
        <v>710.2</v>
      </c>
      <c r="I10" s="157">
        <v>10653</v>
      </c>
      <c r="J10" s="158">
        <v>0</v>
      </c>
      <c r="K10" s="159">
        <f>I10</f>
        <v>10653</v>
      </c>
      <c r="L10" s="160">
        <f>IF(I10/15&lt;=SMG,0,J10/2)</f>
        <v>0</v>
      </c>
      <c r="M10" s="160">
        <f t="shared" ref="M10" si="0">I10+L10</f>
        <v>10653</v>
      </c>
      <c r="N10" s="160">
        <f>VLOOKUP(M10,Tarifa1,1)</f>
        <v>7641.91</v>
      </c>
      <c r="O10" s="160">
        <f t="shared" ref="O10" si="1">M10-N10</f>
        <v>3011.09</v>
      </c>
      <c r="P10" s="161">
        <f>VLOOKUP(M10,Tarifa1,3)</f>
        <v>0.21360000000000001</v>
      </c>
      <c r="Q10" s="160">
        <f t="shared" ref="Q10" si="2">O10*P10</f>
        <v>643.16882400000009</v>
      </c>
      <c r="R10" s="162">
        <f>VLOOKUP(M10,Tarifa1,2)</f>
        <v>809.25</v>
      </c>
      <c r="S10" s="160">
        <f t="shared" ref="S10" si="3">Q10+R10</f>
        <v>1452.4188240000001</v>
      </c>
      <c r="T10" s="160">
        <f>VLOOKUP(M10,Credito1,2)</f>
        <v>0</v>
      </c>
      <c r="U10" s="160">
        <f t="shared" ref="U10" si="4">ROUND(S10-T10,2)</f>
        <v>1452.42</v>
      </c>
      <c r="V10" s="159">
        <f t="shared" ref="V10" si="5">-IF(U10&gt;0,0,U10)</f>
        <v>0</v>
      </c>
      <c r="W10" s="159">
        <f>IF(I10/15&lt;=SMG,0,IF(U10&lt;0,0,U10))</f>
        <v>1452.42</v>
      </c>
      <c r="X10" s="159">
        <f>SUM(W10:W10)</f>
        <v>1452.42</v>
      </c>
      <c r="Y10" s="159">
        <f>K10+V10-X10</f>
        <v>9200.58</v>
      </c>
      <c r="Z10" s="114"/>
    </row>
    <row r="11" spans="1:27" ht="52.5" customHeight="1" x14ac:dyDescent="0.3">
      <c r="A11" s="212"/>
      <c r="B11" s="196" t="s">
        <v>99</v>
      </c>
      <c r="C11" s="196" t="s">
        <v>120</v>
      </c>
      <c r="D11" s="245" t="s">
        <v>122</v>
      </c>
      <c r="E11" s="235"/>
      <c r="F11" s="212" t="s">
        <v>60</v>
      </c>
      <c r="G11" s="247"/>
      <c r="H11" s="212"/>
      <c r="I11" s="248">
        <f>I12</f>
        <v>7823</v>
      </c>
      <c r="J11" s="248">
        <f>J12</f>
        <v>0</v>
      </c>
      <c r="K11" s="248">
        <f>K12</f>
        <v>7823</v>
      </c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8">
        <f>V12</f>
        <v>0</v>
      </c>
      <c r="W11" s="248">
        <f>W12</f>
        <v>847.93</v>
      </c>
      <c r="X11" s="248">
        <f>X12</f>
        <v>847.93</v>
      </c>
      <c r="Y11" s="248">
        <f>Y12</f>
        <v>6975.07</v>
      </c>
      <c r="Z11" s="249"/>
    </row>
    <row r="12" spans="1:27" ht="132.75" customHeight="1" x14ac:dyDescent="0.35">
      <c r="A12" s="176"/>
      <c r="B12" s="151" t="s">
        <v>240</v>
      </c>
      <c r="C12" s="152" t="s">
        <v>111</v>
      </c>
      <c r="D12" s="216" t="s">
        <v>241</v>
      </c>
      <c r="E12" s="221">
        <v>44487</v>
      </c>
      <c r="F12" s="154" t="s">
        <v>242</v>
      </c>
      <c r="G12" s="155">
        <v>13</v>
      </c>
      <c r="H12" s="156">
        <f t="shared" ref="H12" si="6">I12/G12</f>
        <v>601.76923076923072</v>
      </c>
      <c r="I12" s="157">
        <v>7823</v>
      </c>
      <c r="J12" s="158">
        <v>0</v>
      </c>
      <c r="K12" s="159">
        <f t="shared" ref="K12" si="7">SUM(I12:J12)</f>
        <v>7823</v>
      </c>
      <c r="L12" s="160">
        <f t="shared" ref="L12" si="8">IF(I12/15&lt;=SMG,0,J12/2)</f>
        <v>0</v>
      </c>
      <c r="M12" s="160">
        <f t="shared" ref="M12" si="9">I12+L12</f>
        <v>7823</v>
      </c>
      <c r="N12" s="160">
        <f t="shared" ref="N12" si="10">VLOOKUP(M12,Tarifa1,1)</f>
        <v>7641.91</v>
      </c>
      <c r="O12" s="160">
        <f t="shared" ref="O12" si="11">M12-N12</f>
        <v>181.09000000000015</v>
      </c>
      <c r="P12" s="161">
        <f t="shared" ref="P12" si="12">VLOOKUP(M12,Tarifa1,3)</f>
        <v>0.21360000000000001</v>
      </c>
      <c r="Q12" s="160">
        <f t="shared" ref="Q12" si="13">O12*P12</f>
        <v>38.680824000000037</v>
      </c>
      <c r="R12" s="162">
        <f t="shared" ref="R12" si="14">VLOOKUP(M12,Tarifa1,2)</f>
        <v>809.25</v>
      </c>
      <c r="S12" s="160">
        <f t="shared" ref="S12" si="15">Q12+R12</f>
        <v>847.93082400000003</v>
      </c>
      <c r="T12" s="160">
        <f t="shared" ref="T12" si="16">VLOOKUP(M12,Credito1,2)</f>
        <v>0</v>
      </c>
      <c r="U12" s="160">
        <f t="shared" ref="U12" si="17">ROUND(S12-T12,2)</f>
        <v>847.93</v>
      </c>
      <c r="V12" s="159">
        <f t="shared" ref="V12" si="18">-IF(U12&gt;0,0,U12)</f>
        <v>0</v>
      </c>
      <c r="W12" s="159">
        <f t="shared" ref="W12" si="19">IF(I12/15&lt;=SMG,0,IF(U12&lt;0,0,U12))</f>
        <v>847.93</v>
      </c>
      <c r="X12" s="159">
        <f>SUM(W12:W12)</f>
        <v>847.93</v>
      </c>
      <c r="Y12" s="159">
        <f>K12+V12-X12</f>
        <v>6975.07</v>
      </c>
      <c r="Z12" s="114"/>
    </row>
    <row r="13" spans="1:27" ht="53.25" customHeight="1" x14ac:dyDescent="0.3">
      <c r="A13" s="176"/>
      <c r="B13" s="196" t="s">
        <v>99</v>
      </c>
      <c r="C13" s="196" t="s">
        <v>120</v>
      </c>
      <c r="D13" s="231" t="s">
        <v>75</v>
      </c>
      <c r="E13" s="235"/>
      <c r="F13" s="212" t="s">
        <v>60</v>
      </c>
      <c r="G13" s="212"/>
      <c r="H13" s="212"/>
      <c r="I13" s="248">
        <f>SUM(I14)</f>
        <v>12093</v>
      </c>
      <c r="J13" s="248">
        <f>SUM(J14)</f>
        <v>0</v>
      </c>
      <c r="K13" s="248">
        <f>SUM(K14)</f>
        <v>12093</v>
      </c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8">
        <f>SUM(V14)</f>
        <v>0</v>
      </c>
      <c r="W13" s="248">
        <f>SUM(W14)</f>
        <v>1760</v>
      </c>
      <c r="X13" s="248">
        <f>SUM(X14)</f>
        <v>1760</v>
      </c>
      <c r="Y13" s="248">
        <f>SUM(Y14)</f>
        <v>10333</v>
      </c>
      <c r="Z13" s="249"/>
    </row>
    <row r="14" spans="1:27" ht="132.75" customHeight="1" x14ac:dyDescent="0.35">
      <c r="A14" s="176"/>
      <c r="B14" s="170">
        <v>290</v>
      </c>
      <c r="C14" s="151" t="s">
        <v>111</v>
      </c>
      <c r="D14" s="216" t="s">
        <v>248</v>
      </c>
      <c r="E14" s="221">
        <v>44593</v>
      </c>
      <c r="F14" s="153" t="s">
        <v>75</v>
      </c>
      <c r="G14" s="171">
        <v>15</v>
      </c>
      <c r="H14" s="172">
        <f>I14/G14</f>
        <v>806.2</v>
      </c>
      <c r="I14" s="173">
        <v>12093</v>
      </c>
      <c r="J14" s="174">
        <v>0</v>
      </c>
      <c r="K14" s="175">
        <f>SUM(I14:J14)</f>
        <v>12093</v>
      </c>
      <c r="L14" s="160">
        <f>IF(I14/15&lt;=SMG,0,J14/2)</f>
        <v>0</v>
      </c>
      <c r="M14" s="160">
        <f>I14+L14</f>
        <v>12093</v>
      </c>
      <c r="N14" s="160">
        <f>VLOOKUP(M14,Tarifa1,1)</f>
        <v>7641.91</v>
      </c>
      <c r="O14" s="160">
        <f>M14-N14</f>
        <v>4451.09</v>
      </c>
      <c r="P14" s="161">
        <f>VLOOKUP(M14,Tarifa1,3)</f>
        <v>0.21360000000000001</v>
      </c>
      <c r="Q14" s="160">
        <f>O14*P14</f>
        <v>950.75282400000003</v>
      </c>
      <c r="R14" s="162">
        <f>VLOOKUP(M14,Tarifa1,2)</f>
        <v>809.25</v>
      </c>
      <c r="S14" s="160">
        <f>Q14+R14</f>
        <v>1760.0028240000001</v>
      </c>
      <c r="T14" s="160">
        <f>VLOOKUP(M14,Credito1,2)</f>
        <v>0</v>
      </c>
      <c r="U14" s="160">
        <f>ROUND(S14-T14,2)</f>
        <v>1760</v>
      </c>
      <c r="V14" s="159">
        <f>-IF(U14&gt;0,0,U14)</f>
        <v>0</v>
      </c>
      <c r="W14" s="159">
        <f>IF(I14/15&lt;=SMG,0,IF(U14&lt;0,0,U14))</f>
        <v>1760</v>
      </c>
      <c r="X14" s="159">
        <f>SUM(W14:W14)</f>
        <v>1760</v>
      </c>
      <c r="Y14" s="159">
        <f>K14+V14-X14</f>
        <v>10333</v>
      </c>
      <c r="Z14" s="114"/>
    </row>
    <row r="15" spans="1:27" ht="40.5" customHeight="1" thickBot="1" x14ac:dyDescent="0.35">
      <c r="A15" s="287" t="s">
        <v>44</v>
      </c>
      <c r="B15" s="288"/>
      <c r="C15" s="288"/>
      <c r="D15" s="288"/>
      <c r="E15" s="288"/>
      <c r="F15" s="288"/>
      <c r="G15" s="288"/>
      <c r="H15" s="289"/>
      <c r="I15" s="210">
        <f>I9+I11+I13</f>
        <v>30569</v>
      </c>
      <c r="J15" s="210">
        <f>J9+J11+J13</f>
        <v>0</v>
      </c>
      <c r="K15" s="210">
        <f>K9+K11+K13</f>
        <v>30569</v>
      </c>
      <c r="L15" s="164">
        <f t="shared" ref="L15:U15" si="20">SUM(L12:L12)</f>
        <v>0</v>
      </c>
      <c r="M15" s="164">
        <f t="shared" si="20"/>
        <v>7823</v>
      </c>
      <c r="N15" s="164">
        <f t="shared" si="20"/>
        <v>7641.91</v>
      </c>
      <c r="O15" s="164">
        <f t="shared" si="20"/>
        <v>181.09000000000015</v>
      </c>
      <c r="P15" s="164">
        <f t="shared" si="20"/>
        <v>0.21360000000000001</v>
      </c>
      <c r="Q15" s="164">
        <f t="shared" si="20"/>
        <v>38.680824000000037</v>
      </c>
      <c r="R15" s="164">
        <f t="shared" si="20"/>
        <v>809.25</v>
      </c>
      <c r="S15" s="164">
        <f t="shared" si="20"/>
        <v>847.93082400000003</v>
      </c>
      <c r="T15" s="164">
        <f t="shared" si="20"/>
        <v>0</v>
      </c>
      <c r="U15" s="164">
        <f t="shared" si="20"/>
        <v>847.93</v>
      </c>
      <c r="V15" s="210">
        <f>V9+V11+V13</f>
        <v>0</v>
      </c>
      <c r="W15" s="210">
        <f>W9+W11+W13</f>
        <v>4060.35</v>
      </c>
      <c r="X15" s="210">
        <f>X9+X11+X13</f>
        <v>4060.35</v>
      </c>
      <c r="Y15" s="210">
        <f>Y9+Y11+Y13</f>
        <v>26508.65</v>
      </c>
      <c r="Z15" s="115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B9" zoomScale="66" zoomScaleNormal="66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0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12.75" customHeight="1" x14ac:dyDescent="0.25">
      <c r="A5" s="49"/>
      <c r="B5" s="49"/>
      <c r="C5" s="309" t="s">
        <v>112</v>
      </c>
      <c r="D5" s="49"/>
      <c r="E5" s="49"/>
      <c r="F5" s="49"/>
      <c r="G5" s="50" t="s">
        <v>22</v>
      </c>
      <c r="H5" s="50" t="s">
        <v>5</v>
      </c>
      <c r="I5" s="312" t="s">
        <v>1</v>
      </c>
      <c r="J5" s="313"/>
      <c r="K5" s="314"/>
      <c r="L5" s="51" t="s">
        <v>25</v>
      </c>
      <c r="M5" s="52"/>
      <c r="N5" s="315" t="s">
        <v>8</v>
      </c>
      <c r="O5" s="316"/>
      <c r="P5" s="316"/>
      <c r="Q5" s="316"/>
      <c r="R5" s="316"/>
      <c r="S5" s="317"/>
      <c r="T5" s="51" t="s">
        <v>29</v>
      </c>
      <c r="U5" s="51" t="s">
        <v>9</v>
      </c>
      <c r="V5" s="50" t="s">
        <v>52</v>
      </c>
      <c r="W5" s="318" t="s">
        <v>2</v>
      </c>
      <c r="X5" s="319"/>
      <c r="Y5" s="50" t="s">
        <v>0</v>
      </c>
      <c r="Z5" s="49"/>
    </row>
    <row r="6" spans="1:32" s="53" customFormat="1" ht="24" x14ac:dyDescent="0.25">
      <c r="A6" s="54" t="s">
        <v>20</v>
      </c>
      <c r="B6" s="48" t="s">
        <v>99</v>
      </c>
      <c r="C6" s="310"/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52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273</v>
      </c>
      <c r="X6" s="50" t="s">
        <v>6</v>
      </c>
      <c r="Y6" s="54" t="s">
        <v>3</v>
      </c>
      <c r="Z6" s="54" t="s">
        <v>56</v>
      </c>
    </row>
    <row r="7" spans="1:32" s="53" customFormat="1" ht="12" x14ac:dyDescent="0.25">
      <c r="A7" s="63"/>
      <c r="B7" s="63"/>
      <c r="C7" s="311"/>
      <c r="D7" s="63"/>
      <c r="E7" s="63"/>
      <c r="F7" s="63"/>
      <c r="G7" s="63"/>
      <c r="H7" s="63"/>
      <c r="I7" s="63" t="s">
        <v>46</v>
      </c>
      <c r="J7" s="63" t="s">
        <v>58</v>
      </c>
      <c r="K7" s="63" t="s">
        <v>28</v>
      </c>
      <c r="L7" s="64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51" t="s">
        <v>14</v>
      </c>
      <c r="S7" s="51" t="s">
        <v>38</v>
      </c>
      <c r="T7" s="56" t="s">
        <v>18</v>
      </c>
      <c r="U7" s="57" t="s">
        <v>121</v>
      </c>
      <c r="V7" s="63" t="s">
        <v>51</v>
      </c>
      <c r="W7" s="63"/>
      <c r="X7" s="63" t="s">
        <v>43</v>
      </c>
      <c r="Y7" s="63" t="s">
        <v>4</v>
      </c>
      <c r="Z7" s="59"/>
    </row>
    <row r="8" spans="1:32" s="53" customFormat="1" ht="35.25" customHeight="1" x14ac:dyDescent="0.3">
      <c r="A8" s="65"/>
      <c r="B8" s="136"/>
      <c r="C8" s="136"/>
      <c r="D8" s="135" t="s">
        <v>67</v>
      </c>
      <c r="E8" s="134" t="s">
        <v>289</v>
      </c>
      <c r="F8" s="136" t="s">
        <v>60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/>
      <c r="V8" s="136"/>
      <c r="W8" s="136"/>
      <c r="X8" s="136"/>
      <c r="Y8" s="136"/>
      <c r="Z8" s="66"/>
    </row>
    <row r="9" spans="1:32" s="96" customFormat="1" ht="154.5" customHeight="1" x14ac:dyDescent="0.35">
      <c r="A9" s="113" t="s">
        <v>84</v>
      </c>
      <c r="B9" s="151" t="s">
        <v>168</v>
      </c>
      <c r="C9" s="152" t="s">
        <v>111</v>
      </c>
      <c r="D9" s="216" t="s">
        <v>166</v>
      </c>
      <c r="E9" s="221">
        <v>43512</v>
      </c>
      <c r="F9" s="154" t="s">
        <v>290</v>
      </c>
      <c r="G9" s="155">
        <v>15</v>
      </c>
      <c r="H9" s="156">
        <f t="shared" ref="H9:H11" si="0">I9/G9</f>
        <v>757.26666666666665</v>
      </c>
      <c r="I9" s="157">
        <v>11359</v>
      </c>
      <c r="J9" s="158">
        <v>0</v>
      </c>
      <c r="K9" s="159">
        <f>SUM(I9:J9)</f>
        <v>11359</v>
      </c>
      <c r="L9" s="160">
        <f>IF(I9/15&lt;=SMG,0,J9/2)</f>
        <v>0</v>
      </c>
      <c r="M9" s="160">
        <f t="shared" ref="M9:M10" si="1">I9+L9</f>
        <v>11359</v>
      </c>
      <c r="N9" s="160">
        <f t="shared" ref="N9" si="2">VLOOKUP(M9,Tarifa1,1)</f>
        <v>7641.91</v>
      </c>
      <c r="O9" s="160">
        <f t="shared" ref="O9:O10" si="3">M9-N9</f>
        <v>3717.09</v>
      </c>
      <c r="P9" s="161">
        <f t="shared" ref="P9" si="4">VLOOKUP(M9,Tarifa1,3)</f>
        <v>0.21360000000000001</v>
      </c>
      <c r="Q9" s="160">
        <f t="shared" ref="Q9:Q10" si="5">O9*P9</f>
        <v>793.97042400000009</v>
      </c>
      <c r="R9" s="162">
        <f t="shared" ref="R9" si="6">VLOOKUP(M9,Tarifa1,2)</f>
        <v>809.25</v>
      </c>
      <c r="S9" s="160">
        <f t="shared" ref="S9:S10" si="7">Q9+R9</f>
        <v>1603.2204240000001</v>
      </c>
      <c r="T9" s="160">
        <f t="shared" ref="T9" si="8">VLOOKUP(M9,Credito1,2)</f>
        <v>0</v>
      </c>
      <c r="U9" s="160">
        <f t="shared" ref="U9:U10" si="9">ROUND(S9-T9,2)</f>
        <v>1603.22</v>
      </c>
      <c r="V9" s="159">
        <f t="shared" ref="V9:V10" si="10">-IF(U9&gt;0,0,U9)</f>
        <v>0</v>
      </c>
      <c r="W9" s="159">
        <f t="shared" ref="W9" si="11">IF(I9/15&lt;=SMG,0,IF(U9&lt;0,0,U9))</f>
        <v>1603.22</v>
      </c>
      <c r="X9" s="159">
        <f t="shared" ref="X9:X16" si="12">SUM(W9:W9)</f>
        <v>1603.22</v>
      </c>
      <c r="Y9" s="159">
        <f>K9+V9-X9</f>
        <v>9755.7800000000007</v>
      </c>
      <c r="Z9" s="114"/>
      <c r="AA9" s="98"/>
      <c r="AF9" s="99"/>
    </row>
    <row r="10" spans="1:32" s="96" customFormat="1" ht="154.5" customHeight="1" x14ac:dyDescent="0.35">
      <c r="A10" s="113"/>
      <c r="B10" s="151" t="s">
        <v>314</v>
      </c>
      <c r="C10" s="152" t="s">
        <v>111</v>
      </c>
      <c r="D10" s="216" t="s">
        <v>322</v>
      </c>
      <c r="E10" s="221">
        <v>45139</v>
      </c>
      <c r="F10" s="154" t="s">
        <v>323</v>
      </c>
      <c r="G10" s="155"/>
      <c r="H10" s="156"/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si="1"/>
        <v>4377.7299999999996</v>
      </c>
      <c r="N10" s="160">
        <f>VLOOKUP(M10,Tarifa1,1)</f>
        <v>3124.36</v>
      </c>
      <c r="O10" s="160">
        <f t="shared" si="3"/>
        <v>1253.3699999999994</v>
      </c>
      <c r="P10" s="161">
        <f>VLOOKUP(M10,Tarifa1,3)</f>
        <v>0.10879999999999999</v>
      </c>
      <c r="Q10" s="160">
        <f t="shared" si="5"/>
        <v>136.36665599999992</v>
      </c>
      <c r="R10" s="162">
        <f>VLOOKUP(M10,Tarifa1,2)</f>
        <v>183.45</v>
      </c>
      <c r="S10" s="160">
        <f t="shared" si="7"/>
        <v>319.81665599999991</v>
      </c>
      <c r="T10" s="160">
        <f>VLOOKUP(M10,Credito1,2)</f>
        <v>0</v>
      </c>
      <c r="U10" s="160">
        <f t="shared" si="9"/>
        <v>319.82</v>
      </c>
      <c r="V10" s="159">
        <f t="shared" si="10"/>
        <v>0</v>
      </c>
      <c r="W10" s="159">
        <f>IF(I10/15&lt;=SMG,0,IF(U10&lt;0,0,U10))</f>
        <v>319.82</v>
      </c>
      <c r="X10" s="159">
        <f t="shared" si="12"/>
        <v>319.82</v>
      </c>
      <c r="Y10" s="159">
        <f>K10+V10-X10</f>
        <v>4057.9099999999994</v>
      </c>
      <c r="Z10" s="114"/>
      <c r="AA10" s="98"/>
      <c r="AF10" s="99"/>
    </row>
    <row r="11" spans="1:32" s="96" customFormat="1" ht="154.5" customHeight="1" x14ac:dyDescent="0.35">
      <c r="A11" s="113"/>
      <c r="B11" s="152" t="s">
        <v>187</v>
      </c>
      <c r="C11" s="152" t="s">
        <v>111</v>
      </c>
      <c r="D11" s="216" t="s">
        <v>188</v>
      </c>
      <c r="E11" s="221">
        <v>43983</v>
      </c>
      <c r="F11" s="154" t="s">
        <v>250</v>
      </c>
      <c r="G11" s="155">
        <v>15</v>
      </c>
      <c r="H11" s="156">
        <f t="shared" si="0"/>
        <v>757.26666666666665</v>
      </c>
      <c r="I11" s="157">
        <v>11359</v>
      </c>
      <c r="J11" s="158">
        <v>0</v>
      </c>
      <c r="K11" s="159">
        <f>SUM(I11:J11)</f>
        <v>11359</v>
      </c>
      <c r="L11" s="160">
        <f>IF(I11/15&lt;=SMG,0,J11/2)</f>
        <v>0</v>
      </c>
      <c r="M11" s="160">
        <f t="shared" ref="M11:M12" si="13">I11+L11</f>
        <v>11359</v>
      </c>
      <c r="N11" s="160">
        <f t="shared" ref="N11:N12" si="14">VLOOKUP(M11,Tarifa1,1)</f>
        <v>7641.91</v>
      </c>
      <c r="O11" s="160">
        <f t="shared" ref="O11:O12" si="15">M11-N11</f>
        <v>3717.09</v>
      </c>
      <c r="P11" s="161">
        <f t="shared" ref="P11:P12" si="16">VLOOKUP(M11,Tarifa1,3)</f>
        <v>0.21360000000000001</v>
      </c>
      <c r="Q11" s="160">
        <f t="shared" ref="Q11:Q12" si="17">O11*P11</f>
        <v>793.97042400000009</v>
      </c>
      <c r="R11" s="162">
        <f t="shared" ref="R11:R12" si="18">VLOOKUP(M11,Tarifa1,2)</f>
        <v>809.25</v>
      </c>
      <c r="S11" s="160">
        <f t="shared" ref="S11:S12" si="19">Q11+R11</f>
        <v>1603.2204240000001</v>
      </c>
      <c r="T11" s="160">
        <f t="shared" ref="T11:T12" si="20">VLOOKUP(M11,Credito1,2)</f>
        <v>0</v>
      </c>
      <c r="U11" s="160">
        <f t="shared" ref="U11:U12" si="21">ROUND(S11-T11,2)</f>
        <v>1603.22</v>
      </c>
      <c r="V11" s="159">
        <f t="shared" ref="V11:V12" si="22">-IF(U11&gt;0,0,U11)</f>
        <v>0</v>
      </c>
      <c r="W11" s="159">
        <f t="shared" ref="W11:W12" si="23">IF(I11/15&lt;=SMG,0,IF(U11&lt;0,0,U11))</f>
        <v>1603.22</v>
      </c>
      <c r="X11" s="159">
        <f t="shared" si="12"/>
        <v>1603.22</v>
      </c>
      <c r="Y11" s="159">
        <f>K11+V11-X11</f>
        <v>9755.7800000000007</v>
      </c>
      <c r="Z11" s="114"/>
      <c r="AA11" s="98"/>
      <c r="AF11" s="99"/>
    </row>
    <row r="12" spans="1:32" s="96" customFormat="1" ht="154.5" customHeight="1" x14ac:dyDescent="0.35">
      <c r="A12" s="113"/>
      <c r="B12" s="151" t="s">
        <v>271</v>
      </c>
      <c r="C12" s="151" t="s">
        <v>111</v>
      </c>
      <c r="D12" s="218" t="s">
        <v>272</v>
      </c>
      <c r="E12" s="229">
        <v>44866</v>
      </c>
      <c r="F12" s="154" t="s">
        <v>66</v>
      </c>
      <c r="G12" s="155"/>
      <c r="H12" s="156"/>
      <c r="I12" s="157">
        <v>6253</v>
      </c>
      <c r="J12" s="158">
        <v>416.87</v>
      </c>
      <c r="K12" s="157">
        <f>I12</f>
        <v>6253</v>
      </c>
      <c r="L12" s="160">
        <f t="shared" ref="L12" si="24">IF(I12/15&lt;=SMG,0,J12/2)</f>
        <v>208.435</v>
      </c>
      <c r="M12" s="160">
        <f t="shared" si="13"/>
        <v>6461.4350000000004</v>
      </c>
      <c r="N12" s="160">
        <f t="shared" si="14"/>
        <v>6382.81</v>
      </c>
      <c r="O12" s="160">
        <f t="shared" si="15"/>
        <v>78.625</v>
      </c>
      <c r="P12" s="161">
        <f t="shared" si="16"/>
        <v>0.1792</v>
      </c>
      <c r="Q12" s="160">
        <f t="shared" si="17"/>
        <v>14.089599999999999</v>
      </c>
      <c r="R12" s="162">
        <f t="shared" si="18"/>
        <v>583.65</v>
      </c>
      <c r="S12" s="160">
        <f t="shared" si="19"/>
        <v>597.7396</v>
      </c>
      <c r="T12" s="160">
        <f t="shared" si="20"/>
        <v>0</v>
      </c>
      <c r="U12" s="160">
        <f t="shared" si="21"/>
        <v>597.74</v>
      </c>
      <c r="V12" s="159">
        <f t="shared" si="22"/>
        <v>0</v>
      </c>
      <c r="W12" s="159">
        <f t="shared" si="23"/>
        <v>597.74</v>
      </c>
      <c r="X12" s="159">
        <f t="shared" si="12"/>
        <v>597.74</v>
      </c>
      <c r="Y12" s="159">
        <f>K12+V12-X12+J12</f>
        <v>6072.13</v>
      </c>
      <c r="Z12" s="114"/>
      <c r="AF12" s="99"/>
    </row>
    <row r="13" spans="1:32" s="96" customFormat="1" ht="154.5" customHeight="1" x14ac:dyDescent="0.35">
      <c r="A13" s="113"/>
      <c r="B13" s="151" t="s">
        <v>296</v>
      </c>
      <c r="C13" s="151" t="s">
        <v>111</v>
      </c>
      <c r="D13" s="218" t="s">
        <v>295</v>
      </c>
      <c r="E13" s="227">
        <v>45042</v>
      </c>
      <c r="F13" s="154" t="s">
        <v>66</v>
      </c>
      <c r="G13" s="155"/>
      <c r="H13" s="156"/>
      <c r="I13" s="157">
        <v>6253</v>
      </c>
      <c r="J13" s="158">
        <v>0</v>
      </c>
      <c r="K13" s="157">
        <f>I13</f>
        <v>6253</v>
      </c>
      <c r="L13" s="160">
        <f t="shared" ref="L13:L16" si="25">IF(I13/15&lt;=SMG,0,J13/2)</f>
        <v>0</v>
      </c>
      <c r="M13" s="160">
        <f t="shared" ref="M13:M16" si="26">I13+L13</f>
        <v>6253</v>
      </c>
      <c r="N13" s="160">
        <f t="shared" ref="N13:N16" si="27">VLOOKUP(M13,Tarifa1,1)</f>
        <v>5490.76</v>
      </c>
      <c r="O13" s="160">
        <f t="shared" ref="O13:O16" si="28">M13-N13</f>
        <v>762.23999999999978</v>
      </c>
      <c r="P13" s="161">
        <f t="shared" ref="P13:P16" si="29">VLOOKUP(M13,Tarifa1,3)</f>
        <v>0.16</v>
      </c>
      <c r="Q13" s="160">
        <f t="shared" ref="Q13:Q16" si="30">O13*P13</f>
        <v>121.95839999999997</v>
      </c>
      <c r="R13" s="162">
        <f t="shared" ref="R13:R16" si="31">VLOOKUP(M13,Tarifa1,2)</f>
        <v>441</v>
      </c>
      <c r="S13" s="160">
        <f t="shared" ref="S13:S16" si="32">Q13+R13</f>
        <v>562.95839999999998</v>
      </c>
      <c r="T13" s="160">
        <f t="shared" ref="T13:T16" si="33">VLOOKUP(M13,Credito1,2)</f>
        <v>0</v>
      </c>
      <c r="U13" s="160">
        <f t="shared" ref="U13:U16" si="34">ROUND(S13-T13,2)</f>
        <v>562.96</v>
      </c>
      <c r="V13" s="159">
        <f t="shared" ref="V13:V16" si="35">-IF(U13&gt;0,0,U13)</f>
        <v>0</v>
      </c>
      <c r="W13" s="159">
        <f t="shared" ref="W13:W16" si="36">IF(I13/15&lt;=SMG,0,IF(U13&lt;0,0,U13))</f>
        <v>562.96</v>
      </c>
      <c r="X13" s="159">
        <f t="shared" si="12"/>
        <v>562.96</v>
      </c>
      <c r="Y13" s="159">
        <f>K13+V13-X13+J13</f>
        <v>5690.04</v>
      </c>
      <c r="Z13" s="114"/>
      <c r="AF13" s="99"/>
    </row>
    <row r="14" spans="1:32" s="96" customFormat="1" ht="154.5" customHeight="1" x14ac:dyDescent="0.35">
      <c r="A14" s="181"/>
      <c r="B14" s="151" t="s">
        <v>301</v>
      </c>
      <c r="C14" s="151" t="s">
        <v>111</v>
      </c>
      <c r="D14" s="218" t="s">
        <v>302</v>
      </c>
      <c r="E14" s="227">
        <v>45078</v>
      </c>
      <c r="F14" s="154" t="s">
        <v>303</v>
      </c>
      <c r="G14" s="155"/>
      <c r="H14" s="156"/>
      <c r="I14" s="157">
        <v>9126.32</v>
      </c>
      <c r="J14" s="158">
        <v>0</v>
      </c>
      <c r="K14" s="159">
        <f t="shared" ref="K14" si="37">SUM(I14:J14)</f>
        <v>9126.32</v>
      </c>
      <c r="L14" s="160">
        <f t="shared" si="25"/>
        <v>0</v>
      </c>
      <c r="M14" s="160">
        <f t="shared" si="26"/>
        <v>9126.32</v>
      </c>
      <c r="N14" s="160">
        <f t="shared" si="27"/>
        <v>7641.91</v>
      </c>
      <c r="O14" s="160">
        <f t="shared" si="28"/>
        <v>1484.4099999999999</v>
      </c>
      <c r="P14" s="161">
        <f t="shared" si="29"/>
        <v>0.21360000000000001</v>
      </c>
      <c r="Q14" s="160">
        <f t="shared" si="30"/>
        <v>317.069976</v>
      </c>
      <c r="R14" s="162">
        <f t="shared" si="31"/>
        <v>809.25</v>
      </c>
      <c r="S14" s="160">
        <f t="shared" si="32"/>
        <v>1126.319976</v>
      </c>
      <c r="T14" s="160">
        <f t="shared" si="33"/>
        <v>0</v>
      </c>
      <c r="U14" s="160">
        <f t="shared" si="34"/>
        <v>1126.32</v>
      </c>
      <c r="V14" s="159">
        <f t="shared" si="35"/>
        <v>0</v>
      </c>
      <c r="W14" s="159">
        <f t="shared" si="36"/>
        <v>1126.32</v>
      </c>
      <c r="X14" s="159">
        <f t="shared" si="12"/>
        <v>1126.32</v>
      </c>
      <c r="Y14" s="159">
        <f>K14+V14-X14</f>
        <v>8000</v>
      </c>
      <c r="Z14" s="114"/>
      <c r="AF14" s="99"/>
    </row>
    <row r="15" spans="1:32" s="96" customFormat="1" ht="154.5" customHeight="1" x14ac:dyDescent="0.35">
      <c r="A15" s="181"/>
      <c r="B15" s="152" t="s">
        <v>183</v>
      </c>
      <c r="C15" s="152" t="s">
        <v>111</v>
      </c>
      <c r="D15" s="214" t="s">
        <v>184</v>
      </c>
      <c r="E15" s="221">
        <v>43877</v>
      </c>
      <c r="F15" s="154" t="s">
        <v>158</v>
      </c>
      <c r="G15" s="155">
        <v>15</v>
      </c>
      <c r="H15" s="156"/>
      <c r="I15" s="157">
        <v>6843</v>
      </c>
      <c r="J15" s="158">
        <v>0</v>
      </c>
      <c r="K15" s="159">
        <f>SUM(I15:J15)</f>
        <v>6843</v>
      </c>
      <c r="L15" s="160">
        <f t="shared" si="25"/>
        <v>0</v>
      </c>
      <c r="M15" s="160">
        <f t="shared" si="26"/>
        <v>6843</v>
      </c>
      <c r="N15" s="160">
        <f t="shared" si="27"/>
        <v>6382.81</v>
      </c>
      <c r="O15" s="160">
        <f t="shared" si="28"/>
        <v>460.1899999999996</v>
      </c>
      <c r="P15" s="161">
        <f t="shared" si="29"/>
        <v>0.1792</v>
      </c>
      <c r="Q15" s="160">
        <f t="shared" si="30"/>
        <v>82.46604799999993</v>
      </c>
      <c r="R15" s="162">
        <f t="shared" si="31"/>
        <v>583.65</v>
      </c>
      <c r="S15" s="160">
        <f t="shared" si="32"/>
        <v>666.11604799999986</v>
      </c>
      <c r="T15" s="160">
        <f t="shared" si="33"/>
        <v>0</v>
      </c>
      <c r="U15" s="160">
        <f t="shared" si="34"/>
        <v>666.12</v>
      </c>
      <c r="V15" s="159">
        <f t="shared" si="35"/>
        <v>0</v>
      </c>
      <c r="W15" s="159">
        <f t="shared" si="36"/>
        <v>666.12</v>
      </c>
      <c r="X15" s="159">
        <f t="shared" si="12"/>
        <v>666.12</v>
      </c>
      <c r="Y15" s="159">
        <f>K15+V15-X15</f>
        <v>6176.88</v>
      </c>
      <c r="Z15" s="276"/>
      <c r="AF15" s="99"/>
    </row>
    <row r="16" spans="1:32" s="96" customFormat="1" ht="154.5" customHeight="1" x14ac:dyDescent="0.35">
      <c r="A16" s="181"/>
      <c r="B16" s="152" t="s">
        <v>167</v>
      </c>
      <c r="C16" s="152" t="s">
        <v>111</v>
      </c>
      <c r="D16" s="214" t="s">
        <v>160</v>
      </c>
      <c r="E16" s="220">
        <v>43512</v>
      </c>
      <c r="F16" s="154" t="s">
        <v>158</v>
      </c>
      <c r="G16" s="155">
        <v>15</v>
      </c>
      <c r="H16" s="156"/>
      <c r="I16" s="157">
        <v>8552</v>
      </c>
      <c r="J16" s="158">
        <v>0</v>
      </c>
      <c r="K16" s="159">
        <f t="shared" ref="K16" si="38">SUM(I16:J16)</f>
        <v>8552</v>
      </c>
      <c r="L16" s="160">
        <f t="shared" si="25"/>
        <v>0</v>
      </c>
      <c r="M16" s="160">
        <f t="shared" si="26"/>
        <v>8552</v>
      </c>
      <c r="N16" s="160">
        <f t="shared" si="27"/>
        <v>7641.91</v>
      </c>
      <c r="O16" s="160">
        <f t="shared" si="28"/>
        <v>910.09000000000015</v>
      </c>
      <c r="P16" s="161">
        <f t="shared" si="29"/>
        <v>0.21360000000000001</v>
      </c>
      <c r="Q16" s="160">
        <f t="shared" si="30"/>
        <v>194.39522400000004</v>
      </c>
      <c r="R16" s="162">
        <f t="shared" si="31"/>
        <v>809.25</v>
      </c>
      <c r="S16" s="160">
        <f t="shared" si="32"/>
        <v>1003.6452240000001</v>
      </c>
      <c r="T16" s="160">
        <f t="shared" si="33"/>
        <v>0</v>
      </c>
      <c r="U16" s="160">
        <f t="shared" si="34"/>
        <v>1003.65</v>
      </c>
      <c r="V16" s="159">
        <f t="shared" si="35"/>
        <v>0</v>
      </c>
      <c r="W16" s="159">
        <f t="shared" si="36"/>
        <v>1003.65</v>
      </c>
      <c r="X16" s="159">
        <f t="shared" si="12"/>
        <v>1003.65</v>
      </c>
      <c r="Y16" s="159">
        <f>K16+V16-X16</f>
        <v>7548.35</v>
      </c>
      <c r="Z16" s="114"/>
      <c r="AF16" s="99"/>
    </row>
    <row r="17" spans="1:32" s="96" customFormat="1" ht="17.25" customHeight="1" x14ac:dyDescent="0.3">
      <c r="A17" s="181"/>
      <c r="B17" s="193"/>
      <c r="C17" s="193"/>
      <c r="D17" s="198"/>
      <c r="E17" s="199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115"/>
      <c r="AF17" s="99"/>
    </row>
    <row r="18" spans="1:32" s="96" customFormat="1" ht="17.25" customHeight="1" x14ac:dyDescent="0.3">
      <c r="A18" s="181"/>
      <c r="B18" s="193"/>
      <c r="C18" s="193"/>
      <c r="D18" s="198"/>
      <c r="E18" s="199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115"/>
      <c r="AF18" s="99"/>
    </row>
    <row r="19" spans="1:32" s="96" customFormat="1" ht="17.25" customHeight="1" x14ac:dyDescent="0.3">
      <c r="A19" s="181"/>
      <c r="B19" s="193"/>
      <c r="C19" s="193"/>
      <c r="D19" s="198"/>
      <c r="E19" s="199"/>
      <c r="F19" s="200"/>
      <c r="G19" s="201"/>
      <c r="H19" s="202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115"/>
      <c r="AF19" s="99"/>
    </row>
    <row r="20" spans="1:32" s="96" customFormat="1" ht="17.25" customHeight="1" x14ac:dyDescent="0.3">
      <c r="A20" s="181"/>
      <c r="B20" s="193"/>
      <c r="C20" s="193"/>
      <c r="D20" s="198"/>
      <c r="E20" s="199"/>
      <c r="F20" s="200"/>
      <c r="G20" s="201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115"/>
      <c r="AF20" s="99"/>
    </row>
    <row r="21" spans="1:32" s="96" customFormat="1" ht="29.25" customHeight="1" x14ac:dyDescent="0.3">
      <c r="A21" s="181"/>
      <c r="B21" s="290" t="s">
        <v>77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F21" s="99"/>
    </row>
    <row r="22" spans="1:32" s="96" customFormat="1" ht="28.5" customHeight="1" x14ac:dyDescent="0.3">
      <c r="A22" s="181"/>
      <c r="B22" s="290" t="s">
        <v>63</v>
      </c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F22" s="99"/>
    </row>
    <row r="23" spans="1:32" s="96" customFormat="1" ht="28.5" customHeight="1" x14ac:dyDescent="0.3">
      <c r="A23" s="181"/>
      <c r="B23" s="291" t="s">
        <v>351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F23" s="99"/>
    </row>
    <row r="24" spans="1:32" s="96" customFormat="1" ht="28.5" customHeight="1" x14ac:dyDescent="0.3">
      <c r="A24" s="181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F24" s="99"/>
    </row>
    <row r="25" spans="1:32" s="96" customFormat="1" ht="134.25" customHeight="1" x14ac:dyDescent="0.35">
      <c r="A25" s="181"/>
      <c r="B25" s="152" t="s">
        <v>173</v>
      </c>
      <c r="C25" s="152" t="s">
        <v>111</v>
      </c>
      <c r="D25" s="214" t="s">
        <v>174</v>
      </c>
      <c r="E25" s="220">
        <v>43632</v>
      </c>
      <c r="F25" s="154" t="s">
        <v>158</v>
      </c>
      <c r="G25" s="155">
        <v>15</v>
      </c>
      <c r="H25" s="156"/>
      <c r="I25" s="157">
        <v>8552</v>
      </c>
      <c r="J25" s="158">
        <v>0</v>
      </c>
      <c r="K25" s="159">
        <f t="shared" ref="K25" si="39">SUM(I25:J25)</f>
        <v>8552</v>
      </c>
      <c r="L25" s="160">
        <f t="shared" ref="L25" si="40">IF(I25/15&lt;=SMG,0,J25/2)</f>
        <v>0</v>
      </c>
      <c r="M25" s="160">
        <f t="shared" ref="M25" si="41">I25+L25</f>
        <v>8552</v>
      </c>
      <c r="N25" s="160">
        <f t="shared" ref="N25" si="42">VLOOKUP(M25,Tarifa1,1)</f>
        <v>7641.91</v>
      </c>
      <c r="O25" s="160">
        <f t="shared" ref="O25" si="43">M25-N25</f>
        <v>910.09000000000015</v>
      </c>
      <c r="P25" s="161">
        <f t="shared" ref="P25" si="44">VLOOKUP(M25,Tarifa1,3)</f>
        <v>0.21360000000000001</v>
      </c>
      <c r="Q25" s="160">
        <f t="shared" ref="Q25" si="45">O25*P25</f>
        <v>194.39522400000004</v>
      </c>
      <c r="R25" s="162">
        <f t="shared" ref="R25" si="46">VLOOKUP(M25,Tarifa1,2)</f>
        <v>809.25</v>
      </c>
      <c r="S25" s="160">
        <f t="shared" ref="S25" si="47">Q25+R25</f>
        <v>1003.6452240000001</v>
      </c>
      <c r="T25" s="160">
        <f t="shared" ref="T25" si="48">VLOOKUP(M25,Credito1,2)</f>
        <v>0</v>
      </c>
      <c r="U25" s="160">
        <f t="shared" ref="U25" si="49">ROUND(S25-T25,2)</f>
        <v>1003.65</v>
      </c>
      <c r="V25" s="159">
        <f t="shared" ref="V25" si="50">-IF(U25&gt;0,0,U25)</f>
        <v>0</v>
      </c>
      <c r="W25" s="159">
        <f t="shared" ref="W25" si="51">IF(I25/15&lt;=SMG,0,IF(U25&lt;0,0,U25))</f>
        <v>1003.65</v>
      </c>
      <c r="X25" s="159">
        <f t="shared" ref="X25:X31" si="52">SUM(W25:W25)</f>
        <v>1003.65</v>
      </c>
      <c r="Y25" s="159">
        <f>K25+V25-X25</f>
        <v>7548.35</v>
      </c>
      <c r="Z25" s="114"/>
      <c r="AA25" s="197"/>
      <c r="AF25" s="99"/>
    </row>
    <row r="26" spans="1:32" s="96" customFormat="1" ht="134.25" customHeight="1" x14ac:dyDescent="0.35">
      <c r="A26" s="113"/>
      <c r="B26" s="152" t="s">
        <v>253</v>
      </c>
      <c r="C26" s="152" t="s">
        <v>111</v>
      </c>
      <c r="D26" s="214" t="s">
        <v>254</v>
      </c>
      <c r="E26" s="220">
        <v>44728</v>
      </c>
      <c r="F26" s="154" t="s">
        <v>158</v>
      </c>
      <c r="G26" s="155"/>
      <c r="H26" s="156"/>
      <c r="I26" s="157">
        <v>8552</v>
      </c>
      <c r="J26" s="158">
        <v>0</v>
      </c>
      <c r="K26" s="159">
        <f>SUM(I26:J26)</f>
        <v>8552</v>
      </c>
      <c r="L26" s="160">
        <f t="shared" ref="L26:L30" si="53">IF(I26/15&lt;=SMG,0,J26/2)</f>
        <v>0</v>
      </c>
      <c r="M26" s="160">
        <f t="shared" ref="M26:M29" si="54">I26+L26</f>
        <v>8552</v>
      </c>
      <c r="N26" s="160">
        <f t="shared" ref="N26:N29" si="55">VLOOKUP(M26,Tarifa1,1)</f>
        <v>7641.91</v>
      </c>
      <c r="O26" s="160">
        <f t="shared" ref="O26:O29" si="56">M26-N26</f>
        <v>910.09000000000015</v>
      </c>
      <c r="P26" s="161">
        <f t="shared" ref="P26:P29" si="57">VLOOKUP(M26,Tarifa1,3)</f>
        <v>0.21360000000000001</v>
      </c>
      <c r="Q26" s="160">
        <f t="shared" ref="Q26:Q29" si="58">O26*P26</f>
        <v>194.39522400000004</v>
      </c>
      <c r="R26" s="162">
        <f t="shared" ref="R26:R29" si="59">VLOOKUP(M26,Tarifa1,2)</f>
        <v>809.25</v>
      </c>
      <c r="S26" s="160">
        <f t="shared" ref="S26:S29" si="60">Q26+R26</f>
        <v>1003.6452240000001</v>
      </c>
      <c r="T26" s="160">
        <f t="shared" ref="T26:T29" si="61">VLOOKUP(M26,Credito1,2)</f>
        <v>0</v>
      </c>
      <c r="U26" s="160">
        <f t="shared" ref="U26:U29" si="62">ROUND(S26-T26,2)</f>
        <v>1003.65</v>
      </c>
      <c r="V26" s="159">
        <f t="shared" ref="V26:V29" si="63">-IF(U26&gt;0,0,U26)</f>
        <v>0</v>
      </c>
      <c r="W26" s="159">
        <f t="shared" ref="W26:W29" si="64">IF(I26/15&lt;=SMG,0,IF(U26&lt;0,0,U26))</f>
        <v>1003.65</v>
      </c>
      <c r="X26" s="159">
        <f t="shared" si="52"/>
        <v>1003.65</v>
      </c>
      <c r="Y26" s="159">
        <f>K26+V26-X26</f>
        <v>7548.35</v>
      </c>
      <c r="Z26" s="114"/>
      <c r="AF26" s="99"/>
    </row>
    <row r="27" spans="1:32" s="96" customFormat="1" ht="134.25" customHeight="1" x14ac:dyDescent="0.35">
      <c r="A27" s="113"/>
      <c r="B27" s="152" t="s">
        <v>294</v>
      </c>
      <c r="C27" s="152" t="s">
        <v>111</v>
      </c>
      <c r="D27" s="216" t="s">
        <v>297</v>
      </c>
      <c r="E27" s="221">
        <v>45033</v>
      </c>
      <c r="F27" s="154" t="s">
        <v>158</v>
      </c>
      <c r="G27" s="155"/>
      <c r="H27" s="156"/>
      <c r="I27" s="157">
        <v>6843</v>
      </c>
      <c r="J27" s="158">
        <v>0</v>
      </c>
      <c r="K27" s="159">
        <f>SUM(I27:J27)</f>
        <v>6843</v>
      </c>
      <c r="L27" s="160">
        <f t="shared" ref="L27" si="65">IF(I27/15&lt;=SMG,0,J27/2)</f>
        <v>0</v>
      </c>
      <c r="M27" s="160">
        <f t="shared" ref="M27" si="66">I27+L27</f>
        <v>6843</v>
      </c>
      <c r="N27" s="160">
        <f t="shared" ref="N27" si="67">VLOOKUP(M27,Tarifa1,1)</f>
        <v>6382.81</v>
      </c>
      <c r="O27" s="160">
        <f t="shared" ref="O27" si="68">M27-N27</f>
        <v>460.1899999999996</v>
      </c>
      <c r="P27" s="161">
        <f t="shared" ref="P27" si="69">VLOOKUP(M27,Tarifa1,3)</f>
        <v>0.1792</v>
      </c>
      <c r="Q27" s="160">
        <f t="shared" ref="Q27" si="70">O27*P27</f>
        <v>82.46604799999993</v>
      </c>
      <c r="R27" s="162">
        <f t="shared" ref="R27" si="71">VLOOKUP(M27,Tarifa1,2)</f>
        <v>583.65</v>
      </c>
      <c r="S27" s="160">
        <f t="shared" ref="S27" si="72">Q27+R27</f>
        <v>666.11604799999986</v>
      </c>
      <c r="T27" s="160">
        <f t="shared" ref="T27" si="73">VLOOKUP(M27,Credito1,2)</f>
        <v>0</v>
      </c>
      <c r="U27" s="160">
        <f t="shared" ref="U27" si="74">ROUND(S27-T27,2)</f>
        <v>666.12</v>
      </c>
      <c r="V27" s="159">
        <f t="shared" ref="V27" si="75">-IF(U27&gt;0,0,U27)</f>
        <v>0</v>
      </c>
      <c r="W27" s="159">
        <f t="shared" ref="W27" si="76">IF(I27/15&lt;=SMG,0,IF(U27&lt;0,0,U27))</f>
        <v>666.12</v>
      </c>
      <c r="X27" s="159">
        <f t="shared" si="52"/>
        <v>666.12</v>
      </c>
      <c r="Y27" s="159">
        <f>K27+V27-X27</f>
        <v>6176.88</v>
      </c>
      <c r="Z27" s="114"/>
      <c r="AF27" s="99"/>
    </row>
    <row r="28" spans="1:32" s="96" customFormat="1" ht="134.25" customHeight="1" x14ac:dyDescent="0.3">
      <c r="A28" s="113"/>
      <c r="B28" s="152" t="s">
        <v>349</v>
      </c>
      <c r="C28" s="152" t="s">
        <v>111</v>
      </c>
      <c r="D28" s="154" t="s">
        <v>350</v>
      </c>
      <c r="E28" s="277">
        <v>45236</v>
      </c>
      <c r="F28" s="154" t="s">
        <v>158</v>
      </c>
      <c r="G28" s="156"/>
      <c r="H28" s="157">
        <v>6843</v>
      </c>
      <c r="I28" s="157">
        <v>4562</v>
      </c>
      <c r="J28" s="158">
        <v>0</v>
      </c>
      <c r="K28" s="159">
        <f>SUM(I28:J28)</f>
        <v>4562</v>
      </c>
      <c r="L28" s="160">
        <f t="shared" ref="L28" si="77">IF(I28/15&lt;=SMG,0,J28/2)</f>
        <v>0</v>
      </c>
      <c r="M28" s="160">
        <f t="shared" ref="M28" si="78">I28+L28</f>
        <v>4562</v>
      </c>
      <c r="N28" s="160">
        <f t="shared" ref="N28" si="79">VLOOKUP(M28,Tarifa1,1)</f>
        <v>3124.36</v>
      </c>
      <c r="O28" s="160">
        <f t="shared" ref="O28" si="80">M28-N28</f>
        <v>1437.6399999999999</v>
      </c>
      <c r="P28" s="161">
        <f t="shared" ref="P28" si="81">VLOOKUP(M28,Tarifa1,3)</f>
        <v>0.10879999999999999</v>
      </c>
      <c r="Q28" s="160">
        <f t="shared" ref="Q28" si="82">O28*P28</f>
        <v>156.41523199999997</v>
      </c>
      <c r="R28" s="162">
        <f t="shared" ref="R28" si="83">VLOOKUP(M28,Tarifa1,2)</f>
        <v>183.45</v>
      </c>
      <c r="S28" s="160">
        <f t="shared" ref="S28" si="84">Q28+R28</f>
        <v>339.86523199999999</v>
      </c>
      <c r="T28" s="160">
        <f t="shared" ref="T28" si="85">VLOOKUP(M28,Credito1,2)</f>
        <v>0</v>
      </c>
      <c r="U28" s="160">
        <f t="shared" ref="U28" si="86">ROUND(S28-T28,2)</f>
        <v>339.87</v>
      </c>
      <c r="V28" s="159">
        <f t="shared" ref="V28" si="87">-IF(U28&gt;0,0,U28)</f>
        <v>0</v>
      </c>
      <c r="W28" s="159">
        <f t="shared" ref="W28" si="88">IF(I28/15&lt;=SMG,0,IF(U28&lt;0,0,U28))</f>
        <v>339.87</v>
      </c>
      <c r="X28" s="159">
        <f t="shared" si="52"/>
        <v>339.87</v>
      </c>
      <c r="Y28" s="159">
        <f>K28+V28-X28</f>
        <v>4222.13</v>
      </c>
      <c r="Z28" s="114"/>
      <c r="AF28" s="99"/>
    </row>
    <row r="29" spans="1:32" s="96" customFormat="1" ht="134.25" customHeight="1" x14ac:dyDescent="0.35">
      <c r="A29" s="113"/>
      <c r="B29" s="152" t="s">
        <v>257</v>
      </c>
      <c r="C29" s="152" t="s">
        <v>111</v>
      </c>
      <c r="D29" s="214" t="s">
        <v>255</v>
      </c>
      <c r="E29" s="221">
        <v>44728</v>
      </c>
      <c r="F29" s="154" t="s">
        <v>256</v>
      </c>
      <c r="G29" s="155"/>
      <c r="H29" s="156"/>
      <c r="I29" s="157">
        <v>6253</v>
      </c>
      <c r="J29" s="158">
        <v>0</v>
      </c>
      <c r="K29" s="157">
        <f>I29</f>
        <v>6253</v>
      </c>
      <c r="L29" s="160">
        <f t="shared" si="53"/>
        <v>0</v>
      </c>
      <c r="M29" s="160">
        <f t="shared" si="54"/>
        <v>6253</v>
      </c>
      <c r="N29" s="160">
        <f t="shared" si="55"/>
        <v>5490.76</v>
      </c>
      <c r="O29" s="160">
        <f t="shared" si="56"/>
        <v>762.23999999999978</v>
      </c>
      <c r="P29" s="161">
        <f t="shared" si="57"/>
        <v>0.16</v>
      </c>
      <c r="Q29" s="160">
        <f t="shared" si="58"/>
        <v>121.95839999999997</v>
      </c>
      <c r="R29" s="162">
        <f t="shared" si="59"/>
        <v>441</v>
      </c>
      <c r="S29" s="160">
        <f t="shared" si="60"/>
        <v>562.95839999999998</v>
      </c>
      <c r="T29" s="160">
        <f t="shared" si="61"/>
        <v>0</v>
      </c>
      <c r="U29" s="160">
        <f t="shared" si="62"/>
        <v>562.96</v>
      </c>
      <c r="V29" s="159">
        <f t="shared" si="63"/>
        <v>0</v>
      </c>
      <c r="W29" s="159">
        <f t="shared" si="64"/>
        <v>562.96</v>
      </c>
      <c r="X29" s="159">
        <f t="shared" si="52"/>
        <v>562.96</v>
      </c>
      <c r="Y29" s="159">
        <f>K29+V29-X29+J29</f>
        <v>5690.04</v>
      </c>
      <c r="Z29" s="114"/>
      <c r="AF29" s="99"/>
    </row>
    <row r="30" spans="1:32" s="96" customFormat="1" ht="134.25" customHeight="1" x14ac:dyDescent="0.35">
      <c r="A30" s="113"/>
      <c r="B30" s="152" t="s">
        <v>169</v>
      </c>
      <c r="C30" s="152" t="s">
        <v>111</v>
      </c>
      <c r="D30" s="214" t="s">
        <v>159</v>
      </c>
      <c r="E30" s="220">
        <v>43512</v>
      </c>
      <c r="F30" s="154" t="s">
        <v>251</v>
      </c>
      <c r="G30" s="155">
        <v>15</v>
      </c>
      <c r="H30" s="156">
        <f t="shared" ref="H30" si="89">I30/G30</f>
        <v>310.2</v>
      </c>
      <c r="I30" s="157">
        <v>4653</v>
      </c>
      <c r="J30" s="158">
        <v>0</v>
      </c>
      <c r="K30" s="159">
        <f t="shared" ref="K30" si="90">SUM(I30:J30)</f>
        <v>4653</v>
      </c>
      <c r="L30" s="160">
        <f t="shared" si="53"/>
        <v>0</v>
      </c>
      <c r="M30" s="160">
        <f t="shared" ref="M30:M31" si="91">I30+L30</f>
        <v>4653</v>
      </c>
      <c r="N30" s="160">
        <f t="shared" ref="N30" si="92">VLOOKUP(M30,Tarifa1,1)</f>
        <v>3124.36</v>
      </c>
      <c r="O30" s="160">
        <f t="shared" ref="O30:O31" si="93">M30-N30</f>
        <v>1528.6399999999999</v>
      </c>
      <c r="P30" s="161">
        <f t="shared" ref="P30" si="94">VLOOKUP(M30,Tarifa1,3)</f>
        <v>0.10879999999999999</v>
      </c>
      <c r="Q30" s="160">
        <f t="shared" ref="Q30:Q31" si="95">O30*P30</f>
        <v>166.31603199999998</v>
      </c>
      <c r="R30" s="162">
        <f t="shared" ref="R30" si="96">VLOOKUP(M30,Tarifa1,2)</f>
        <v>183.45</v>
      </c>
      <c r="S30" s="160">
        <f t="shared" ref="S30:S31" si="97">Q30+R30</f>
        <v>349.766032</v>
      </c>
      <c r="T30" s="160">
        <f t="shared" ref="T30" si="98">VLOOKUP(M30,Credito1,2)</f>
        <v>0</v>
      </c>
      <c r="U30" s="160">
        <f t="shared" ref="U30:U31" si="99">ROUND(S30-T30,2)</f>
        <v>349.77</v>
      </c>
      <c r="V30" s="159">
        <f t="shared" ref="V30:V31" si="100">-IF(U30&gt;0,0,U30)</f>
        <v>0</v>
      </c>
      <c r="W30" s="159">
        <f t="shared" ref="W30" si="101">IF(I30/15&lt;=SMG,0,IF(U30&lt;0,0,U30))</f>
        <v>349.77</v>
      </c>
      <c r="X30" s="159">
        <f t="shared" si="52"/>
        <v>349.77</v>
      </c>
      <c r="Y30" s="159">
        <f>K30+V30-X30</f>
        <v>4303.2299999999996</v>
      </c>
      <c r="Z30" s="114"/>
      <c r="AF30" s="99"/>
    </row>
    <row r="31" spans="1:32" s="96" customFormat="1" ht="134.25" customHeight="1" x14ac:dyDescent="0.35">
      <c r="A31" s="113"/>
      <c r="B31" s="152" t="s">
        <v>341</v>
      </c>
      <c r="C31" s="152" t="s">
        <v>111</v>
      </c>
      <c r="D31" s="214" t="s">
        <v>340</v>
      </c>
      <c r="E31" s="220">
        <v>45188</v>
      </c>
      <c r="F31" s="154" t="s">
        <v>339</v>
      </c>
      <c r="G31" s="155"/>
      <c r="H31" s="156"/>
      <c r="I31" s="157">
        <v>4467</v>
      </c>
      <c r="J31" s="158">
        <v>0</v>
      </c>
      <c r="K31" s="159">
        <f>SUM(I31:J31)</f>
        <v>4467</v>
      </c>
      <c r="L31" s="160">
        <f>IF(I31/15&lt;=SMG,0,J31/2)</f>
        <v>0</v>
      </c>
      <c r="M31" s="160">
        <f t="shared" si="91"/>
        <v>4467</v>
      </c>
      <c r="N31" s="160">
        <f t="shared" ref="N31" si="102">VLOOKUP(M31,Tarifa1,1)</f>
        <v>3124.36</v>
      </c>
      <c r="O31" s="160">
        <f t="shared" si="93"/>
        <v>1342.6399999999999</v>
      </c>
      <c r="P31" s="161">
        <f t="shared" ref="P31" si="103">VLOOKUP(M31,Tarifa1,3)</f>
        <v>0.10879999999999999</v>
      </c>
      <c r="Q31" s="160">
        <f t="shared" si="95"/>
        <v>146.07923199999999</v>
      </c>
      <c r="R31" s="162">
        <f t="shared" ref="R31" si="104">VLOOKUP(M31,Tarifa1,2)</f>
        <v>183.45</v>
      </c>
      <c r="S31" s="160">
        <f t="shared" si="97"/>
        <v>329.52923199999998</v>
      </c>
      <c r="T31" s="160">
        <f t="shared" ref="T31" si="105">VLOOKUP(M31,Credito1,2)</f>
        <v>0</v>
      </c>
      <c r="U31" s="160">
        <f t="shared" si="99"/>
        <v>329.53</v>
      </c>
      <c r="V31" s="159">
        <f t="shared" si="100"/>
        <v>0</v>
      </c>
      <c r="W31" s="159">
        <f t="shared" ref="W31" si="106">IF(I31/15&lt;=SMG,0,IF(U31&lt;0,0,U31))</f>
        <v>329.53</v>
      </c>
      <c r="X31" s="159">
        <f t="shared" si="52"/>
        <v>329.53</v>
      </c>
      <c r="Y31" s="159">
        <f>K31+V31-X31</f>
        <v>4137.47</v>
      </c>
      <c r="Z31" s="114"/>
      <c r="AF31" s="99"/>
    </row>
    <row r="32" spans="1:32" s="53" customFormat="1" ht="39" customHeight="1" thickBot="1" x14ac:dyDescent="0.35">
      <c r="A32" s="287" t="s">
        <v>44</v>
      </c>
      <c r="B32" s="288"/>
      <c r="C32" s="288"/>
      <c r="D32" s="288"/>
      <c r="E32" s="288"/>
      <c r="F32" s="288"/>
      <c r="G32" s="288"/>
      <c r="H32" s="289"/>
      <c r="I32" s="163">
        <f t="shared" ref="I32:Y32" si="107">SUM(I9:I31)</f>
        <v>108005.04999999999</v>
      </c>
      <c r="J32" s="163">
        <f t="shared" si="107"/>
        <v>416.87</v>
      </c>
      <c r="K32" s="163">
        <f t="shared" si="107"/>
        <v>108005.04999999999</v>
      </c>
      <c r="L32" s="164">
        <f t="shared" si="107"/>
        <v>208.435</v>
      </c>
      <c r="M32" s="164">
        <f t="shared" si="107"/>
        <v>108213.485</v>
      </c>
      <c r="N32" s="164">
        <f t="shared" si="107"/>
        <v>88478.85</v>
      </c>
      <c r="O32" s="164">
        <f t="shared" si="107"/>
        <v>19734.634999999995</v>
      </c>
      <c r="P32" s="164">
        <f t="shared" si="107"/>
        <v>2.5744000000000002</v>
      </c>
      <c r="Q32" s="164">
        <f t="shared" si="107"/>
        <v>3516.3121439999991</v>
      </c>
      <c r="R32" s="164">
        <f t="shared" si="107"/>
        <v>8222.25</v>
      </c>
      <c r="S32" s="164">
        <f t="shared" si="107"/>
        <v>11738.562144</v>
      </c>
      <c r="T32" s="164">
        <f t="shared" si="107"/>
        <v>0</v>
      </c>
      <c r="U32" s="164">
        <f t="shared" si="107"/>
        <v>11738.6</v>
      </c>
      <c r="V32" s="163">
        <f t="shared" si="107"/>
        <v>0</v>
      </c>
      <c r="W32" s="163">
        <f t="shared" si="107"/>
        <v>11738.6</v>
      </c>
      <c r="X32" s="163">
        <f t="shared" si="107"/>
        <v>11738.6</v>
      </c>
      <c r="Y32" s="163">
        <f t="shared" si="107"/>
        <v>96683.319999999992</v>
      </c>
      <c r="Z32" s="115"/>
    </row>
    <row r="33" spans="1:26" s="53" customFormat="1" ht="39" customHeight="1" thickTop="1" x14ac:dyDescent="0.25">
      <c r="A33" s="109"/>
      <c r="B33" s="109"/>
      <c r="C33" s="109"/>
      <c r="D33" s="109"/>
      <c r="E33" s="109"/>
      <c r="F33" s="109"/>
      <c r="G33" s="109"/>
      <c r="H33" s="109"/>
      <c r="I33" s="110"/>
      <c r="J33" s="110"/>
      <c r="K33" s="110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0"/>
      <c r="W33" s="110"/>
      <c r="X33" s="110"/>
      <c r="Y33" s="110"/>
    </row>
    <row r="34" spans="1:26" s="53" customFormat="1" ht="11.4" x14ac:dyDescent="0.2"/>
    <row r="35" spans="1:26" s="53" customFormat="1" ht="11.4" x14ac:dyDescent="0.2"/>
    <row r="36" spans="1:26" s="53" customFormat="1" ht="11.4" x14ac:dyDescent="0.2"/>
    <row r="37" spans="1:26" s="53" customFormat="1" ht="11.4" x14ac:dyDescent="0.2"/>
    <row r="38" spans="1:26" s="53" customFormat="1" ht="13.8" x14ac:dyDescent="0.25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</row>
    <row r="39" spans="1:26" s="53" customFormat="1" ht="13.8" x14ac:dyDescent="0.25">
      <c r="B39" s="96"/>
      <c r="C39" s="96"/>
      <c r="D39" s="100" t="s">
        <v>203</v>
      </c>
      <c r="E39" s="100"/>
      <c r="F39" s="100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100" t="s">
        <v>149</v>
      </c>
      <c r="X39" s="96"/>
      <c r="Y39" s="96"/>
    </row>
    <row r="40" spans="1:26" s="53" customFormat="1" ht="13.8" x14ac:dyDescent="0.25">
      <c r="B40" s="96"/>
      <c r="C40" s="96"/>
      <c r="D40" s="100" t="s">
        <v>201</v>
      </c>
      <c r="E40" s="100"/>
      <c r="F40" s="100"/>
      <c r="G40" s="100"/>
      <c r="H40" s="100"/>
      <c r="I40" s="100"/>
      <c r="J40" s="100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100" t="s">
        <v>234</v>
      </c>
      <c r="X40" s="100"/>
      <c r="Y40" s="100"/>
      <c r="Z40" s="62"/>
    </row>
    <row r="41" spans="1:26" s="53" customFormat="1" ht="13.8" x14ac:dyDescent="0.25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</row>
  </sheetData>
  <mergeCells count="11">
    <mergeCell ref="A32:H32"/>
    <mergeCell ref="C5:C7"/>
    <mergeCell ref="A1:Z1"/>
    <mergeCell ref="A2:Z2"/>
    <mergeCell ref="A3:Z3"/>
    <mergeCell ref="I5:K5"/>
    <mergeCell ref="N5:S5"/>
    <mergeCell ref="W5:X5"/>
    <mergeCell ref="B21:AA21"/>
    <mergeCell ref="B22:AA22"/>
    <mergeCell ref="B23:AA23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0:E31 D15 D28:D31 D25:E27 D16:E20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B13" zoomScale="69" zoomScaleNormal="69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3" customFormat="1" ht="12" x14ac:dyDescent="0.25">
      <c r="A5" s="49"/>
      <c r="B5" s="49"/>
      <c r="C5" s="49"/>
      <c r="D5" s="49"/>
      <c r="E5" s="49"/>
      <c r="F5" s="49"/>
      <c r="G5" s="50" t="s">
        <v>22</v>
      </c>
      <c r="H5" s="50" t="s">
        <v>5</v>
      </c>
      <c r="I5" s="312" t="s">
        <v>1</v>
      </c>
      <c r="J5" s="313"/>
      <c r="K5" s="314"/>
      <c r="L5" s="51" t="s">
        <v>25</v>
      </c>
      <c r="M5" s="52"/>
      <c r="N5" s="315" t="s">
        <v>8</v>
      </c>
      <c r="O5" s="316"/>
      <c r="P5" s="316"/>
      <c r="Q5" s="316"/>
      <c r="R5" s="316"/>
      <c r="S5" s="317"/>
      <c r="T5" s="51" t="s">
        <v>29</v>
      </c>
      <c r="U5" s="51" t="s">
        <v>9</v>
      </c>
      <c r="V5" s="50" t="s">
        <v>52</v>
      </c>
      <c r="W5" s="318" t="s">
        <v>2</v>
      </c>
      <c r="X5" s="319"/>
      <c r="Y5" s="50" t="s">
        <v>0</v>
      </c>
      <c r="Z5" s="49"/>
    </row>
    <row r="6" spans="1:26" s="53" customFormat="1" ht="24" x14ac:dyDescent="0.25">
      <c r="A6" s="54" t="s">
        <v>104</v>
      </c>
      <c r="B6" s="48" t="s">
        <v>99</v>
      </c>
      <c r="C6" s="48" t="s">
        <v>120</v>
      </c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88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273</v>
      </c>
      <c r="X6" s="50" t="s">
        <v>6</v>
      </c>
      <c r="Y6" s="54" t="s">
        <v>3</v>
      </c>
      <c r="Z6" s="54" t="s">
        <v>56</v>
      </c>
    </row>
    <row r="7" spans="1:26" s="53" customFormat="1" ht="12" x14ac:dyDescent="0.25">
      <c r="A7" s="54"/>
      <c r="B7" s="54"/>
      <c r="C7" s="54"/>
      <c r="D7" s="54"/>
      <c r="E7" s="54"/>
      <c r="F7" s="54"/>
      <c r="G7" s="54"/>
      <c r="H7" s="54"/>
      <c r="I7" s="54" t="s">
        <v>46</v>
      </c>
      <c r="J7" s="54" t="s">
        <v>58</v>
      </c>
      <c r="K7" s="54" t="s">
        <v>28</v>
      </c>
      <c r="L7" s="56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89" t="s">
        <v>14</v>
      </c>
      <c r="S7" s="51" t="s">
        <v>38</v>
      </c>
      <c r="T7" s="56" t="s">
        <v>18</v>
      </c>
      <c r="U7" s="57" t="s">
        <v>121</v>
      </c>
      <c r="V7" s="54" t="s">
        <v>51</v>
      </c>
      <c r="W7" s="54"/>
      <c r="X7" s="54" t="s">
        <v>43</v>
      </c>
      <c r="Y7" s="54" t="s">
        <v>4</v>
      </c>
      <c r="Z7" s="58"/>
    </row>
    <row r="8" spans="1:26" s="4" customFormat="1" ht="39.75" customHeight="1" x14ac:dyDescent="0.3">
      <c r="A8" s="101"/>
      <c r="B8" s="120"/>
      <c r="C8" s="120"/>
      <c r="D8" s="120" t="s">
        <v>68</v>
      </c>
      <c r="E8" s="139" t="s">
        <v>289</v>
      </c>
      <c r="F8" s="120" t="s">
        <v>60</v>
      </c>
      <c r="G8" s="120"/>
      <c r="H8" s="120"/>
      <c r="I8" s="121">
        <f>SUM(I9:I20)</f>
        <v>51753.78</v>
      </c>
      <c r="J8" s="121">
        <f>SUM(J9:J20)</f>
        <v>347.36</v>
      </c>
      <c r="K8" s="121">
        <f>SUM(K9:K20)</f>
        <v>52101.14</v>
      </c>
      <c r="L8" s="120"/>
      <c r="M8" s="120"/>
      <c r="N8" s="120"/>
      <c r="O8" s="120"/>
      <c r="P8" s="120"/>
      <c r="Q8" s="120"/>
      <c r="R8" s="122"/>
      <c r="S8" s="120"/>
      <c r="T8" s="120"/>
      <c r="U8" s="120"/>
      <c r="V8" s="121">
        <f>SUM(V9:V20)</f>
        <v>0</v>
      </c>
      <c r="W8" s="121">
        <f>SUM(W9:W20)</f>
        <v>3393.3500000000004</v>
      </c>
      <c r="X8" s="121">
        <f>SUM(X9:X20)</f>
        <v>3393.3500000000004</v>
      </c>
      <c r="Y8" s="121">
        <f>SUM(Y9:Y20)</f>
        <v>48707.789999999994</v>
      </c>
      <c r="Z8" s="102"/>
    </row>
    <row r="9" spans="1:26" s="4" customFormat="1" ht="77.25" customHeight="1" x14ac:dyDescent="0.35">
      <c r="A9" s="45"/>
      <c r="B9" s="152" t="s">
        <v>170</v>
      </c>
      <c r="C9" s="152" t="s">
        <v>111</v>
      </c>
      <c r="D9" s="216" t="s">
        <v>165</v>
      </c>
      <c r="E9" s="221">
        <v>43512</v>
      </c>
      <c r="F9" s="154" t="s">
        <v>164</v>
      </c>
      <c r="G9" s="155">
        <v>15</v>
      </c>
      <c r="H9" s="156">
        <f>I9/G9</f>
        <v>291.84866666666665</v>
      </c>
      <c r="I9" s="157">
        <v>4377.7299999999996</v>
      </c>
      <c r="J9" s="158">
        <v>0</v>
      </c>
      <c r="K9" s="159">
        <f>SUM(I9:J9)</f>
        <v>4377.7299999999996</v>
      </c>
      <c r="L9" s="160">
        <f>IF(I9/15&lt;=SMG,0,J9/2)</f>
        <v>0</v>
      </c>
      <c r="M9" s="160">
        <f t="shared" ref="M9:M10" si="0">I9+L9</f>
        <v>4377.7299999999996</v>
      </c>
      <c r="N9" s="160">
        <f>VLOOKUP(M9,Tarifa1,1)</f>
        <v>3124.36</v>
      </c>
      <c r="O9" s="160">
        <f t="shared" ref="O9:O10" si="1">M9-N9</f>
        <v>1253.3699999999994</v>
      </c>
      <c r="P9" s="161">
        <f>VLOOKUP(M9,Tarifa1,3)</f>
        <v>0.10879999999999999</v>
      </c>
      <c r="Q9" s="160">
        <f t="shared" ref="Q9:Q10" si="2">O9*P9</f>
        <v>136.36665599999992</v>
      </c>
      <c r="R9" s="162">
        <f>VLOOKUP(M9,Tarifa1,2)</f>
        <v>183.45</v>
      </c>
      <c r="S9" s="160">
        <f t="shared" ref="S9:S10" si="3">Q9+R9</f>
        <v>319.81665599999991</v>
      </c>
      <c r="T9" s="160">
        <f>VLOOKUP(M9,Credito1,2)</f>
        <v>0</v>
      </c>
      <c r="U9" s="160">
        <f t="shared" ref="U9:U10" si="4">ROUND(S9-T9,2)</f>
        <v>319.82</v>
      </c>
      <c r="V9" s="159">
        <f t="shared" ref="V9:V10" si="5">-IF(U9&gt;0,0,U9)</f>
        <v>0</v>
      </c>
      <c r="W9" s="159">
        <f>IF(I9/15&lt;=SMG,0,IF(U9&lt;0,0,U9))</f>
        <v>319.82</v>
      </c>
      <c r="X9" s="159">
        <f t="shared" ref="X9:X20" si="6">SUM(W9:W9)</f>
        <v>319.82</v>
      </c>
      <c r="Y9" s="159">
        <f t="shared" ref="Y9:Y20" si="7">K9+V9-X9</f>
        <v>4057.9099999999994</v>
      </c>
      <c r="Z9" s="92"/>
    </row>
    <row r="10" spans="1:26" s="4" customFormat="1" ht="77.25" customHeight="1" x14ac:dyDescent="0.35">
      <c r="A10" s="45"/>
      <c r="B10" s="152" t="s">
        <v>101</v>
      </c>
      <c r="C10" s="152" t="s">
        <v>111</v>
      </c>
      <c r="D10" s="216" t="s">
        <v>69</v>
      </c>
      <c r="E10" s="221">
        <v>39448</v>
      </c>
      <c r="F10" s="154" t="s">
        <v>70</v>
      </c>
      <c r="G10" s="155">
        <v>15</v>
      </c>
      <c r="H10" s="156">
        <f>I10/G10</f>
        <v>291.84866666666665</v>
      </c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si="0"/>
        <v>4377.7299999999996</v>
      </c>
      <c r="N10" s="160">
        <f>VLOOKUP(M10,Tarifa1,1)</f>
        <v>3124.36</v>
      </c>
      <c r="O10" s="160">
        <f t="shared" si="1"/>
        <v>1253.3699999999994</v>
      </c>
      <c r="P10" s="161">
        <f>VLOOKUP(M10,Tarifa1,3)</f>
        <v>0.10879999999999999</v>
      </c>
      <c r="Q10" s="160">
        <f t="shared" si="2"/>
        <v>136.36665599999992</v>
      </c>
      <c r="R10" s="162">
        <f>VLOOKUP(M10,Tarifa1,2)</f>
        <v>183.45</v>
      </c>
      <c r="S10" s="160">
        <f t="shared" si="3"/>
        <v>319.81665599999991</v>
      </c>
      <c r="T10" s="160">
        <f>VLOOKUP(M10,Credito1,2)</f>
        <v>0</v>
      </c>
      <c r="U10" s="160">
        <f t="shared" si="4"/>
        <v>319.82</v>
      </c>
      <c r="V10" s="159">
        <f t="shared" si="5"/>
        <v>0</v>
      </c>
      <c r="W10" s="159">
        <f>IF(I10/15&lt;=SMG,0,IF(U10&lt;0,0,U10))</f>
        <v>319.82</v>
      </c>
      <c r="X10" s="159">
        <f t="shared" si="6"/>
        <v>319.82</v>
      </c>
      <c r="Y10" s="159">
        <f t="shared" si="7"/>
        <v>4057.9099999999994</v>
      </c>
      <c r="Z10" s="92"/>
    </row>
    <row r="11" spans="1:26" s="4" customFormat="1" ht="77.25" customHeight="1" x14ac:dyDescent="0.35">
      <c r="A11" s="45"/>
      <c r="B11" s="152" t="s">
        <v>259</v>
      </c>
      <c r="C11" s="152" t="s">
        <v>111</v>
      </c>
      <c r="D11" s="216" t="s">
        <v>262</v>
      </c>
      <c r="E11" s="227">
        <v>44743</v>
      </c>
      <c r="F11" s="154" t="s">
        <v>164</v>
      </c>
      <c r="G11" s="155">
        <v>15</v>
      </c>
      <c r="H11" s="156"/>
      <c r="I11" s="157">
        <v>4489.93</v>
      </c>
      <c r="J11" s="158">
        <v>0</v>
      </c>
      <c r="K11" s="159">
        <f>SUM(I11:J11)</f>
        <v>4489.93</v>
      </c>
      <c r="L11" s="160">
        <f>IF(I11/15&lt;=SMG,0,J11/2)</f>
        <v>0</v>
      </c>
      <c r="M11" s="160">
        <f t="shared" ref="M11:M20" si="8">I11+L11</f>
        <v>4489.93</v>
      </c>
      <c r="N11" s="160">
        <f>VLOOKUP(M11,Tarifa1,1)</f>
        <v>3124.36</v>
      </c>
      <c r="O11" s="160">
        <f t="shared" ref="O11:O20" si="9">M11-N11</f>
        <v>1365.5700000000002</v>
      </c>
      <c r="P11" s="161">
        <f>VLOOKUP(M11,Tarifa1,3)</f>
        <v>0.10879999999999999</v>
      </c>
      <c r="Q11" s="160">
        <f t="shared" ref="Q11:Q20" si="10">O11*P11</f>
        <v>148.574016</v>
      </c>
      <c r="R11" s="162">
        <f>VLOOKUP(M11,Tarifa1,2)</f>
        <v>183.45</v>
      </c>
      <c r="S11" s="160">
        <f t="shared" ref="S11:S20" si="11">Q11+R11</f>
        <v>332.02401599999996</v>
      </c>
      <c r="T11" s="160">
        <f>VLOOKUP(M11,Credito1,2)</f>
        <v>0</v>
      </c>
      <c r="U11" s="160">
        <f t="shared" ref="U11:U20" si="12">ROUND(S11-T11,2)</f>
        <v>332.02</v>
      </c>
      <c r="V11" s="159">
        <f t="shared" ref="V11:V20" si="13">-IF(U11&gt;0,0,U11)</f>
        <v>0</v>
      </c>
      <c r="W11" s="159">
        <f>IF(I11/15&lt;=SMG,0,IF(U11&lt;0,0,U11))</f>
        <v>332.02</v>
      </c>
      <c r="X11" s="159">
        <f t="shared" si="6"/>
        <v>332.02</v>
      </c>
      <c r="Y11" s="159">
        <f t="shared" si="7"/>
        <v>4157.91</v>
      </c>
      <c r="Z11" s="92"/>
    </row>
    <row r="12" spans="1:26" s="4" customFormat="1" ht="77.25" customHeight="1" x14ac:dyDescent="0.35">
      <c r="A12" s="45"/>
      <c r="B12" s="152" t="s">
        <v>128</v>
      </c>
      <c r="C12" s="152" t="s">
        <v>111</v>
      </c>
      <c r="D12" s="218" t="s">
        <v>127</v>
      </c>
      <c r="E12" s="225">
        <v>42948</v>
      </c>
      <c r="F12" s="154" t="s">
        <v>298</v>
      </c>
      <c r="G12" s="155">
        <v>15</v>
      </c>
      <c r="H12" s="156">
        <f>I12/G12</f>
        <v>347.36066666666665</v>
      </c>
      <c r="I12" s="157">
        <v>5210.41</v>
      </c>
      <c r="J12" s="158">
        <v>347.36</v>
      </c>
      <c r="K12" s="159">
        <f t="shared" ref="K12" si="14">SUM(I12:J12)</f>
        <v>5557.7699999999995</v>
      </c>
      <c r="L12" s="160">
        <f t="shared" ref="L12" si="15">IF(I12/15&lt;=SMG,0,J12/2)</f>
        <v>173.68</v>
      </c>
      <c r="M12" s="160">
        <f t="shared" si="8"/>
        <v>5384.09</v>
      </c>
      <c r="N12" s="160">
        <f t="shared" ref="N12" si="16">VLOOKUP(M12,Tarifa1,1)</f>
        <v>3124.36</v>
      </c>
      <c r="O12" s="160">
        <f t="shared" si="9"/>
        <v>2259.73</v>
      </c>
      <c r="P12" s="161">
        <f t="shared" ref="P12" si="17">VLOOKUP(M12,Tarifa1,3)</f>
        <v>0.10879999999999999</v>
      </c>
      <c r="Q12" s="160">
        <f t="shared" si="10"/>
        <v>245.85862399999999</v>
      </c>
      <c r="R12" s="162">
        <f t="shared" ref="R12" si="18">VLOOKUP(M12,Tarifa1,2)</f>
        <v>183.45</v>
      </c>
      <c r="S12" s="160">
        <f t="shared" si="11"/>
        <v>429.30862400000001</v>
      </c>
      <c r="T12" s="160">
        <f t="shared" ref="T12" si="19">VLOOKUP(M12,Credito1,2)</f>
        <v>0</v>
      </c>
      <c r="U12" s="160">
        <f t="shared" si="12"/>
        <v>429.31</v>
      </c>
      <c r="V12" s="159">
        <f t="shared" si="13"/>
        <v>0</v>
      </c>
      <c r="W12" s="159">
        <f t="shared" ref="W12" si="20">IF(I12/15&lt;=SMG,0,IF(U12&lt;0,0,U12))</f>
        <v>429.31</v>
      </c>
      <c r="X12" s="159">
        <f t="shared" si="6"/>
        <v>429.31</v>
      </c>
      <c r="Y12" s="159">
        <f t="shared" si="7"/>
        <v>5128.4599999999991</v>
      </c>
      <c r="Z12" s="92"/>
    </row>
    <row r="13" spans="1:26" s="4" customFormat="1" ht="77.25" customHeight="1" x14ac:dyDescent="0.35">
      <c r="A13" s="45"/>
      <c r="B13" s="152" t="s">
        <v>308</v>
      </c>
      <c r="C13" s="152" t="s">
        <v>111</v>
      </c>
      <c r="D13" s="218" t="s">
        <v>309</v>
      </c>
      <c r="E13" s="225">
        <v>45078</v>
      </c>
      <c r="F13" s="154" t="s">
        <v>100</v>
      </c>
      <c r="G13" s="155"/>
      <c r="H13" s="156"/>
      <c r="I13" s="157">
        <v>4032.23</v>
      </c>
      <c r="J13" s="158">
        <v>0</v>
      </c>
      <c r="K13" s="159">
        <f t="shared" ref="K13" si="21">SUM(I13:J13)</f>
        <v>4032.23</v>
      </c>
      <c r="L13" s="160">
        <f t="shared" ref="L13" si="22">IF(I13/15&lt;=SMG,0,J13/2)</f>
        <v>0</v>
      </c>
      <c r="M13" s="160">
        <f t="shared" ref="M13" si="23">I13+L13</f>
        <v>4032.23</v>
      </c>
      <c r="N13" s="160">
        <f t="shared" ref="N13" si="24">VLOOKUP(M13,Tarifa1,1)</f>
        <v>3124.36</v>
      </c>
      <c r="O13" s="160">
        <f t="shared" ref="O13" si="25">M13-N13</f>
        <v>907.86999999999989</v>
      </c>
      <c r="P13" s="161">
        <f t="shared" ref="P13" si="26">VLOOKUP(M13,Tarifa1,3)</f>
        <v>0.10879999999999999</v>
      </c>
      <c r="Q13" s="160">
        <f t="shared" ref="Q13" si="27">O13*P13</f>
        <v>98.776255999999989</v>
      </c>
      <c r="R13" s="162">
        <f t="shared" ref="R13" si="28">VLOOKUP(M13,Tarifa1,2)</f>
        <v>183.45</v>
      </c>
      <c r="S13" s="160">
        <f t="shared" ref="S13" si="29">Q13+R13</f>
        <v>282.22625599999998</v>
      </c>
      <c r="T13" s="160">
        <f t="shared" ref="T13" si="30">VLOOKUP(M13,Credito1,2)</f>
        <v>0</v>
      </c>
      <c r="U13" s="160">
        <f t="shared" ref="U13" si="31">ROUND(S13-T13,2)</f>
        <v>282.23</v>
      </c>
      <c r="V13" s="159">
        <f t="shared" ref="V13" si="32">-IF(U13&gt;0,0,U13)</f>
        <v>0</v>
      </c>
      <c r="W13" s="159">
        <f t="shared" ref="W13" si="33">IF(I13/15&lt;=SMG,0,IF(U13&lt;0,0,U13))</f>
        <v>282.23</v>
      </c>
      <c r="X13" s="159">
        <f t="shared" si="6"/>
        <v>282.23</v>
      </c>
      <c r="Y13" s="159">
        <f t="shared" si="7"/>
        <v>3750</v>
      </c>
      <c r="Z13" s="92"/>
    </row>
    <row r="14" spans="1:26" s="4" customFormat="1" ht="77.25" customHeight="1" x14ac:dyDescent="0.35">
      <c r="A14" s="45"/>
      <c r="B14" s="152" t="s">
        <v>179</v>
      </c>
      <c r="C14" s="152" t="s">
        <v>111</v>
      </c>
      <c r="D14" s="218" t="s">
        <v>180</v>
      </c>
      <c r="E14" s="225">
        <v>43709</v>
      </c>
      <c r="F14" s="154" t="s">
        <v>237</v>
      </c>
      <c r="G14" s="155">
        <v>15</v>
      </c>
      <c r="H14" s="156"/>
      <c r="I14" s="157">
        <v>3403</v>
      </c>
      <c r="J14" s="158">
        <v>0</v>
      </c>
      <c r="K14" s="159">
        <f t="shared" ref="K14" si="34">SUM(I14:J14)</f>
        <v>3403</v>
      </c>
      <c r="L14" s="160">
        <f t="shared" ref="L14:L15" si="35">IF(I14/15&lt;=SMG,0,J14/2)</f>
        <v>0</v>
      </c>
      <c r="M14" s="160">
        <f t="shared" si="8"/>
        <v>3403</v>
      </c>
      <c r="N14" s="160">
        <f t="shared" ref="N14:N20" si="36">VLOOKUP(M14,Tarifa1,1)</f>
        <v>3124.36</v>
      </c>
      <c r="O14" s="160">
        <f t="shared" si="9"/>
        <v>278.63999999999987</v>
      </c>
      <c r="P14" s="161">
        <f t="shared" ref="P14:P20" si="37">VLOOKUP(M14,Tarifa1,3)</f>
        <v>0.10879999999999999</v>
      </c>
      <c r="Q14" s="160">
        <f t="shared" si="10"/>
        <v>30.316031999999986</v>
      </c>
      <c r="R14" s="162">
        <f t="shared" ref="R14:R20" si="38">VLOOKUP(M14,Tarifa1,2)</f>
        <v>183.45</v>
      </c>
      <c r="S14" s="160">
        <f t="shared" si="11"/>
        <v>213.76603199999997</v>
      </c>
      <c r="T14" s="160">
        <f t="shared" ref="T14:T20" si="39">VLOOKUP(M14,Credito1,2)</f>
        <v>125.1</v>
      </c>
      <c r="U14" s="160">
        <f t="shared" si="12"/>
        <v>88.67</v>
      </c>
      <c r="V14" s="159">
        <f t="shared" si="13"/>
        <v>0</v>
      </c>
      <c r="W14" s="159">
        <f t="shared" ref="W14:W20" si="40">IF(I14/15&lt;=SMG,0,IF(U14&lt;0,0,U14))</f>
        <v>88.67</v>
      </c>
      <c r="X14" s="159">
        <f t="shared" si="6"/>
        <v>88.67</v>
      </c>
      <c r="Y14" s="159">
        <f t="shared" si="7"/>
        <v>3314.33</v>
      </c>
      <c r="Z14" s="92"/>
    </row>
    <row r="15" spans="1:26" s="4" customFormat="1" ht="77.25" customHeight="1" x14ac:dyDescent="0.35">
      <c r="A15" s="45"/>
      <c r="B15" s="152" t="s">
        <v>321</v>
      </c>
      <c r="C15" s="152" t="s">
        <v>111</v>
      </c>
      <c r="D15" s="218" t="s">
        <v>319</v>
      </c>
      <c r="E15" s="225">
        <v>45123</v>
      </c>
      <c r="F15" s="154" t="s">
        <v>318</v>
      </c>
      <c r="G15" s="155">
        <v>15</v>
      </c>
      <c r="H15" s="156"/>
      <c r="I15" s="157">
        <v>4312.75</v>
      </c>
      <c r="J15" s="158">
        <v>0</v>
      </c>
      <c r="K15" s="159">
        <f>SUM(I15:J15)</f>
        <v>4312.75</v>
      </c>
      <c r="L15" s="160">
        <f t="shared" si="35"/>
        <v>0</v>
      </c>
      <c r="M15" s="160">
        <f t="shared" si="8"/>
        <v>4312.75</v>
      </c>
      <c r="N15" s="160">
        <f t="shared" si="36"/>
        <v>3124.36</v>
      </c>
      <c r="O15" s="160">
        <f t="shared" si="9"/>
        <v>1188.3899999999999</v>
      </c>
      <c r="P15" s="161">
        <f t="shared" si="37"/>
        <v>0.10879999999999999</v>
      </c>
      <c r="Q15" s="160">
        <f t="shared" si="10"/>
        <v>129.29683199999997</v>
      </c>
      <c r="R15" s="162">
        <f t="shared" si="38"/>
        <v>183.45</v>
      </c>
      <c r="S15" s="160">
        <f t="shared" si="11"/>
        <v>312.74683199999993</v>
      </c>
      <c r="T15" s="160">
        <f t="shared" si="39"/>
        <v>0</v>
      </c>
      <c r="U15" s="160">
        <f t="shared" si="12"/>
        <v>312.75</v>
      </c>
      <c r="V15" s="159">
        <f t="shared" si="13"/>
        <v>0</v>
      </c>
      <c r="W15" s="159">
        <f t="shared" si="40"/>
        <v>312.75</v>
      </c>
      <c r="X15" s="159">
        <f t="shared" si="6"/>
        <v>312.75</v>
      </c>
      <c r="Y15" s="159">
        <f t="shared" si="7"/>
        <v>4000</v>
      </c>
      <c r="Z15" s="92"/>
    </row>
    <row r="16" spans="1:26" s="4" customFormat="1" ht="77.25" customHeight="1" x14ac:dyDescent="0.35">
      <c r="A16" s="45"/>
      <c r="B16" s="152" t="s">
        <v>279</v>
      </c>
      <c r="C16" s="152" t="s">
        <v>111</v>
      </c>
      <c r="D16" s="218" t="s">
        <v>280</v>
      </c>
      <c r="E16" s="225">
        <v>44973</v>
      </c>
      <c r="F16" s="154" t="s">
        <v>281</v>
      </c>
      <c r="G16" s="155"/>
      <c r="H16" s="156"/>
      <c r="I16" s="157">
        <v>3403</v>
      </c>
      <c r="J16" s="158">
        <v>0</v>
      </c>
      <c r="K16" s="159">
        <f t="shared" ref="K16" si="41">SUM(I16:J16)</f>
        <v>3403</v>
      </c>
      <c r="L16" s="160">
        <f t="shared" ref="L16" si="42">IF(I16/15&lt;=SMG,0,J16/2)</f>
        <v>0</v>
      </c>
      <c r="M16" s="160">
        <f t="shared" ref="M16:M17" si="43">I16+L16</f>
        <v>3403</v>
      </c>
      <c r="N16" s="160">
        <f t="shared" ref="N16:N17" si="44">VLOOKUP(M16,Tarifa1,1)</f>
        <v>3124.36</v>
      </c>
      <c r="O16" s="160">
        <f t="shared" ref="O16:O17" si="45">M16-N16</f>
        <v>278.63999999999987</v>
      </c>
      <c r="P16" s="161">
        <f t="shared" ref="P16:P17" si="46">VLOOKUP(M16,Tarifa1,3)</f>
        <v>0.10879999999999999</v>
      </c>
      <c r="Q16" s="160">
        <f t="shared" ref="Q16:Q17" si="47">O16*P16</f>
        <v>30.316031999999986</v>
      </c>
      <c r="R16" s="162">
        <f t="shared" ref="R16:R17" si="48">VLOOKUP(M16,Tarifa1,2)</f>
        <v>183.45</v>
      </c>
      <c r="S16" s="160">
        <f t="shared" ref="S16:S17" si="49">Q16+R16</f>
        <v>213.76603199999997</v>
      </c>
      <c r="T16" s="160">
        <f t="shared" ref="T16:T17" si="50">VLOOKUP(M16,Credito1,2)</f>
        <v>125.1</v>
      </c>
      <c r="U16" s="160">
        <f t="shared" ref="U16:U17" si="51">ROUND(S16-T16,2)</f>
        <v>88.67</v>
      </c>
      <c r="V16" s="159">
        <f t="shared" ref="V16:V17" si="52">-IF(U16&gt;0,0,U16)</f>
        <v>0</v>
      </c>
      <c r="W16" s="159">
        <f t="shared" ref="W16:W17" si="53">IF(I16/15&lt;=SMG,0,IF(U16&lt;0,0,U16))</f>
        <v>88.67</v>
      </c>
      <c r="X16" s="159">
        <f t="shared" si="6"/>
        <v>88.67</v>
      </c>
      <c r="Y16" s="159">
        <f t="shared" si="7"/>
        <v>3314.33</v>
      </c>
      <c r="Z16" s="92"/>
    </row>
    <row r="17" spans="1:32" s="4" customFormat="1" ht="77.25" customHeight="1" x14ac:dyDescent="0.35">
      <c r="A17" s="45"/>
      <c r="B17" s="152" t="s">
        <v>305</v>
      </c>
      <c r="C17" s="152" t="s">
        <v>111</v>
      </c>
      <c r="D17" s="218" t="s">
        <v>306</v>
      </c>
      <c r="E17" s="225">
        <v>45078</v>
      </c>
      <c r="F17" s="154" t="s">
        <v>307</v>
      </c>
      <c r="G17" s="155"/>
      <c r="H17" s="156"/>
      <c r="I17" s="157">
        <v>3221</v>
      </c>
      <c r="J17" s="158">
        <v>0</v>
      </c>
      <c r="K17" s="159">
        <f>SUM(I17:J17)</f>
        <v>3221</v>
      </c>
      <c r="L17" s="160">
        <f>IF(I17/15&lt;=SMG,0,J17/2)</f>
        <v>0</v>
      </c>
      <c r="M17" s="160">
        <f t="shared" si="43"/>
        <v>3221</v>
      </c>
      <c r="N17" s="160">
        <f t="shared" si="44"/>
        <v>3124.36</v>
      </c>
      <c r="O17" s="160">
        <f t="shared" si="45"/>
        <v>96.639999999999873</v>
      </c>
      <c r="P17" s="161">
        <f t="shared" si="46"/>
        <v>0.10879999999999999</v>
      </c>
      <c r="Q17" s="160">
        <f t="shared" si="47"/>
        <v>10.514431999999985</v>
      </c>
      <c r="R17" s="162">
        <f t="shared" si="48"/>
        <v>183.45</v>
      </c>
      <c r="S17" s="160">
        <f t="shared" si="49"/>
        <v>193.96443199999999</v>
      </c>
      <c r="T17" s="160">
        <f t="shared" si="50"/>
        <v>125.1</v>
      </c>
      <c r="U17" s="160">
        <f t="shared" si="51"/>
        <v>68.86</v>
      </c>
      <c r="V17" s="159">
        <f t="shared" si="52"/>
        <v>0</v>
      </c>
      <c r="W17" s="159">
        <f t="shared" si="53"/>
        <v>68.86</v>
      </c>
      <c r="X17" s="159">
        <f t="shared" si="6"/>
        <v>68.86</v>
      </c>
      <c r="Y17" s="159">
        <f t="shared" si="7"/>
        <v>3152.14</v>
      </c>
      <c r="Z17" s="92"/>
    </row>
    <row r="18" spans="1:32" s="4" customFormat="1" ht="77.25" customHeight="1" x14ac:dyDescent="0.35">
      <c r="A18" s="45"/>
      <c r="B18" s="151" t="s">
        <v>208</v>
      </c>
      <c r="C18" s="152" t="s">
        <v>111</v>
      </c>
      <c r="D18" s="216" t="s">
        <v>225</v>
      </c>
      <c r="E18" s="221">
        <v>44470</v>
      </c>
      <c r="F18" s="153" t="s">
        <v>71</v>
      </c>
      <c r="G18" s="155">
        <v>15</v>
      </c>
      <c r="H18" s="156">
        <f>I18/G18</f>
        <v>497.6</v>
      </c>
      <c r="I18" s="157">
        <v>7464</v>
      </c>
      <c r="J18" s="158">
        <v>0</v>
      </c>
      <c r="K18" s="159">
        <f t="shared" ref="K18" si="54">SUM(I18:J18)</f>
        <v>7464</v>
      </c>
      <c r="L18" s="160">
        <f t="shared" ref="L18" si="55">IF(I18/15&lt;=SMG,0,J18/2)</f>
        <v>0</v>
      </c>
      <c r="M18" s="160">
        <f t="shared" si="8"/>
        <v>7464</v>
      </c>
      <c r="N18" s="160">
        <f t="shared" si="36"/>
        <v>6382.81</v>
      </c>
      <c r="O18" s="160">
        <f t="shared" si="9"/>
        <v>1081.1899999999996</v>
      </c>
      <c r="P18" s="161">
        <f t="shared" si="37"/>
        <v>0.1792</v>
      </c>
      <c r="Q18" s="160">
        <f t="shared" si="10"/>
        <v>193.74924799999994</v>
      </c>
      <c r="R18" s="162">
        <f t="shared" si="38"/>
        <v>583.65</v>
      </c>
      <c r="S18" s="160">
        <f t="shared" si="11"/>
        <v>777.39924799999994</v>
      </c>
      <c r="T18" s="160">
        <f t="shared" si="39"/>
        <v>0</v>
      </c>
      <c r="U18" s="160">
        <f t="shared" si="12"/>
        <v>777.4</v>
      </c>
      <c r="V18" s="159">
        <f t="shared" si="13"/>
        <v>0</v>
      </c>
      <c r="W18" s="159">
        <f t="shared" si="40"/>
        <v>777.4</v>
      </c>
      <c r="X18" s="159">
        <f t="shared" si="6"/>
        <v>777.4</v>
      </c>
      <c r="Y18" s="159">
        <f t="shared" si="7"/>
        <v>6686.6</v>
      </c>
      <c r="Z18" s="92"/>
    </row>
    <row r="19" spans="1:32" s="4" customFormat="1" ht="77.25" customHeight="1" x14ac:dyDescent="0.35">
      <c r="A19" s="45"/>
      <c r="B19" s="151" t="s">
        <v>329</v>
      </c>
      <c r="C19" s="152" t="s">
        <v>111</v>
      </c>
      <c r="D19" s="216" t="s">
        <v>330</v>
      </c>
      <c r="E19" s="221">
        <v>45173</v>
      </c>
      <c r="F19" s="154" t="s">
        <v>163</v>
      </c>
      <c r="G19" s="155">
        <v>15</v>
      </c>
      <c r="H19" s="156"/>
      <c r="I19" s="157">
        <v>4241</v>
      </c>
      <c r="J19" s="158">
        <v>0</v>
      </c>
      <c r="K19" s="159">
        <f>SUM(I19:J19)</f>
        <v>4241</v>
      </c>
      <c r="L19" s="160">
        <f>IF(I19/15&lt;=SMG,0,J19/2)</f>
        <v>0</v>
      </c>
      <c r="M19" s="160">
        <f t="shared" si="8"/>
        <v>4241</v>
      </c>
      <c r="N19" s="160">
        <f t="shared" ref="N19" si="56">VLOOKUP(M19,Tarifa1,1)</f>
        <v>3124.36</v>
      </c>
      <c r="O19" s="160">
        <f t="shared" si="9"/>
        <v>1116.6399999999999</v>
      </c>
      <c r="P19" s="161">
        <f t="shared" ref="P19" si="57">VLOOKUP(M19,Tarifa1,3)</f>
        <v>0.10879999999999999</v>
      </c>
      <c r="Q19" s="160">
        <f t="shared" si="10"/>
        <v>121.49043199999998</v>
      </c>
      <c r="R19" s="162">
        <f t="shared" ref="R19" si="58">VLOOKUP(M19,Tarifa1,2)</f>
        <v>183.45</v>
      </c>
      <c r="S19" s="160">
        <f t="shared" si="11"/>
        <v>304.94043199999999</v>
      </c>
      <c r="T19" s="160">
        <f t="shared" ref="T19" si="59">VLOOKUP(M19,Credito1,2)</f>
        <v>0</v>
      </c>
      <c r="U19" s="160">
        <f t="shared" si="12"/>
        <v>304.94</v>
      </c>
      <c r="V19" s="159">
        <f t="shared" si="13"/>
        <v>0</v>
      </c>
      <c r="W19" s="159">
        <f t="shared" ref="W19" si="60">IF(I19/15&lt;=SMG,0,IF(U19&lt;0,0,U19))</f>
        <v>304.94</v>
      </c>
      <c r="X19" s="159">
        <f t="shared" si="6"/>
        <v>304.94</v>
      </c>
      <c r="Y19" s="159">
        <f t="shared" si="7"/>
        <v>3936.06</v>
      </c>
      <c r="Z19" s="92"/>
    </row>
    <row r="20" spans="1:32" s="4" customFormat="1" ht="77.25" customHeight="1" x14ac:dyDescent="0.35">
      <c r="A20" s="116"/>
      <c r="B20" s="151" t="s">
        <v>185</v>
      </c>
      <c r="C20" s="152" t="s">
        <v>111</v>
      </c>
      <c r="D20" s="216" t="s">
        <v>80</v>
      </c>
      <c r="E20" s="221">
        <v>41410</v>
      </c>
      <c r="F20" s="154" t="s">
        <v>175</v>
      </c>
      <c r="G20" s="155">
        <v>15</v>
      </c>
      <c r="H20" s="156">
        <f>I20/G20</f>
        <v>214.73333333333332</v>
      </c>
      <c r="I20" s="157">
        <v>3221</v>
      </c>
      <c r="J20" s="158">
        <v>0</v>
      </c>
      <c r="K20" s="159">
        <f>SUM(I20:J20)</f>
        <v>3221</v>
      </c>
      <c r="L20" s="160">
        <f>IF(I20/15&lt;=SMG,0,J20/2)</f>
        <v>0</v>
      </c>
      <c r="M20" s="160">
        <f t="shared" si="8"/>
        <v>3221</v>
      </c>
      <c r="N20" s="160">
        <f t="shared" si="36"/>
        <v>3124.36</v>
      </c>
      <c r="O20" s="160">
        <f t="shared" si="9"/>
        <v>96.639999999999873</v>
      </c>
      <c r="P20" s="161">
        <f t="shared" si="37"/>
        <v>0.10879999999999999</v>
      </c>
      <c r="Q20" s="160">
        <f t="shared" si="10"/>
        <v>10.514431999999985</v>
      </c>
      <c r="R20" s="162">
        <f t="shared" si="38"/>
        <v>183.45</v>
      </c>
      <c r="S20" s="160">
        <f t="shared" si="11"/>
        <v>193.96443199999999</v>
      </c>
      <c r="T20" s="160">
        <f t="shared" si="39"/>
        <v>125.1</v>
      </c>
      <c r="U20" s="160">
        <f t="shared" si="12"/>
        <v>68.86</v>
      </c>
      <c r="V20" s="159">
        <f t="shared" si="13"/>
        <v>0</v>
      </c>
      <c r="W20" s="159">
        <f t="shared" si="40"/>
        <v>68.86</v>
      </c>
      <c r="X20" s="159">
        <f t="shared" si="6"/>
        <v>68.86</v>
      </c>
      <c r="Y20" s="159">
        <f t="shared" si="7"/>
        <v>3152.14</v>
      </c>
      <c r="Z20" s="92"/>
      <c r="AA20" s="90"/>
    </row>
    <row r="21" spans="1:32" s="4" customFormat="1" ht="52.5" customHeight="1" x14ac:dyDescent="0.3">
      <c r="A21" s="116"/>
      <c r="B21" s="140"/>
      <c r="C21" s="116"/>
      <c r="D21" s="147"/>
      <c r="E21" s="147"/>
      <c r="F21" s="147"/>
      <c r="G21" s="141"/>
      <c r="H21" s="142"/>
      <c r="I21" s="143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AA21" s="90"/>
    </row>
    <row r="22" spans="1:32" s="4" customFormat="1" ht="27.75" customHeight="1" x14ac:dyDescent="0.3">
      <c r="A22" s="116"/>
      <c r="B22" s="140"/>
      <c r="C22" s="116"/>
      <c r="D22" s="147"/>
      <c r="E22" s="147"/>
      <c r="F22" s="147"/>
      <c r="G22" s="141"/>
      <c r="H22" s="142"/>
      <c r="I22" s="143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AA22" s="90"/>
    </row>
    <row r="23" spans="1:32" s="4" customFormat="1" ht="24" customHeight="1" x14ac:dyDescent="0.3">
      <c r="A23" s="116"/>
      <c r="B23" s="300" t="s">
        <v>77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</row>
    <row r="24" spans="1:32" s="4" customFormat="1" ht="24" customHeight="1" x14ac:dyDescent="0.3">
      <c r="A24" s="116"/>
      <c r="B24" s="300" t="s">
        <v>63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</row>
    <row r="25" spans="1:32" s="4" customFormat="1" ht="25.5" customHeight="1" x14ac:dyDescent="0.3">
      <c r="A25" s="116"/>
      <c r="B25" s="291" t="s">
        <v>351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</row>
    <row r="26" spans="1:32" s="4" customFormat="1" ht="25.5" customHeight="1" x14ac:dyDescent="0.3">
      <c r="A26" s="116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</row>
    <row r="27" spans="1:32" s="4" customFormat="1" ht="57.75" customHeight="1" x14ac:dyDescent="0.3">
      <c r="A27" s="116"/>
      <c r="B27" s="119" t="s">
        <v>99</v>
      </c>
      <c r="C27" s="119" t="s">
        <v>120</v>
      </c>
      <c r="D27" s="120" t="s">
        <v>68</v>
      </c>
      <c r="E27" s="139" t="s">
        <v>289</v>
      </c>
      <c r="F27" s="120" t="s">
        <v>60</v>
      </c>
      <c r="G27" s="120"/>
      <c r="H27" s="120"/>
      <c r="I27" s="121">
        <f>SUM(I28:I30)</f>
        <v>10238</v>
      </c>
      <c r="J27" s="121">
        <f>SUM(J28:J30)</f>
        <v>0</v>
      </c>
      <c r="K27" s="121">
        <f>SUM(K28:K30)</f>
        <v>10238</v>
      </c>
      <c r="L27" s="120"/>
      <c r="M27" s="120"/>
      <c r="N27" s="120"/>
      <c r="O27" s="120"/>
      <c r="P27" s="120"/>
      <c r="Q27" s="120"/>
      <c r="R27" s="122"/>
      <c r="S27" s="120"/>
      <c r="T27" s="120"/>
      <c r="U27" s="120"/>
      <c r="V27" s="121">
        <f>SUM(V28:V30)</f>
        <v>0</v>
      </c>
      <c r="W27" s="121">
        <f>SUM(W28:W30)</f>
        <v>259.74</v>
      </c>
      <c r="X27" s="121">
        <f>SUM(X28:X30)</f>
        <v>259.74</v>
      </c>
      <c r="Y27" s="121">
        <f>SUM(Y28:Y30)</f>
        <v>9978.26</v>
      </c>
      <c r="Z27" s="102"/>
      <c r="AA27" s="197"/>
    </row>
    <row r="28" spans="1:32" s="4" customFormat="1" ht="99.75" customHeight="1" x14ac:dyDescent="0.35">
      <c r="A28" s="116"/>
      <c r="B28" s="151" t="s">
        <v>209</v>
      </c>
      <c r="C28" s="152" t="s">
        <v>111</v>
      </c>
      <c r="D28" s="216" t="s">
        <v>221</v>
      </c>
      <c r="E28" s="221">
        <v>44470</v>
      </c>
      <c r="F28" s="154" t="s">
        <v>136</v>
      </c>
      <c r="G28" s="155">
        <v>15</v>
      </c>
      <c r="H28" s="156"/>
      <c r="I28" s="157">
        <v>3619</v>
      </c>
      <c r="J28" s="158">
        <v>0</v>
      </c>
      <c r="K28" s="159">
        <f t="shared" ref="K28" si="61">SUM(I28:J28)</f>
        <v>3619</v>
      </c>
      <c r="L28" s="160">
        <f t="shared" ref="L28" si="62">IF(I28/15&lt;=SMG,0,J28/2)</f>
        <v>0</v>
      </c>
      <c r="M28" s="160">
        <f t="shared" ref="M28:M30" si="63">I28+L28</f>
        <v>3619</v>
      </c>
      <c r="N28" s="160">
        <f t="shared" ref="N28:N30" si="64">VLOOKUP(M28,Tarifa1,1)</f>
        <v>3124.36</v>
      </c>
      <c r="O28" s="160">
        <f t="shared" ref="O28:O30" si="65">M28-N28</f>
        <v>494.63999999999987</v>
      </c>
      <c r="P28" s="161">
        <f t="shared" ref="P28:P30" si="66">VLOOKUP(M28,Tarifa1,3)</f>
        <v>0.10879999999999999</v>
      </c>
      <c r="Q28" s="160">
        <f t="shared" ref="Q28:Q30" si="67">O28*P28</f>
        <v>53.816831999999984</v>
      </c>
      <c r="R28" s="162">
        <f t="shared" ref="R28:R30" si="68">VLOOKUP(M28,Tarifa1,2)</f>
        <v>183.45</v>
      </c>
      <c r="S28" s="160">
        <f t="shared" ref="S28:S30" si="69">Q28+R28</f>
        <v>237.26683199999997</v>
      </c>
      <c r="T28" s="160">
        <f t="shared" ref="T28:T30" si="70">VLOOKUP(M28,Credito1,2)</f>
        <v>107.4</v>
      </c>
      <c r="U28" s="160">
        <f t="shared" ref="U28:U30" si="71">ROUND(S28-T28,2)</f>
        <v>129.87</v>
      </c>
      <c r="V28" s="159">
        <f t="shared" ref="V28:V30" si="72">-IF(U28&gt;0,0,U28)</f>
        <v>0</v>
      </c>
      <c r="W28" s="159">
        <f t="shared" ref="W28:W30" si="73">IF(I28/15&lt;=SMG,0,IF(U28&lt;0,0,U28))</f>
        <v>129.87</v>
      </c>
      <c r="X28" s="159">
        <f>SUM(W28:W28)</f>
        <v>129.87</v>
      </c>
      <c r="Y28" s="159">
        <f>K28+V28-X28</f>
        <v>3489.13</v>
      </c>
      <c r="Z28" s="92"/>
      <c r="AA28" s="90"/>
    </row>
    <row r="29" spans="1:32" s="4" customFormat="1" ht="99.75" customHeight="1" x14ac:dyDescent="0.35">
      <c r="A29" s="116"/>
      <c r="B29" s="151" t="s">
        <v>239</v>
      </c>
      <c r="C29" s="152" t="s">
        <v>111</v>
      </c>
      <c r="D29" s="216" t="s">
        <v>223</v>
      </c>
      <c r="E29" s="221">
        <v>44473</v>
      </c>
      <c r="F29" s="154" t="s">
        <v>136</v>
      </c>
      <c r="G29" s="155">
        <v>15</v>
      </c>
      <c r="H29" s="156"/>
      <c r="I29" s="157">
        <v>3619</v>
      </c>
      <c r="J29" s="158">
        <v>0</v>
      </c>
      <c r="K29" s="159">
        <f>SUM(I29:J29)</f>
        <v>3619</v>
      </c>
      <c r="L29" s="160">
        <f>IF(I29/15&lt;=SMG,0,J29/2)</f>
        <v>0</v>
      </c>
      <c r="M29" s="160">
        <f t="shared" si="63"/>
        <v>3619</v>
      </c>
      <c r="N29" s="160">
        <f t="shared" si="64"/>
        <v>3124.36</v>
      </c>
      <c r="O29" s="160">
        <f t="shared" si="65"/>
        <v>494.63999999999987</v>
      </c>
      <c r="P29" s="161">
        <f t="shared" si="66"/>
        <v>0.10879999999999999</v>
      </c>
      <c r="Q29" s="160">
        <f t="shared" si="67"/>
        <v>53.816831999999984</v>
      </c>
      <c r="R29" s="162">
        <f t="shared" si="68"/>
        <v>183.45</v>
      </c>
      <c r="S29" s="160">
        <f t="shared" si="69"/>
        <v>237.26683199999997</v>
      </c>
      <c r="T29" s="160">
        <f t="shared" si="70"/>
        <v>107.4</v>
      </c>
      <c r="U29" s="160">
        <f t="shared" si="71"/>
        <v>129.87</v>
      </c>
      <c r="V29" s="159">
        <f t="shared" si="72"/>
        <v>0</v>
      </c>
      <c r="W29" s="159">
        <f t="shared" si="73"/>
        <v>129.87</v>
      </c>
      <c r="X29" s="159">
        <f>SUM(W29:W29)</f>
        <v>129.87</v>
      </c>
      <c r="Y29" s="159">
        <f>K29+V29-X29</f>
        <v>3489.13</v>
      </c>
      <c r="Z29" s="92"/>
      <c r="AA29" s="90"/>
    </row>
    <row r="30" spans="1:32" s="4" customFormat="1" ht="99.75" customHeight="1" x14ac:dyDescent="0.35">
      <c r="A30" s="116"/>
      <c r="B30" s="151" t="s">
        <v>331</v>
      </c>
      <c r="C30" s="152" t="s">
        <v>111</v>
      </c>
      <c r="D30" s="216" t="s">
        <v>332</v>
      </c>
      <c r="E30" s="221">
        <v>45154</v>
      </c>
      <c r="F30" s="154" t="s">
        <v>333</v>
      </c>
      <c r="G30" s="155"/>
      <c r="H30" s="156"/>
      <c r="I30" s="157">
        <v>3000</v>
      </c>
      <c r="J30" s="158">
        <v>0</v>
      </c>
      <c r="K30" s="159">
        <f>SUM(I30:J30)</f>
        <v>3000</v>
      </c>
      <c r="L30" s="160">
        <f>IF(I30/15&lt;=SMG,0,J30/2)</f>
        <v>0</v>
      </c>
      <c r="M30" s="160">
        <f t="shared" si="63"/>
        <v>3000</v>
      </c>
      <c r="N30" s="160">
        <f t="shared" si="64"/>
        <v>368.11</v>
      </c>
      <c r="O30" s="160">
        <f t="shared" si="65"/>
        <v>2631.89</v>
      </c>
      <c r="P30" s="161">
        <f t="shared" si="66"/>
        <v>6.4000000000000001E-2</v>
      </c>
      <c r="Q30" s="160">
        <f t="shared" si="67"/>
        <v>168.44095999999999</v>
      </c>
      <c r="R30" s="162">
        <f t="shared" si="68"/>
        <v>7.05</v>
      </c>
      <c r="S30" s="160">
        <f t="shared" si="69"/>
        <v>175.49096</v>
      </c>
      <c r="T30" s="160">
        <f t="shared" si="70"/>
        <v>145.35</v>
      </c>
      <c r="U30" s="160">
        <f t="shared" si="71"/>
        <v>30.14</v>
      </c>
      <c r="V30" s="159">
        <f t="shared" si="72"/>
        <v>0</v>
      </c>
      <c r="W30" s="159">
        <f t="shared" si="73"/>
        <v>0</v>
      </c>
      <c r="X30" s="159">
        <f>SUM(W30:W30)</f>
        <v>0</v>
      </c>
      <c r="Y30" s="159">
        <f>K30+V30-X30</f>
        <v>3000</v>
      </c>
      <c r="Z30" s="92"/>
      <c r="AA30" s="90"/>
    </row>
    <row r="31" spans="1:32" s="4" customFormat="1" ht="57.75" customHeight="1" x14ac:dyDescent="0.3">
      <c r="A31" s="112"/>
      <c r="B31" s="119" t="s">
        <v>99</v>
      </c>
      <c r="C31" s="119" t="s">
        <v>120</v>
      </c>
      <c r="D31" s="120" t="s">
        <v>119</v>
      </c>
      <c r="E31" s="139" t="s">
        <v>289</v>
      </c>
      <c r="F31" s="120" t="s">
        <v>60</v>
      </c>
      <c r="G31" s="120"/>
      <c r="H31" s="120"/>
      <c r="I31" s="121">
        <f>SUM(I32:I34)</f>
        <v>15897.77</v>
      </c>
      <c r="J31" s="121">
        <f>SUM(J32:J34)</f>
        <v>0</v>
      </c>
      <c r="K31" s="121">
        <f>SUM(K32:K34)</f>
        <v>15897.77</v>
      </c>
      <c r="L31" s="120"/>
      <c r="M31" s="120"/>
      <c r="N31" s="120"/>
      <c r="O31" s="120"/>
      <c r="P31" s="120"/>
      <c r="Q31" s="120"/>
      <c r="R31" s="122"/>
      <c r="S31" s="120"/>
      <c r="T31" s="120"/>
      <c r="U31" s="120"/>
      <c r="V31" s="121">
        <f>SUM(V32:V34)</f>
        <v>0</v>
      </c>
      <c r="W31" s="121">
        <f>SUM(W32:W34)</f>
        <v>1291.31</v>
      </c>
      <c r="X31" s="121">
        <f>SUM(X32:X34)</f>
        <v>1291.31</v>
      </c>
      <c r="Y31" s="121">
        <f>SUM(Y32:Y34)</f>
        <v>14606.460000000001</v>
      </c>
      <c r="Z31" s="102"/>
    </row>
    <row r="32" spans="1:32" s="4" customFormat="1" ht="99.75" customHeight="1" x14ac:dyDescent="0.35">
      <c r="A32" s="113" t="s">
        <v>83</v>
      </c>
      <c r="B32" s="151" t="s">
        <v>152</v>
      </c>
      <c r="C32" s="152" t="s">
        <v>111</v>
      </c>
      <c r="D32" s="216" t="s">
        <v>138</v>
      </c>
      <c r="E32" s="221">
        <v>43374</v>
      </c>
      <c r="F32" s="154" t="s">
        <v>137</v>
      </c>
      <c r="G32" s="155">
        <v>15</v>
      </c>
      <c r="H32" s="156">
        <f>I32/G32</f>
        <v>386.16733333333337</v>
      </c>
      <c r="I32" s="157">
        <v>5792.51</v>
      </c>
      <c r="J32" s="158">
        <v>0</v>
      </c>
      <c r="K32" s="157">
        <f>I32</f>
        <v>5792.51</v>
      </c>
      <c r="L32" s="160">
        <f t="shared" ref="L32" si="74">IF(I32/15&lt;=SMG,0,J32/2)</f>
        <v>0</v>
      </c>
      <c r="M32" s="160">
        <f t="shared" ref="M32" si="75">I32+L32</f>
        <v>5792.51</v>
      </c>
      <c r="N32" s="160">
        <f t="shared" ref="N32" si="76">VLOOKUP(M32,Tarifa1,1)</f>
        <v>5490.76</v>
      </c>
      <c r="O32" s="160">
        <f t="shared" ref="O32" si="77">M32-N32</f>
        <v>301.75</v>
      </c>
      <c r="P32" s="161">
        <f t="shared" ref="P32" si="78">VLOOKUP(M32,Tarifa1,3)</f>
        <v>0.16</v>
      </c>
      <c r="Q32" s="160">
        <f t="shared" ref="Q32" si="79">O32*P32</f>
        <v>48.28</v>
      </c>
      <c r="R32" s="162">
        <f t="shared" ref="R32" si="80">VLOOKUP(M32,Tarifa1,2)</f>
        <v>441</v>
      </c>
      <c r="S32" s="160">
        <f t="shared" ref="S32" si="81">Q32+R32</f>
        <v>489.28</v>
      </c>
      <c r="T32" s="160">
        <f t="shared" ref="T32" si="82">VLOOKUP(M32,Credito1,2)</f>
        <v>0</v>
      </c>
      <c r="U32" s="160">
        <f t="shared" ref="U32" si="83">ROUND(S32-T32,2)</f>
        <v>489.28</v>
      </c>
      <c r="V32" s="159">
        <f t="shared" ref="V32" si="84">-IF(U32&gt;0,0,U32)</f>
        <v>0</v>
      </c>
      <c r="W32" s="159">
        <f t="shared" ref="W32" si="85">IF(I32/15&lt;=SMG,0,IF(U32&lt;0,0,U32))</f>
        <v>489.28</v>
      </c>
      <c r="X32" s="159">
        <f>SUM(W32:W32)</f>
        <v>489.28</v>
      </c>
      <c r="Y32" s="159">
        <f>K32+V32-X32+J32</f>
        <v>5303.2300000000005</v>
      </c>
      <c r="Z32" s="92"/>
      <c r="AF32" s="97"/>
    </row>
    <row r="33" spans="1:38" s="4" customFormat="1" ht="99.75" customHeight="1" x14ac:dyDescent="0.35">
      <c r="A33" s="113"/>
      <c r="B33" s="151" t="s">
        <v>171</v>
      </c>
      <c r="C33" s="152" t="s">
        <v>111</v>
      </c>
      <c r="D33" s="216" t="s">
        <v>161</v>
      </c>
      <c r="E33" s="221">
        <v>43512</v>
      </c>
      <c r="F33" s="154" t="s">
        <v>162</v>
      </c>
      <c r="G33" s="155">
        <v>15</v>
      </c>
      <c r="H33" s="156"/>
      <c r="I33" s="157">
        <v>5792.51</v>
      </c>
      <c r="J33" s="158">
        <v>0</v>
      </c>
      <c r="K33" s="157">
        <f>I33</f>
        <v>5792.51</v>
      </c>
      <c r="L33" s="160">
        <f t="shared" ref="L33:L34" si="86">IF(I33/15&lt;=SMG,0,J33/2)</f>
        <v>0</v>
      </c>
      <c r="M33" s="160">
        <f t="shared" ref="M33:M34" si="87">I33+L33</f>
        <v>5792.51</v>
      </c>
      <c r="N33" s="160">
        <f t="shared" ref="N33:N34" si="88">VLOOKUP(M33,Tarifa1,1)</f>
        <v>5490.76</v>
      </c>
      <c r="O33" s="160">
        <f t="shared" ref="O33:O34" si="89">M33-N33</f>
        <v>301.75</v>
      </c>
      <c r="P33" s="161">
        <f t="shared" ref="P33:P34" si="90">VLOOKUP(M33,Tarifa1,3)</f>
        <v>0.16</v>
      </c>
      <c r="Q33" s="160">
        <f t="shared" ref="Q33:Q34" si="91">O33*P33</f>
        <v>48.28</v>
      </c>
      <c r="R33" s="162">
        <f t="shared" ref="R33:R34" si="92">VLOOKUP(M33,Tarifa1,2)</f>
        <v>441</v>
      </c>
      <c r="S33" s="160">
        <f t="shared" ref="S33:S34" si="93">Q33+R33</f>
        <v>489.28</v>
      </c>
      <c r="T33" s="160">
        <f t="shared" ref="T33:T34" si="94">VLOOKUP(M33,Credito1,2)</f>
        <v>0</v>
      </c>
      <c r="U33" s="160">
        <f t="shared" ref="U33:U34" si="95">ROUND(S33-T33,2)</f>
        <v>489.28</v>
      </c>
      <c r="V33" s="159">
        <f t="shared" ref="V33:V34" si="96">-IF(U33&gt;0,0,U33)</f>
        <v>0</v>
      </c>
      <c r="W33" s="159">
        <f t="shared" ref="W33:W34" si="97">IF(I33/15&lt;=SMG,0,IF(U33&lt;0,0,U33))</f>
        <v>489.28</v>
      </c>
      <c r="X33" s="159">
        <f>SUM(W33:W33)</f>
        <v>489.28</v>
      </c>
      <c r="Y33" s="159">
        <f>K33+V33-X33+J33</f>
        <v>5303.2300000000005</v>
      </c>
      <c r="Z33" s="92"/>
      <c r="AF33" s="97"/>
    </row>
    <row r="34" spans="1:38" s="4" customFormat="1" ht="99.75" customHeight="1" x14ac:dyDescent="0.35">
      <c r="A34" s="113"/>
      <c r="B34" s="151" t="s">
        <v>299</v>
      </c>
      <c r="C34" s="152" t="s">
        <v>111</v>
      </c>
      <c r="D34" s="216" t="s">
        <v>300</v>
      </c>
      <c r="E34" s="221">
        <v>45078</v>
      </c>
      <c r="F34" s="154" t="s">
        <v>162</v>
      </c>
      <c r="G34" s="155">
        <v>15</v>
      </c>
      <c r="H34" s="156"/>
      <c r="I34" s="157">
        <v>4312.75</v>
      </c>
      <c r="J34" s="158">
        <v>0</v>
      </c>
      <c r="K34" s="159">
        <f>SUM(I34:J34)</f>
        <v>4312.75</v>
      </c>
      <c r="L34" s="160">
        <f t="shared" si="86"/>
        <v>0</v>
      </c>
      <c r="M34" s="160">
        <f t="shared" si="87"/>
        <v>4312.75</v>
      </c>
      <c r="N34" s="160">
        <f t="shared" si="88"/>
        <v>3124.36</v>
      </c>
      <c r="O34" s="160">
        <f t="shared" si="89"/>
        <v>1188.3899999999999</v>
      </c>
      <c r="P34" s="161">
        <f t="shared" si="90"/>
        <v>0.10879999999999999</v>
      </c>
      <c r="Q34" s="160">
        <f t="shared" si="91"/>
        <v>129.29683199999997</v>
      </c>
      <c r="R34" s="162">
        <f t="shared" si="92"/>
        <v>183.45</v>
      </c>
      <c r="S34" s="160">
        <f t="shared" si="93"/>
        <v>312.74683199999993</v>
      </c>
      <c r="T34" s="160">
        <f t="shared" si="94"/>
        <v>0</v>
      </c>
      <c r="U34" s="160">
        <f t="shared" si="95"/>
        <v>312.75</v>
      </c>
      <c r="V34" s="159">
        <f t="shared" si="96"/>
        <v>0</v>
      </c>
      <c r="W34" s="159">
        <f t="shared" si="97"/>
        <v>312.75</v>
      </c>
      <c r="X34" s="159">
        <f>SUM(W34:W34)</f>
        <v>312.75</v>
      </c>
      <c r="Y34" s="159">
        <f>K34+V34-X34</f>
        <v>4000</v>
      </c>
      <c r="Z34" s="92"/>
      <c r="AF34" s="97"/>
    </row>
    <row r="35" spans="1:38" s="4" customFormat="1" ht="27.75" customHeight="1" x14ac:dyDescent="0.3">
      <c r="A35" s="176"/>
      <c r="B35" s="176"/>
      <c r="C35" s="176"/>
      <c r="D35" s="176"/>
      <c r="E35" s="176"/>
      <c r="F35" s="176"/>
      <c r="G35" s="176"/>
      <c r="H35" s="176"/>
      <c r="I35" s="182"/>
      <c r="J35" s="182"/>
      <c r="K35" s="182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</row>
    <row r="36" spans="1:38" s="4" customFormat="1" ht="75" customHeight="1" thickBot="1" x14ac:dyDescent="0.35">
      <c r="A36" s="287" t="s">
        <v>44</v>
      </c>
      <c r="B36" s="288"/>
      <c r="C36" s="288"/>
      <c r="D36" s="288"/>
      <c r="E36" s="288"/>
      <c r="F36" s="288"/>
      <c r="G36" s="288"/>
      <c r="H36" s="289"/>
      <c r="I36" s="163">
        <f>I8+I31+I27</f>
        <v>77889.55</v>
      </c>
      <c r="J36" s="163">
        <f>J8+J31+J27</f>
        <v>347.36</v>
      </c>
      <c r="K36" s="163">
        <f>K8+K31+K27</f>
        <v>78236.91</v>
      </c>
      <c r="L36" s="164">
        <f t="shared" ref="L36:U36" si="98">SUM(L9:L35)</f>
        <v>173.68</v>
      </c>
      <c r="M36" s="164">
        <f t="shared" si="98"/>
        <v>78063.23</v>
      </c>
      <c r="N36" s="164">
        <f t="shared" si="98"/>
        <v>61473.48000000001</v>
      </c>
      <c r="O36" s="164">
        <f t="shared" si="98"/>
        <v>16589.749999999993</v>
      </c>
      <c r="P36" s="164">
        <f t="shared" si="98"/>
        <v>2.0863999999999998</v>
      </c>
      <c r="Q36" s="164">
        <f t="shared" si="98"/>
        <v>1794.0711039999994</v>
      </c>
      <c r="R36" s="164">
        <f t="shared" si="98"/>
        <v>4040.9999999999995</v>
      </c>
      <c r="S36" s="164">
        <f t="shared" si="98"/>
        <v>5835.0711039999997</v>
      </c>
      <c r="T36" s="164">
        <f t="shared" si="98"/>
        <v>860.55</v>
      </c>
      <c r="U36" s="164">
        <f t="shared" si="98"/>
        <v>4974.54</v>
      </c>
      <c r="V36" s="163">
        <f>V8+V31+V27</f>
        <v>0</v>
      </c>
      <c r="W36" s="163">
        <f>W8+W31+W27</f>
        <v>4944.3999999999996</v>
      </c>
      <c r="X36" s="163">
        <f>X8+X31+X27</f>
        <v>4944.3999999999996</v>
      </c>
      <c r="Y36" s="163">
        <f>Y8+Y31+Y27</f>
        <v>73292.509999999995</v>
      </c>
    </row>
    <row r="37" spans="1:38" s="4" customFormat="1" ht="18" customHeight="1" thickTop="1" x14ac:dyDescent="0.3">
      <c r="A37" s="148"/>
      <c r="B37" s="148"/>
      <c r="C37" s="148"/>
      <c r="D37" s="148"/>
      <c r="E37" s="148"/>
      <c r="F37" s="148"/>
      <c r="G37" s="148"/>
      <c r="H37" s="148"/>
      <c r="I37" s="149"/>
      <c r="J37" s="149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49"/>
      <c r="W37" s="149"/>
      <c r="X37" s="149"/>
      <c r="Y37" s="149"/>
    </row>
    <row r="38" spans="1:38" s="4" customFormat="1" ht="18" customHeight="1" x14ac:dyDescent="0.3">
      <c r="A38" s="148"/>
      <c r="B38" s="148"/>
      <c r="C38" s="148"/>
      <c r="D38" s="148"/>
      <c r="E38" s="148"/>
      <c r="F38" s="148"/>
      <c r="G38" s="148"/>
      <c r="H38" s="148"/>
      <c r="I38" s="149"/>
      <c r="J38" s="149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49"/>
      <c r="W38" s="149"/>
      <c r="X38" s="149"/>
      <c r="Y38" s="149"/>
    </row>
    <row r="39" spans="1:38" s="4" customFormat="1" ht="18" customHeight="1" x14ac:dyDescent="0.3">
      <c r="A39" s="148"/>
      <c r="B39" s="148"/>
      <c r="C39" s="148"/>
      <c r="D39" s="148"/>
      <c r="E39" s="148"/>
      <c r="F39" s="148"/>
      <c r="G39" s="148"/>
      <c r="H39" s="148"/>
      <c r="I39" s="149"/>
      <c r="J39" s="149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49"/>
      <c r="W39" s="149"/>
      <c r="X39" s="149"/>
      <c r="Y39" s="149"/>
    </row>
    <row r="40" spans="1:38" s="4" customFormat="1" ht="18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9"/>
      <c r="J40" s="149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49"/>
      <c r="W40" s="149"/>
      <c r="X40" s="149"/>
      <c r="Y40" s="149"/>
    </row>
    <row r="41" spans="1:38" s="4" customFormat="1" ht="18" customHeight="1" x14ac:dyDescent="0.3">
      <c r="A41" s="148"/>
      <c r="B41" s="148"/>
      <c r="C41" s="148"/>
      <c r="D41" s="148"/>
      <c r="E41" s="148"/>
      <c r="F41" s="148"/>
      <c r="G41" s="148"/>
      <c r="H41" s="148"/>
      <c r="I41" s="149"/>
      <c r="J41" s="149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49"/>
      <c r="W41" s="149"/>
      <c r="X41" s="149"/>
      <c r="Y41" s="149"/>
    </row>
    <row r="42" spans="1:38" s="4" customFormat="1" x14ac:dyDescent="0.25"/>
    <row r="43" spans="1:38" s="4" customFormat="1" x14ac:dyDescent="0.25"/>
    <row r="44" spans="1:38" s="4" customFormat="1" x14ac:dyDescent="0.25"/>
    <row r="45" spans="1:38" s="4" customFormat="1" ht="13.8" x14ac:dyDescent="0.25">
      <c r="D45" s="100" t="s">
        <v>203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100" t="s">
        <v>149</v>
      </c>
      <c r="X45" s="96"/>
      <c r="Y45" s="96"/>
    </row>
    <row r="46" spans="1:38" s="4" customFormat="1" ht="13.8" x14ac:dyDescent="0.25">
      <c r="D46" s="100" t="s">
        <v>202</v>
      </c>
      <c r="E46" s="100"/>
      <c r="F46" s="100"/>
      <c r="G46" s="100"/>
      <c r="H46" s="100"/>
      <c r="I46" s="100"/>
      <c r="J46" s="100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100" t="s">
        <v>234</v>
      </c>
      <c r="X46" s="100"/>
      <c r="Y46" s="100"/>
      <c r="Z46" s="43"/>
      <c r="AA46" s="43"/>
      <c r="AB46" s="43"/>
      <c r="AC46" s="43"/>
      <c r="AD46" s="43"/>
      <c r="AE46" s="43"/>
      <c r="AF46" s="43"/>
      <c r="AG46" s="43"/>
      <c r="AH46" s="43"/>
      <c r="AK46" s="43"/>
      <c r="AL46" s="43"/>
    </row>
    <row r="47" spans="1:38" s="4" customFormat="1" x14ac:dyDescent="0.25"/>
    <row r="48" spans="1:38" s="4" customFormat="1" x14ac:dyDescent="0.25"/>
    <row r="49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opLeftCell="B10" zoomScale="55" zoomScaleNormal="55" workbookViewId="0">
      <selection activeCell="X9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0" t="s">
        <v>77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32" ht="19.8" x14ac:dyDescent="0.3">
      <c r="A2" s="290" t="s">
        <v>63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32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21" customHeight="1" x14ac:dyDescent="0.3">
      <c r="A5" s="49"/>
      <c r="B5" s="49"/>
      <c r="C5" s="321" t="s">
        <v>120</v>
      </c>
      <c r="D5" s="49"/>
      <c r="E5" s="49"/>
      <c r="F5" s="49"/>
      <c r="G5" s="50" t="s">
        <v>22</v>
      </c>
      <c r="H5" s="50" t="s">
        <v>5</v>
      </c>
      <c r="I5" s="292" t="s">
        <v>1</v>
      </c>
      <c r="J5" s="293"/>
      <c r="K5" s="294"/>
      <c r="L5" s="125" t="s">
        <v>25</v>
      </c>
      <c r="M5" s="126"/>
      <c r="N5" s="295" t="s">
        <v>8</v>
      </c>
      <c r="O5" s="296"/>
      <c r="P5" s="296"/>
      <c r="Q5" s="296"/>
      <c r="R5" s="296"/>
      <c r="S5" s="297"/>
      <c r="T5" s="125" t="s">
        <v>29</v>
      </c>
      <c r="U5" s="125" t="s">
        <v>9</v>
      </c>
      <c r="V5" s="124" t="s">
        <v>52</v>
      </c>
      <c r="W5" s="298" t="s">
        <v>2</v>
      </c>
      <c r="X5" s="299"/>
      <c r="Y5" s="124" t="s">
        <v>0</v>
      </c>
      <c r="Z5" s="49"/>
    </row>
    <row r="6" spans="1:32" s="53" customFormat="1" ht="31.2" x14ac:dyDescent="0.3">
      <c r="A6" s="54" t="s">
        <v>20</v>
      </c>
      <c r="B6" s="127" t="s">
        <v>99</v>
      </c>
      <c r="C6" s="322"/>
      <c r="D6" s="128" t="s">
        <v>21</v>
      </c>
      <c r="E6" s="54"/>
      <c r="F6" s="54"/>
      <c r="G6" s="55" t="s">
        <v>23</v>
      </c>
      <c r="H6" s="54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2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273</v>
      </c>
      <c r="X6" s="124" t="s">
        <v>6</v>
      </c>
      <c r="Y6" s="128" t="s">
        <v>3</v>
      </c>
      <c r="Z6" s="128" t="s">
        <v>56</v>
      </c>
    </row>
    <row r="7" spans="1:32" s="53" customFormat="1" ht="15.6" x14ac:dyDescent="0.3">
      <c r="A7" s="54"/>
      <c r="B7" s="54"/>
      <c r="C7" s="323"/>
      <c r="D7" s="54"/>
      <c r="E7" s="54"/>
      <c r="F7" s="54"/>
      <c r="G7" s="54"/>
      <c r="H7" s="54"/>
      <c r="I7" s="128" t="s">
        <v>46</v>
      </c>
      <c r="J7" s="128" t="s">
        <v>58</v>
      </c>
      <c r="K7" s="128" t="s">
        <v>28</v>
      </c>
      <c r="L7" s="129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255" t="s">
        <v>14</v>
      </c>
      <c r="S7" s="125" t="s">
        <v>38</v>
      </c>
      <c r="T7" s="129" t="s">
        <v>18</v>
      </c>
      <c r="U7" s="133" t="s">
        <v>204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3" customFormat="1" ht="84.9" customHeight="1" x14ac:dyDescent="0.3">
      <c r="A8" s="37"/>
      <c r="B8" s="196" t="s">
        <v>99</v>
      </c>
      <c r="C8" s="196" t="s">
        <v>120</v>
      </c>
      <c r="D8" s="196" t="s">
        <v>141</v>
      </c>
      <c r="E8" s="196" t="s">
        <v>289</v>
      </c>
      <c r="F8" s="247" t="s">
        <v>60</v>
      </c>
      <c r="G8" s="247"/>
      <c r="H8" s="247"/>
      <c r="I8" s="248">
        <f>SUM(I9:I9)</f>
        <v>7013</v>
      </c>
      <c r="J8" s="248">
        <f>SUM(J9:J9)</f>
        <v>0</v>
      </c>
      <c r="K8" s="248">
        <f>SUM(K9:K9)</f>
        <v>7013</v>
      </c>
      <c r="L8" s="247"/>
      <c r="M8" s="247"/>
      <c r="N8" s="247"/>
      <c r="O8" s="247"/>
      <c r="P8" s="247"/>
      <c r="Q8" s="247"/>
      <c r="R8" s="250"/>
      <c r="S8" s="247"/>
      <c r="T8" s="247"/>
      <c r="U8" s="247"/>
      <c r="V8" s="248">
        <f>SUM(V9:V9)</f>
        <v>0</v>
      </c>
      <c r="W8" s="248">
        <f>SUM(W9:W9)</f>
        <v>696.58</v>
      </c>
      <c r="X8" s="248">
        <f>SUM(X9:X9)</f>
        <v>696.58</v>
      </c>
      <c r="Y8" s="248">
        <f>SUM(Y9:Y9)</f>
        <v>6316.42</v>
      </c>
      <c r="Z8" s="103"/>
    </row>
    <row r="9" spans="1:32" s="53" customFormat="1" ht="150" customHeight="1" x14ac:dyDescent="0.35">
      <c r="A9" s="37"/>
      <c r="B9" s="183">
        <v>275</v>
      </c>
      <c r="C9" s="184" t="s">
        <v>111</v>
      </c>
      <c r="D9" s="262" t="s">
        <v>236</v>
      </c>
      <c r="E9" s="226">
        <v>44476</v>
      </c>
      <c r="F9" s="185" t="s">
        <v>347</v>
      </c>
      <c r="G9" s="170">
        <v>15</v>
      </c>
      <c r="H9" s="170"/>
      <c r="I9" s="157">
        <v>7013</v>
      </c>
      <c r="J9" s="158">
        <v>0</v>
      </c>
      <c r="K9" s="159">
        <f>SUM(I9:J9)</f>
        <v>7013</v>
      </c>
      <c r="L9" s="160">
        <f>IF(I9/15&lt;=SMG,0,J9/2)</f>
        <v>0</v>
      </c>
      <c r="M9" s="160">
        <f>I9+L9</f>
        <v>7013</v>
      </c>
      <c r="N9" s="160">
        <f>VLOOKUP(M9,Tarifa1,1)</f>
        <v>6382.81</v>
      </c>
      <c r="O9" s="160">
        <f>M9-N9</f>
        <v>630.1899999999996</v>
      </c>
      <c r="P9" s="161">
        <f>VLOOKUP(M9,Tarifa1,3)</f>
        <v>0.1792</v>
      </c>
      <c r="Q9" s="160">
        <f>O9*P9</f>
        <v>112.93004799999993</v>
      </c>
      <c r="R9" s="162">
        <f>VLOOKUP(M9,Tarifa1,2)</f>
        <v>583.65</v>
      </c>
      <c r="S9" s="160">
        <f>Q9+R9</f>
        <v>696.58004799999992</v>
      </c>
      <c r="T9" s="160">
        <f>VLOOKUP(M9,Credito1,2)</f>
        <v>0</v>
      </c>
      <c r="U9" s="160">
        <f>ROUND(S9-T9,2)</f>
        <v>696.58</v>
      </c>
      <c r="V9" s="159">
        <f>-IF(U9&gt;0,0,U9)</f>
        <v>0</v>
      </c>
      <c r="W9" s="159">
        <f>IF(I9/15&lt;=SMG,0,IF(U9&lt;0,0,U9))</f>
        <v>696.58</v>
      </c>
      <c r="X9" s="159">
        <f>SUM(W9:W9)</f>
        <v>696.58</v>
      </c>
      <c r="Y9" s="159">
        <f>K9+V9-X9</f>
        <v>6316.42</v>
      </c>
      <c r="Z9" s="146"/>
    </row>
    <row r="10" spans="1:32" s="53" customFormat="1" ht="150" customHeight="1" x14ac:dyDescent="0.3">
      <c r="A10" s="37"/>
      <c r="B10" s="151" t="s">
        <v>150</v>
      </c>
      <c r="C10" s="152" t="s">
        <v>111</v>
      </c>
      <c r="D10" s="263" t="s">
        <v>134</v>
      </c>
      <c r="E10" s="221">
        <v>43374</v>
      </c>
      <c r="F10" s="154" t="s">
        <v>260</v>
      </c>
      <c r="G10" s="155">
        <v>15</v>
      </c>
      <c r="H10" s="156">
        <v>341.11</v>
      </c>
      <c r="I10" s="157">
        <v>4814</v>
      </c>
      <c r="J10" s="158">
        <v>0</v>
      </c>
      <c r="K10" s="159">
        <f>SUM(I10:J10)</f>
        <v>4814</v>
      </c>
      <c r="L10" s="160">
        <f>IF(I10/15&lt;=SMG,0,J10/2)</f>
        <v>0</v>
      </c>
      <c r="M10" s="160">
        <f>I10+L10</f>
        <v>4814</v>
      </c>
      <c r="N10" s="160">
        <f>VLOOKUP(M10,Tarifa1,1)</f>
        <v>3124.36</v>
      </c>
      <c r="O10" s="160">
        <f>M10-N10</f>
        <v>1689.6399999999999</v>
      </c>
      <c r="P10" s="161">
        <f>VLOOKUP(M10,Tarifa1,3)</f>
        <v>0.10879999999999999</v>
      </c>
      <c r="Q10" s="160">
        <f>O10*P10</f>
        <v>183.83283199999997</v>
      </c>
      <c r="R10" s="162">
        <f>VLOOKUP(M10,Tarifa1,2)</f>
        <v>183.45</v>
      </c>
      <c r="S10" s="160">
        <f>Q10+R10</f>
        <v>367.28283199999998</v>
      </c>
      <c r="T10" s="160">
        <f>VLOOKUP(M10,Credito1,2)</f>
        <v>0</v>
      </c>
      <c r="U10" s="160">
        <f>ROUND(S10-T10,2)</f>
        <v>367.28</v>
      </c>
      <c r="V10" s="159">
        <f>-IF(U10&gt;0,0,U10)</f>
        <v>0</v>
      </c>
      <c r="W10" s="159">
        <f>IF(I10/15&lt;=SMG,0,IF(U10&lt;0,0,U10))</f>
        <v>367.28</v>
      </c>
      <c r="X10" s="159">
        <f>SUM(W10:W10)</f>
        <v>367.28</v>
      </c>
      <c r="Y10" s="159">
        <f>K10+V10-X10</f>
        <v>4446.72</v>
      </c>
      <c r="Z10" s="146"/>
    </row>
    <row r="11" spans="1:32" s="53" customFormat="1" ht="84.75" customHeight="1" x14ac:dyDescent="0.3">
      <c r="A11" s="47"/>
      <c r="B11" s="196" t="s">
        <v>99</v>
      </c>
      <c r="C11" s="196" t="s">
        <v>120</v>
      </c>
      <c r="D11" s="247" t="s">
        <v>123</v>
      </c>
      <c r="E11" s="196" t="s">
        <v>289</v>
      </c>
      <c r="F11" s="247" t="s">
        <v>60</v>
      </c>
      <c r="G11" s="247"/>
      <c r="H11" s="247"/>
      <c r="I11" s="248">
        <f>SUM(I12:I12)</f>
        <v>6873</v>
      </c>
      <c r="J11" s="248">
        <f>SUM(J12:J12)</f>
        <v>0</v>
      </c>
      <c r="K11" s="248">
        <f>SUM(K12:K12)</f>
        <v>6873</v>
      </c>
      <c r="L11" s="247"/>
      <c r="M11" s="247"/>
      <c r="N11" s="247"/>
      <c r="O11" s="247"/>
      <c r="P11" s="247"/>
      <c r="Q11" s="247"/>
      <c r="R11" s="250"/>
      <c r="S11" s="247"/>
      <c r="T11" s="247"/>
      <c r="U11" s="247"/>
      <c r="V11" s="248">
        <f>SUM(V12:V12)</f>
        <v>0</v>
      </c>
      <c r="W11" s="248">
        <f>SUM(W12:W12)</f>
        <v>671.49</v>
      </c>
      <c r="X11" s="248">
        <f>SUM(X12:X12)</f>
        <v>671.49</v>
      </c>
      <c r="Y11" s="248">
        <f>SUM(Y12:Y12)</f>
        <v>6201.51</v>
      </c>
      <c r="Z11" s="103"/>
      <c r="AF11" s="61"/>
    </row>
    <row r="12" spans="1:32" s="53" customFormat="1" ht="149.25" customHeight="1" x14ac:dyDescent="0.3">
      <c r="A12" s="47" t="s">
        <v>86</v>
      </c>
      <c r="B12" s="152" t="s">
        <v>110</v>
      </c>
      <c r="C12" s="152" t="s">
        <v>111</v>
      </c>
      <c r="D12" s="263" t="s">
        <v>92</v>
      </c>
      <c r="E12" s="224">
        <v>42278</v>
      </c>
      <c r="F12" s="154" t="s">
        <v>93</v>
      </c>
      <c r="G12" s="155">
        <v>15</v>
      </c>
      <c r="H12" s="156">
        <f t="shared" ref="H12:H37" si="0">I12/G12</f>
        <v>458.2</v>
      </c>
      <c r="I12" s="157">
        <v>6873</v>
      </c>
      <c r="J12" s="158">
        <v>0</v>
      </c>
      <c r="K12" s="159">
        <f>SUM(I12:J12)</f>
        <v>6873</v>
      </c>
      <c r="L12" s="160">
        <f>IF(I12/15&lt;=SMG,0,J12/2)</f>
        <v>0</v>
      </c>
      <c r="M12" s="160">
        <f>I12+L12</f>
        <v>6873</v>
      </c>
      <c r="N12" s="160">
        <f>VLOOKUP(M12,Tarifa1,1)</f>
        <v>6382.81</v>
      </c>
      <c r="O12" s="160">
        <f>M12-N12</f>
        <v>490.1899999999996</v>
      </c>
      <c r="P12" s="161">
        <f>VLOOKUP(M12,Tarifa1,3)</f>
        <v>0.1792</v>
      </c>
      <c r="Q12" s="160">
        <f>O12*P12</f>
        <v>87.842047999999934</v>
      </c>
      <c r="R12" s="162">
        <f>VLOOKUP(M12,Tarifa1,2)</f>
        <v>583.65</v>
      </c>
      <c r="S12" s="160">
        <f>Q12+R12</f>
        <v>671.49204799999995</v>
      </c>
      <c r="T12" s="160">
        <f>VLOOKUP(M12,Credito1,2)</f>
        <v>0</v>
      </c>
      <c r="U12" s="160">
        <f>ROUND(S12-T12,2)</f>
        <v>671.49</v>
      </c>
      <c r="V12" s="159">
        <f>-IF(U12&gt;0,0,U12)</f>
        <v>0</v>
      </c>
      <c r="W12" s="159">
        <f>IF(I12/15&lt;=SMG,0,IF(U12&lt;0,0,U12))</f>
        <v>671.49</v>
      </c>
      <c r="X12" s="159">
        <f>SUM(W12:W12)</f>
        <v>671.49</v>
      </c>
      <c r="Y12" s="159">
        <f>K12+V12-X12</f>
        <v>6201.51</v>
      </c>
      <c r="Z12" s="95"/>
      <c r="AF12" s="67"/>
    </row>
    <row r="13" spans="1:32" s="53" customFormat="1" ht="51.75" customHeight="1" x14ac:dyDescent="0.3">
      <c r="A13" s="47"/>
      <c r="B13" s="196" t="s">
        <v>99</v>
      </c>
      <c r="C13" s="196" t="s">
        <v>120</v>
      </c>
      <c r="D13" s="196" t="s">
        <v>124</v>
      </c>
      <c r="E13" s="196" t="s">
        <v>289</v>
      </c>
      <c r="F13" s="247" t="s">
        <v>60</v>
      </c>
      <c r="G13" s="247"/>
      <c r="H13" s="247"/>
      <c r="I13" s="248">
        <f>SUM(I14:I16)</f>
        <v>17332.93</v>
      </c>
      <c r="J13" s="248">
        <f>SUM(J14:J16)</f>
        <v>0</v>
      </c>
      <c r="K13" s="248">
        <f>SUM(K14:K16)</f>
        <v>17332.93</v>
      </c>
      <c r="L13" s="247"/>
      <c r="M13" s="247"/>
      <c r="N13" s="247"/>
      <c r="O13" s="247"/>
      <c r="P13" s="247"/>
      <c r="Q13" s="247"/>
      <c r="R13" s="250"/>
      <c r="S13" s="247"/>
      <c r="T13" s="247"/>
      <c r="U13" s="247"/>
      <c r="V13" s="248">
        <f>SUM(V14:V16)</f>
        <v>0</v>
      </c>
      <c r="W13" s="248">
        <f>SUM(W14:W16)</f>
        <v>1538.17</v>
      </c>
      <c r="X13" s="248">
        <f>SUM(X14:X16)</f>
        <v>1538.17</v>
      </c>
      <c r="Y13" s="248">
        <f>SUM(Y14:Y16)</f>
        <v>15794.76</v>
      </c>
      <c r="Z13" s="103"/>
      <c r="AF13" s="67"/>
    </row>
    <row r="14" spans="1:32" s="53" customFormat="1" ht="149.25" customHeight="1" x14ac:dyDescent="0.35">
      <c r="A14" s="47" t="s">
        <v>87</v>
      </c>
      <c r="B14" s="186">
        <v>185</v>
      </c>
      <c r="C14" s="152" t="s">
        <v>111</v>
      </c>
      <c r="D14" s="264" t="s">
        <v>146</v>
      </c>
      <c r="E14" s="223">
        <v>43374</v>
      </c>
      <c r="F14" s="154" t="s">
        <v>94</v>
      </c>
      <c r="G14" s="155">
        <v>15</v>
      </c>
      <c r="H14" s="156">
        <f t="shared" si="0"/>
        <v>497.6</v>
      </c>
      <c r="I14" s="157">
        <v>7464</v>
      </c>
      <c r="J14" s="158">
        <v>0</v>
      </c>
      <c r="K14" s="159">
        <f t="shared" ref="K14" si="1">SUM(I14:J14)</f>
        <v>7464</v>
      </c>
      <c r="L14" s="160">
        <f>IF(I14/15&lt;=SMG,0,J14/2)</f>
        <v>0</v>
      </c>
      <c r="M14" s="160">
        <f>I14+L14</f>
        <v>7464</v>
      </c>
      <c r="N14" s="160">
        <f>VLOOKUP(M14,Tarifa1,1)</f>
        <v>6382.81</v>
      </c>
      <c r="O14" s="160">
        <f>M14-N14</f>
        <v>1081.1899999999996</v>
      </c>
      <c r="P14" s="161">
        <f>VLOOKUP(M14,Tarifa1,3)</f>
        <v>0.1792</v>
      </c>
      <c r="Q14" s="160">
        <f>O14*P14</f>
        <v>193.74924799999994</v>
      </c>
      <c r="R14" s="162">
        <f>VLOOKUP(M14,Tarifa1,2)</f>
        <v>583.65</v>
      </c>
      <c r="S14" s="160">
        <f>Q14+R14</f>
        <v>777.39924799999994</v>
      </c>
      <c r="T14" s="160">
        <f>VLOOKUP(M14,Credito1,2)</f>
        <v>0</v>
      </c>
      <c r="U14" s="160">
        <f>ROUND(S14-T14,2)</f>
        <v>777.4</v>
      </c>
      <c r="V14" s="159">
        <f>-IF(U14&gt;0,0,U14)</f>
        <v>0</v>
      </c>
      <c r="W14" s="159">
        <f>IF(I14/15&lt;=SMG,0,IF(U14&lt;0,0,U14))</f>
        <v>777.4</v>
      </c>
      <c r="X14" s="159">
        <f>SUM(W14:W14)</f>
        <v>777.4</v>
      </c>
      <c r="Y14" s="159">
        <f>K14+V14-X14</f>
        <v>6686.6</v>
      </c>
      <c r="Z14" s="95"/>
      <c r="AF14" s="67"/>
    </row>
    <row r="15" spans="1:32" s="53" customFormat="1" ht="149.25" customHeight="1" x14ac:dyDescent="0.35">
      <c r="A15" s="47"/>
      <c r="B15" s="151" t="s">
        <v>278</v>
      </c>
      <c r="C15" s="152" t="s">
        <v>111</v>
      </c>
      <c r="D15" s="218" t="s">
        <v>277</v>
      </c>
      <c r="E15" s="225">
        <v>44958</v>
      </c>
      <c r="F15" s="154" t="s">
        <v>139</v>
      </c>
      <c r="G15" s="155">
        <v>15</v>
      </c>
      <c r="H15" s="156">
        <f>I15/G15</f>
        <v>358.6</v>
      </c>
      <c r="I15" s="157">
        <v>5379</v>
      </c>
      <c r="J15" s="158">
        <v>0</v>
      </c>
      <c r="K15" s="159">
        <f>SUM(I15:J15)</f>
        <v>5379</v>
      </c>
      <c r="L15" s="160">
        <f>IF(I15/15&lt;=SMG,0,J15/2)</f>
        <v>0</v>
      </c>
      <c r="M15" s="160">
        <f t="shared" ref="M15:M16" si="2">I15+L15</f>
        <v>5379</v>
      </c>
      <c r="N15" s="160">
        <f>VLOOKUP(M15,Tarifa1,1)</f>
        <v>3124.36</v>
      </c>
      <c r="O15" s="160">
        <f t="shared" ref="O15:O16" si="3">M15-N15</f>
        <v>2254.64</v>
      </c>
      <c r="P15" s="161">
        <f>VLOOKUP(M15,Tarifa1,3)</f>
        <v>0.10879999999999999</v>
      </c>
      <c r="Q15" s="160">
        <f t="shared" ref="Q15:Q16" si="4">O15*P15</f>
        <v>245.30483199999998</v>
      </c>
      <c r="R15" s="162">
        <f>VLOOKUP(M15,Tarifa1,2)</f>
        <v>183.45</v>
      </c>
      <c r="S15" s="160">
        <f t="shared" ref="S15:S16" si="5">Q15+R15</f>
        <v>428.75483199999996</v>
      </c>
      <c r="T15" s="160">
        <f>VLOOKUP(M15,Credito1,2)</f>
        <v>0</v>
      </c>
      <c r="U15" s="160">
        <f t="shared" ref="U15:U16" si="6">ROUND(S15-T15,2)</f>
        <v>428.75</v>
      </c>
      <c r="V15" s="159">
        <f t="shared" ref="V15:V16" si="7">-IF(U15&gt;0,0,U15)</f>
        <v>0</v>
      </c>
      <c r="W15" s="159">
        <f>IF(I15/15&lt;=SMG,0,IF(U15&lt;0,0,U15))</f>
        <v>428.75</v>
      </c>
      <c r="X15" s="159">
        <f>SUM(W15:W15)</f>
        <v>428.75</v>
      </c>
      <c r="Y15" s="159">
        <f>K15+V15-X15</f>
        <v>4950.25</v>
      </c>
      <c r="Z15" s="95"/>
      <c r="AF15" s="67"/>
    </row>
    <row r="16" spans="1:32" s="53" customFormat="1" ht="149.25" customHeight="1" x14ac:dyDescent="0.35">
      <c r="A16" s="47"/>
      <c r="B16" s="151" t="s">
        <v>178</v>
      </c>
      <c r="C16" s="152" t="s">
        <v>111</v>
      </c>
      <c r="D16" s="265" t="s">
        <v>176</v>
      </c>
      <c r="E16" s="225">
        <v>43617</v>
      </c>
      <c r="F16" s="154" t="s">
        <v>177</v>
      </c>
      <c r="G16" s="155">
        <v>15</v>
      </c>
      <c r="H16" s="156"/>
      <c r="I16" s="157">
        <v>4489.93</v>
      </c>
      <c r="J16" s="158">
        <v>0</v>
      </c>
      <c r="K16" s="159">
        <f>SUM(I16:J16)</f>
        <v>4489.93</v>
      </c>
      <c r="L16" s="160">
        <f>IF(I16/15&lt;=SMG,0,J16/2)</f>
        <v>0</v>
      </c>
      <c r="M16" s="160">
        <f t="shared" si="2"/>
        <v>4489.93</v>
      </c>
      <c r="N16" s="160">
        <f>VLOOKUP(M16,Tarifa1,1)</f>
        <v>3124.36</v>
      </c>
      <c r="O16" s="160">
        <f t="shared" si="3"/>
        <v>1365.5700000000002</v>
      </c>
      <c r="P16" s="161">
        <f>VLOOKUP(M16,Tarifa1,3)</f>
        <v>0.10879999999999999</v>
      </c>
      <c r="Q16" s="160">
        <f t="shared" si="4"/>
        <v>148.574016</v>
      </c>
      <c r="R16" s="162">
        <f>VLOOKUP(M16,Tarifa1,2)</f>
        <v>183.45</v>
      </c>
      <c r="S16" s="160">
        <f t="shared" si="5"/>
        <v>332.02401599999996</v>
      </c>
      <c r="T16" s="160">
        <f>VLOOKUP(M16,Credito1,2)</f>
        <v>0</v>
      </c>
      <c r="U16" s="160">
        <f t="shared" si="6"/>
        <v>332.02</v>
      </c>
      <c r="V16" s="159">
        <f t="shared" si="7"/>
        <v>0</v>
      </c>
      <c r="W16" s="159">
        <f>IF(I16/15&lt;=SMG,0,IF(U16&lt;0,0,U16))</f>
        <v>332.02</v>
      </c>
      <c r="X16" s="159">
        <f>SUM(W16:W16)</f>
        <v>332.02</v>
      </c>
      <c r="Y16" s="159">
        <f>K16+V16-X16</f>
        <v>4157.91</v>
      </c>
      <c r="Z16" s="95"/>
      <c r="AF16" s="67"/>
    </row>
    <row r="17" spans="1:32" s="53" customFormat="1" ht="24" customHeight="1" x14ac:dyDescent="0.3">
      <c r="A17" s="47"/>
      <c r="B17" s="207"/>
      <c r="C17" s="193"/>
      <c r="D17" s="208"/>
      <c r="E17" s="208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96"/>
      <c r="AF17" s="67"/>
    </row>
    <row r="18" spans="1:32" s="53" customFormat="1" ht="24" customHeight="1" x14ac:dyDescent="0.3">
      <c r="A18" s="47"/>
      <c r="B18" s="207"/>
      <c r="C18" s="193"/>
      <c r="D18" s="208"/>
      <c r="E18" s="208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96"/>
      <c r="AF18" s="67"/>
    </row>
    <row r="19" spans="1:32" s="53" customFormat="1" ht="24" customHeight="1" x14ac:dyDescent="0.3">
      <c r="A19" s="47"/>
      <c r="B19" s="207"/>
      <c r="C19" s="193"/>
      <c r="D19" s="208"/>
      <c r="E19" s="208"/>
      <c r="F19" s="200"/>
      <c r="G19" s="201"/>
      <c r="H19" s="202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96"/>
      <c r="AF19" s="67"/>
    </row>
    <row r="20" spans="1:32" s="53" customFormat="1" ht="24" customHeight="1" x14ac:dyDescent="0.3">
      <c r="A20" s="47"/>
      <c r="B20" s="207"/>
      <c r="C20" s="193"/>
      <c r="D20" s="208"/>
      <c r="E20" s="208"/>
      <c r="F20" s="200"/>
      <c r="G20" s="201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96"/>
      <c r="AF20" s="67"/>
    </row>
    <row r="21" spans="1:32" s="53" customFormat="1" ht="24" customHeight="1" x14ac:dyDescent="0.3">
      <c r="A21" s="47"/>
      <c r="B21" s="207"/>
      <c r="C21" s="193"/>
      <c r="D21" s="208"/>
      <c r="E21" s="208"/>
      <c r="F21" s="200"/>
      <c r="G21" s="201"/>
      <c r="H21" s="202"/>
      <c r="I21" s="203"/>
      <c r="J21" s="204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96"/>
      <c r="AF21" s="67"/>
    </row>
    <row r="22" spans="1:32" s="53" customFormat="1" ht="24" customHeight="1" x14ac:dyDescent="0.3">
      <c r="A22" s="47"/>
      <c r="B22" s="207"/>
      <c r="C22" s="193"/>
      <c r="D22" s="208"/>
      <c r="E22" s="208"/>
      <c r="F22" s="200"/>
      <c r="G22" s="201"/>
      <c r="H22" s="202"/>
      <c r="I22" s="203"/>
      <c r="J22" s="204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96"/>
      <c r="AF22" s="67"/>
    </row>
    <row r="23" spans="1:32" s="53" customFormat="1" ht="24" customHeight="1" x14ac:dyDescent="0.3">
      <c r="A23" s="47"/>
      <c r="B23" s="207"/>
      <c r="C23" s="193"/>
      <c r="D23" s="208"/>
      <c r="E23" s="208"/>
      <c r="F23" s="200"/>
      <c r="G23" s="201"/>
      <c r="H23" s="202"/>
      <c r="I23" s="203"/>
      <c r="J23" s="204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96"/>
      <c r="AF23" s="67"/>
    </row>
    <row r="24" spans="1:32" s="53" customFormat="1" ht="24" customHeight="1" x14ac:dyDescent="0.3">
      <c r="A24" s="47"/>
      <c r="B24" s="207"/>
      <c r="C24" s="193"/>
      <c r="D24" s="208"/>
      <c r="E24" s="208"/>
      <c r="F24" s="200"/>
      <c r="G24" s="201"/>
      <c r="H24" s="202"/>
      <c r="I24" s="203"/>
      <c r="J24" s="204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96"/>
      <c r="AF24" s="67"/>
    </row>
    <row r="25" spans="1:32" s="53" customFormat="1" ht="24" customHeight="1" x14ac:dyDescent="0.3">
      <c r="A25" s="47"/>
      <c r="B25" s="207"/>
      <c r="C25" s="193"/>
      <c r="D25" s="208"/>
      <c r="E25" s="208"/>
      <c r="F25" s="200"/>
      <c r="G25" s="201"/>
      <c r="H25" s="202"/>
      <c r="I25" s="203"/>
      <c r="J25" s="204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96"/>
      <c r="AF25" s="67"/>
    </row>
    <row r="26" spans="1:32" s="53" customFormat="1" ht="26.25" customHeight="1" x14ac:dyDescent="0.3">
      <c r="A26" s="47"/>
      <c r="B26" s="290" t="s">
        <v>77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F26" s="67"/>
    </row>
    <row r="27" spans="1:32" s="53" customFormat="1" ht="21.75" customHeight="1" x14ac:dyDescent="0.3">
      <c r="A27" s="47"/>
      <c r="B27" s="290" t="s">
        <v>63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F27" s="67"/>
    </row>
    <row r="28" spans="1:32" s="53" customFormat="1" ht="25.5" customHeight="1" x14ac:dyDescent="0.3">
      <c r="A28" s="47"/>
      <c r="B28" s="291" t="s">
        <v>351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F28" s="67"/>
    </row>
    <row r="29" spans="1:32" s="53" customFormat="1" ht="25.5" customHeight="1" x14ac:dyDescent="0.3">
      <c r="A29" s="20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F29" s="67"/>
    </row>
    <row r="30" spans="1:32" s="53" customFormat="1" ht="72.75" customHeight="1" x14ac:dyDescent="0.3">
      <c r="A30" s="206"/>
      <c r="B30" s="196" t="s">
        <v>99</v>
      </c>
      <c r="C30" s="196" t="s">
        <v>120</v>
      </c>
      <c r="D30" s="247" t="s">
        <v>270</v>
      </c>
      <c r="E30" s="196" t="s">
        <v>289</v>
      </c>
      <c r="F30" s="247" t="s">
        <v>60</v>
      </c>
      <c r="G30" s="247"/>
      <c r="H30" s="247"/>
      <c r="I30" s="248">
        <f>SUM(I31:I36)</f>
        <v>40644.720000000001</v>
      </c>
      <c r="J30" s="248">
        <f>SUM(J31:J36)</f>
        <v>0</v>
      </c>
      <c r="K30" s="248">
        <f>SUM(K31:K36)</f>
        <v>40644.720000000001</v>
      </c>
      <c r="L30" s="247"/>
      <c r="M30" s="247"/>
      <c r="N30" s="247"/>
      <c r="O30" s="247"/>
      <c r="P30" s="247"/>
      <c r="Q30" s="247"/>
      <c r="R30" s="250"/>
      <c r="S30" s="247"/>
      <c r="T30" s="247"/>
      <c r="U30" s="247"/>
      <c r="V30" s="248">
        <f>SUM(V31:V36)</f>
        <v>0</v>
      </c>
      <c r="W30" s="248">
        <f>SUM(W31:W36)</f>
        <v>4141.55</v>
      </c>
      <c r="X30" s="248">
        <f>SUM(X31:X36)</f>
        <v>4141.55</v>
      </c>
      <c r="Y30" s="248">
        <f>SUM(Y31:Y36)</f>
        <v>36503.17</v>
      </c>
      <c r="Z30" s="103"/>
      <c r="AA30" s="197"/>
      <c r="AF30" s="67"/>
    </row>
    <row r="31" spans="1:32" s="53" customFormat="1" ht="149.25" customHeight="1" x14ac:dyDescent="0.35">
      <c r="A31" s="206"/>
      <c r="B31" s="151" t="s">
        <v>267</v>
      </c>
      <c r="C31" s="152" t="s">
        <v>111</v>
      </c>
      <c r="D31" s="218" t="s">
        <v>268</v>
      </c>
      <c r="E31" s="225">
        <v>44805</v>
      </c>
      <c r="F31" s="154" t="s">
        <v>269</v>
      </c>
      <c r="G31" s="155"/>
      <c r="H31" s="156"/>
      <c r="I31" s="157">
        <v>7464</v>
      </c>
      <c r="J31" s="158">
        <v>0</v>
      </c>
      <c r="K31" s="159">
        <f t="shared" ref="K31" si="8">SUM(I31:J31)</f>
        <v>7464</v>
      </c>
      <c r="L31" s="160">
        <f t="shared" ref="L31" si="9">IF(I31/15&lt;=SMG,0,J31/2)</f>
        <v>0</v>
      </c>
      <c r="M31" s="160">
        <f t="shared" ref="M31" si="10">I31+L31</f>
        <v>7464</v>
      </c>
      <c r="N31" s="160">
        <f t="shared" ref="N31" si="11">VLOOKUP(M31,Tarifa1,1)</f>
        <v>6382.81</v>
      </c>
      <c r="O31" s="160">
        <f t="shared" ref="O31" si="12">M31-N31</f>
        <v>1081.1899999999996</v>
      </c>
      <c r="P31" s="161">
        <f t="shared" ref="P31" si="13">VLOOKUP(M31,Tarifa1,3)</f>
        <v>0.1792</v>
      </c>
      <c r="Q31" s="160">
        <f t="shared" ref="Q31" si="14">O31*P31</f>
        <v>193.74924799999994</v>
      </c>
      <c r="R31" s="162">
        <f t="shared" ref="R31" si="15">VLOOKUP(M31,Tarifa1,2)</f>
        <v>583.65</v>
      </c>
      <c r="S31" s="160">
        <f t="shared" ref="S31" si="16">Q31+R31</f>
        <v>777.39924799999994</v>
      </c>
      <c r="T31" s="160">
        <f t="shared" ref="T31" si="17">VLOOKUP(M31,Credito1,2)</f>
        <v>0</v>
      </c>
      <c r="U31" s="160">
        <f t="shared" ref="U31" si="18">ROUND(S31-T31,2)</f>
        <v>777.4</v>
      </c>
      <c r="V31" s="159">
        <f t="shared" ref="V31" si="19">-IF(U31&gt;0,0,U31)</f>
        <v>0</v>
      </c>
      <c r="W31" s="159">
        <f t="shared" ref="W31" si="20">IF(I31/15&lt;=SMG,0,IF(U31&lt;0,0,U31))</f>
        <v>777.4</v>
      </c>
      <c r="X31" s="159">
        <f>SUM(W31:W31)</f>
        <v>777.4</v>
      </c>
      <c r="Y31" s="159">
        <f>K31+V31-X31</f>
        <v>6686.6</v>
      </c>
      <c r="Z31" s="95"/>
      <c r="AA31" s="197"/>
      <c r="AF31" s="67"/>
    </row>
    <row r="32" spans="1:32" s="53" customFormat="1" ht="60.75" customHeight="1" x14ac:dyDescent="0.3">
      <c r="A32" s="206"/>
      <c r="B32" s="196" t="s">
        <v>99</v>
      </c>
      <c r="C32" s="196" t="s">
        <v>120</v>
      </c>
      <c r="D32" s="247" t="s">
        <v>315</v>
      </c>
      <c r="E32" s="196" t="s">
        <v>289</v>
      </c>
      <c r="F32" s="247" t="s">
        <v>60</v>
      </c>
      <c r="G32" s="247"/>
      <c r="H32" s="247"/>
      <c r="I32" s="248">
        <f>I34</f>
        <v>8490.51</v>
      </c>
      <c r="J32" s="248">
        <f>J34</f>
        <v>0</v>
      </c>
      <c r="K32" s="248">
        <f>K34</f>
        <v>8490.51</v>
      </c>
      <c r="L32" s="247"/>
      <c r="M32" s="247"/>
      <c r="N32" s="247"/>
      <c r="O32" s="247"/>
      <c r="P32" s="247"/>
      <c r="Q32" s="247"/>
      <c r="R32" s="250"/>
      <c r="S32" s="247"/>
      <c r="T32" s="247"/>
      <c r="U32" s="247"/>
      <c r="V32" s="248">
        <f>V34</f>
        <v>0</v>
      </c>
      <c r="W32" s="248">
        <f>W34</f>
        <v>990.51</v>
      </c>
      <c r="X32" s="248">
        <f>X34</f>
        <v>990.51</v>
      </c>
      <c r="Y32" s="248">
        <f>Y34</f>
        <v>7500</v>
      </c>
      <c r="Z32" s="103"/>
      <c r="AA32" s="197"/>
      <c r="AF32" s="67"/>
    </row>
    <row r="33" spans="1:32" s="53" customFormat="1" ht="88.5" customHeight="1" x14ac:dyDescent="0.35">
      <c r="A33" s="206"/>
      <c r="B33" s="151" t="s">
        <v>334</v>
      </c>
      <c r="C33" s="152" t="s">
        <v>111</v>
      </c>
      <c r="D33" s="218" t="s">
        <v>335</v>
      </c>
      <c r="E33" s="225">
        <v>45170</v>
      </c>
      <c r="F33" s="275" t="s">
        <v>342</v>
      </c>
      <c r="G33" s="155"/>
      <c r="H33" s="156"/>
      <c r="I33" s="157">
        <v>7013</v>
      </c>
      <c r="J33" s="158">
        <v>0</v>
      </c>
      <c r="K33" s="159">
        <f>SUM(I33:J33)</f>
        <v>7013</v>
      </c>
      <c r="L33" s="160">
        <f>IF(I33/15&lt;=SMG,0,J33/2)</f>
        <v>0</v>
      </c>
      <c r="M33" s="160">
        <f>I33+L33</f>
        <v>7013</v>
      </c>
      <c r="N33" s="160">
        <f>VLOOKUP(M33,Tarifa1,1)</f>
        <v>6382.81</v>
      </c>
      <c r="O33" s="160">
        <f>M33-N33</f>
        <v>630.1899999999996</v>
      </c>
      <c r="P33" s="161">
        <f>VLOOKUP(M33,Tarifa1,3)</f>
        <v>0.1792</v>
      </c>
      <c r="Q33" s="160">
        <f>O33*P33</f>
        <v>112.93004799999993</v>
      </c>
      <c r="R33" s="162">
        <f>VLOOKUP(M33,Tarifa1,2)</f>
        <v>583.65</v>
      </c>
      <c r="S33" s="160">
        <f>Q33+R33</f>
        <v>696.58004799999992</v>
      </c>
      <c r="T33" s="160">
        <f>VLOOKUP(M33,Credito1,2)</f>
        <v>0</v>
      </c>
      <c r="U33" s="160">
        <f>ROUND(S33-T33,2)</f>
        <v>696.58</v>
      </c>
      <c r="V33" s="159">
        <f>-IF(U33&gt;0,0,U33)</f>
        <v>0</v>
      </c>
      <c r="W33" s="159">
        <f>IF(I33/15&lt;=SMG,0,IF(U33&lt;0,0,U33))</f>
        <v>696.58</v>
      </c>
      <c r="X33" s="159">
        <f>SUM(W33:W33)</f>
        <v>696.58</v>
      </c>
      <c r="Y33" s="159">
        <f>K33+V33-X33</f>
        <v>6316.42</v>
      </c>
      <c r="Z33" s="95"/>
      <c r="AA33" s="197"/>
      <c r="AF33" s="67"/>
    </row>
    <row r="34" spans="1:32" s="53" customFormat="1" ht="149.25" customHeight="1" x14ac:dyDescent="0.35">
      <c r="A34" s="206"/>
      <c r="B34" s="151" t="s">
        <v>325</v>
      </c>
      <c r="C34" s="152" t="s">
        <v>111</v>
      </c>
      <c r="D34" s="218" t="s">
        <v>316</v>
      </c>
      <c r="E34" s="225">
        <v>45108</v>
      </c>
      <c r="F34" s="275" t="s">
        <v>317</v>
      </c>
      <c r="G34" s="155"/>
      <c r="H34" s="156"/>
      <c r="I34" s="157">
        <v>8490.51</v>
      </c>
      <c r="J34" s="158">
        <v>0</v>
      </c>
      <c r="K34" s="159">
        <f t="shared" ref="K34" si="21">SUM(I34:J34)</f>
        <v>8490.51</v>
      </c>
      <c r="L34" s="160">
        <f t="shared" ref="L34:L35" si="22">IF(I34/15&lt;=SMG,0,J34/2)</f>
        <v>0</v>
      </c>
      <c r="M34" s="160">
        <f t="shared" ref="M34:M35" si="23">I34+L34</f>
        <v>8490.51</v>
      </c>
      <c r="N34" s="160">
        <f t="shared" ref="N34:N35" si="24">VLOOKUP(M34,Tarifa1,1)</f>
        <v>7641.91</v>
      </c>
      <c r="O34" s="160">
        <f t="shared" ref="O34:O35" si="25">M34-N34</f>
        <v>848.60000000000036</v>
      </c>
      <c r="P34" s="161">
        <f t="shared" ref="P34:P35" si="26">VLOOKUP(M34,Tarifa1,3)</f>
        <v>0.21360000000000001</v>
      </c>
      <c r="Q34" s="160">
        <f t="shared" ref="Q34:Q35" si="27">O34*P34</f>
        <v>181.2609600000001</v>
      </c>
      <c r="R34" s="162">
        <f t="shared" ref="R34:R35" si="28">VLOOKUP(M34,Tarifa1,2)</f>
        <v>809.25</v>
      </c>
      <c r="S34" s="160">
        <f t="shared" ref="S34:S35" si="29">Q34+R34</f>
        <v>990.51096000000007</v>
      </c>
      <c r="T34" s="160">
        <f t="shared" ref="T34:T35" si="30">VLOOKUP(M34,Credito1,2)</f>
        <v>0</v>
      </c>
      <c r="U34" s="160">
        <f t="shared" ref="U34:U35" si="31">ROUND(S34-T34,2)</f>
        <v>990.51</v>
      </c>
      <c r="V34" s="159">
        <f t="shared" ref="V34:V35" si="32">-IF(U34&gt;0,0,U34)</f>
        <v>0</v>
      </c>
      <c r="W34" s="159">
        <f t="shared" ref="W34:W35" si="33">IF(I34/15&lt;=SMG,0,IF(U34&lt;0,0,U34))</f>
        <v>990.51</v>
      </c>
      <c r="X34" s="159">
        <f>SUM(W34:W34)</f>
        <v>990.51</v>
      </c>
      <c r="Y34" s="159">
        <f>K34+V34-X34</f>
        <v>7500</v>
      </c>
      <c r="Z34" s="95"/>
      <c r="AA34" s="197"/>
      <c r="AF34" s="67"/>
    </row>
    <row r="35" spans="1:32" s="53" customFormat="1" ht="149.25" customHeight="1" x14ac:dyDescent="0.35">
      <c r="A35" s="206"/>
      <c r="B35" s="151" t="s">
        <v>343</v>
      </c>
      <c r="C35" s="152" t="s">
        <v>111</v>
      </c>
      <c r="D35" s="218" t="s">
        <v>345</v>
      </c>
      <c r="E35" s="225">
        <v>45200</v>
      </c>
      <c r="F35" s="275" t="s">
        <v>346</v>
      </c>
      <c r="G35" s="155"/>
      <c r="H35" s="156"/>
      <c r="I35" s="157">
        <v>3751.7</v>
      </c>
      <c r="J35" s="158">
        <v>0</v>
      </c>
      <c r="K35" s="159">
        <f t="shared" ref="K35" si="34">SUM(I35:J35)</f>
        <v>3751.7</v>
      </c>
      <c r="L35" s="160">
        <f t="shared" si="22"/>
        <v>0</v>
      </c>
      <c r="M35" s="160">
        <f t="shared" si="23"/>
        <v>3751.7</v>
      </c>
      <c r="N35" s="160">
        <f t="shared" si="24"/>
        <v>3124.36</v>
      </c>
      <c r="O35" s="160">
        <f t="shared" si="25"/>
        <v>627.33999999999969</v>
      </c>
      <c r="P35" s="161">
        <f t="shared" si="26"/>
        <v>0.10879999999999999</v>
      </c>
      <c r="Q35" s="160">
        <f t="shared" si="27"/>
        <v>68.25459199999996</v>
      </c>
      <c r="R35" s="162">
        <f t="shared" si="28"/>
        <v>183.45</v>
      </c>
      <c r="S35" s="160">
        <f t="shared" si="29"/>
        <v>251.70459199999993</v>
      </c>
      <c r="T35" s="160">
        <f t="shared" si="30"/>
        <v>0</v>
      </c>
      <c r="U35" s="160">
        <f t="shared" si="31"/>
        <v>251.7</v>
      </c>
      <c r="V35" s="159">
        <f t="shared" si="32"/>
        <v>0</v>
      </c>
      <c r="W35" s="159">
        <f t="shared" si="33"/>
        <v>251.7</v>
      </c>
      <c r="X35" s="159">
        <f>SUM(W35:W35)</f>
        <v>251.7</v>
      </c>
      <c r="Y35" s="159">
        <f>K35+V35-X35</f>
        <v>3500</v>
      </c>
      <c r="Z35" s="95"/>
      <c r="AA35" s="197"/>
      <c r="AF35" s="67"/>
    </row>
    <row r="36" spans="1:32" s="115" customFormat="1" ht="71.25" customHeight="1" x14ac:dyDescent="0.3">
      <c r="A36" s="152"/>
      <c r="B36" s="196" t="s">
        <v>99</v>
      </c>
      <c r="C36" s="196" t="s">
        <v>120</v>
      </c>
      <c r="D36" s="196" t="s">
        <v>125</v>
      </c>
      <c r="E36" s="196" t="s">
        <v>289</v>
      </c>
      <c r="F36" s="247" t="s">
        <v>60</v>
      </c>
      <c r="G36" s="247"/>
      <c r="H36" s="247"/>
      <c r="I36" s="248">
        <f>SUM(I37)</f>
        <v>5435</v>
      </c>
      <c r="J36" s="248">
        <f>SUM(J37)</f>
        <v>0</v>
      </c>
      <c r="K36" s="248">
        <f>SUM(K37)</f>
        <v>5435</v>
      </c>
      <c r="L36" s="247"/>
      <c r="M36" s="247"/>
      <c r="N36" s="247"/>
      <c r="O36" s="247"/>
      <c r="P36" s="247"/>
      <c r="Q36" s="247"/>
      <c r="R36" s="250"/>
      <c r="S36" s="247"/>
      <c r="T36" s="247"/>
      <c r="U36" s="247"/>
      <c r="V36" s="248">
        <f>SUM(V37)</f>
        <v>0</v>
      </c>
      <c r="W36" s="248">
        <f>SUM(W37)</f>
        <v>434.85</v>
      </c>
      <c r="X36" s="248">
        <f>SUM(X37)</f>
        <v>434.85</v>
      </c>
      <c r="Y36" s="248">
        <f>SUM(Y37)</f>
        <v>5000.1499999999996</v>
      </c>
      <c r="Z36" s="251"/>
      <c r="AF36" s="252"/>
    </row>
    <row r="37" spans="1:32" s="115" customFormat="1" ht="150" customHeight="1" x14ac:dyDescent="0.35">
      <c r="A37" s="152" t="s">
        <v>88</v>
      </c>
      <c r="B37" s="151" t="s">
        <v>154</v>
      </c>
      <c r="C37" s="152" t="s">
        <v>111</v>
      </c>
      <c r="D37" s="216" t="s">
        <v>200</v>
      </c>
      <c r="E37" s="221">
        <v>43374</v>
      </c>
      <c r="F37" s="154" t="s">
        <v>98</v>
      </c>
      <c r="G37" s="155">
        <v>15</v>
      </c>
      <c r="H37" s="156">
        <f t="shared" si="0"/>
        <v>362.33333333333331</v>
      </c>
      <c r="I37" s="157">
        <v>5435</v>
      </c>
      <c r="J37" s="158">
        <v>0</v>
      </c>
      <c r="K37" s="159">
        <f>SUM(I37:J37)</f>
        <v>5435</v>
      </c>
      <c r="L37" s="160">
        <f>IF(I37/15&lt;=SMG,0,J37/2)</f>
        <v>0</v>
      </c>
      <c r="M37" s="160">
        <f t="shared" ref="M37" si="35">I37+L37</f>
        <v>5435</v>
      </c>
      <c r="N37" s="160">
        <f>VLOOKUP(M37,Tarifa1,1)</f>
        <v>3124.36</v>
      </c>
      <c r="O37" s="160">
        <f t="shared" ref="O37" si="36">M37-N37</f>
        <v>2310.64</v>
      </c>
      <c r="P37" s="161">
        <f>VLOOKUP(M37,Tarifa1,3)</f>
        <v>0.10879999999999999</v>
      </c>
      <c r="Q37" s="160">
        <f t="shared" ref="Q37" si="37">O37*P37</f>
        <v>251.39763199999996</v>
      </c>
      <c r="R37" s="162">
        <f>VLOOKUP(M37,Tarifa1,2)</f>
        <v>183.45</v>
      </c>
      <c r="S37" s="160">
        <f t="shared" ref="S37" si="38">Q37+R37</f>
        <v>434.84763199999998</v>
      </c>
      <c r="T37" s="160">
        <f>VLOOKUP(M37,Credito1,2)</f>
        <v>0</v>
      </c>
      <c r="U37" s="160">
        <f t="shared" ref="U37" si="39">ROUND(S37-T37,2)</f>
        <v>434.85</v>
      </c>
      <c r="V37" s="159">
        <f>-IF(U37&gt;0,0,U37)</f>
        <v>0</v>
      </c>
      <c r="W37" s="159">
        <f>IF(I37/15&lt;=SMG,0,IF(U37&lt;0,0,U37))</f>
        <v>434.85</v>
      </c>
      <c r="X37" s="159">
        <f>SUM(W37:W37)</f>
        <v>434.85</v>
      </c>
      <c r="Y37" s="159">
        <f>K37+V37-X37</f>
        <v>5000.1499999999996</v>
      </c>
      <c r="Z37" s="114"/>
      <c r="AF37" s="252"/>
    </row>
    <row r="38" spans="1:32" s="115" customFormat="1" ht="57.75" customHeight="1" x14ac:dyDescent="0.3">
      <c r="A38" s="228"/>
      <c r="B38" s="196" t="s">
        <v>99</v>
      </c>
      <c r="C38" s="196" t="s">
        <v>120</v>
      </c>
      <c r="D38" s="247" t="s">
        <v>140</v>
      </c>
      <c r="E38" s="196" t="s">
        <v>289</v>
      </c>
      <c r="F38" s="247" t="s">
        <v>60</v>
      </c>
      <c r="G38" s="247"/>
      <c r="H38" s="247"/>
      <c r="I38" s="248">
        <f>SUM(I39)</f>
        <v>7013</v>
      </c>
      <c r="J38" s="248">
        <f>SUM(J39)</f>
        <v>0</v>
      </c>
      <c r="K38" s="248">
        <f>SUM(K39)</f>
        <v>7013</v>
      </c>
      <c r="L38" s="247"/>
      <c r="M38" s="247"/>
      <c r="N38" s="247"/>
      <c r="O38" s="247"/>
      <c r="P38" s="247"/>
      <c r="Q38" s="247"/>
      <c r="R38" s="250"/>
      <c r="S38" s="247"/>
      <c r="T38" s="247"/>
      <c r="U38" s="247"/>
      <c r="V38" s="248">
        <f>SUM(V39)</f>
        <v>0</v>
      </c>
      <c r="W38" s="248">
        <f>SUM(W39)</f>
        <v>696.58</v>
      </c>
      <c r="X38" s="248">
        <f>SUM(X39)</f>
        <v>696.58</v>
      </c>
      <c r="Y38" s="248">
        <f>SUM(Y39)</f>
        <v>6316.42</v>
      </c>
      <c r="Z38" s="251"/>
    </row>
    <row r="39" spans="1:32" s="115" customFormat="1" ht="150.75" customHeight="1" x14ac:dyDescent="0.35">
      <c r="A39" s="228"/>
      <c r="B39" s="151" t="s">
        <v>153</v>
      </c>
      <c r="C39" s="152" t="s">
        <v>111</v>
      </c>
      <c r="D39" s="216" t="s">
        <v>143</v>
      </c>
      <c r="E39" s="225">
        <v>43101</v>
      </c>
      <c r="F39" s="154" t="s">
        <v>144</v>
      </c>
      <c r="G39" s="155">
        <v>15</v>
      </c>
      <c r="H39" s="156">
        <f>I39/G39</f>
        <v>467.53333333333336</v>
      </c>
      <c r="I39" s="157">
        <v>7013</v>
      </c>
      <c r="J39" s="158">
        <v>0</v>
      </c>
      <c r="K39" s="159">
        <f>SUM(I39:J39)</f>
        <v>7013</v>
      </c>
      <c r="L39" s="160">
        <f>IF(I39/15&lt;=SMG,0,J39/2)</f>
        <v>0</v>
      </c>
      <c r="M39" s="160">
        <f t="shared" ref="M39" si="40">I39+L39</f>
        <v>7013</v>
      </c>
      <c r="N39" s="160">
        <f>VLOOKUP(M39,Tarifa1,1)</f>
        <v>6382.81</v>
      </c>
      <c r="O39" s="160">
        <f t="shared" ref="O39" si="41">M39-N39</f>
        <v>630.1899999999996</v>
      </c>
      <c r="P39" s="161">
        <f>VLOOKUP(M39,Tarifa1,3)</f>
        <v>0.1792</v>
      </c>
      <c r="Q39" s="160">
        <f t="shared" ref="Q39" si="42">O39*P39</f>
        <v>112.93004799999993</v>
      </c>
      <c r="R39" s="162">
        <f>VLOOKUP(M39,Tarifa1,2)</f>
        <v>583.65</v>
      </c>
      <c r="S39" s="160">
        <f t="shared" ref="S39" si="43">Q39+R39</f>
        <v>696.58004799999992</v>
      </c>
      <c r="T39" s="160">
        <f>VLOOKUP(M39,Credito1,2)</f>
        <v>0</v>
      </c>
      <c r="U39" s="160">
        <f t="shared" ref="U39" si="44">ROUND(S39-T39,2)</f>
        <v>696.58</v>
      </c>
      <c r="V39" s="159">
        <f t="shared" ref="V39" si="45">-IF(U39&gt;0,0,U39)</f>
        <v>0</v>
      </c>
      <c r="W39" s="159">
        <f>IF(I39/15&lt;=SMG,0,IF(U39&lt;0,0,U39))</f>
        <v>696.58</v>
      </c>
      <c r="X39" s="159">
        <f>SUM(W39:W39)</f>
        <v>696.58</v>
      </c>
      <c r="Y39" s="159">
        <f>K39+V39-X39</f>
        <v>6316.42</v>
      </c>
      <c r="Z39" s="114"/>
    </row>
    <row r="40" spans="1:32" s="115" customFormat="1" ht="17.399999999999999" x14ac:dyDescent="0.3">
      <c r="A40" s="228"/>
      <c r="B40" s="228"/>
      <c r="C40" s="228"/>
      <c r="D40" s="228"/>
      <c r="E40" s="228"/>
      <c r="F40" s="228"/>
      <c r="G40" s="228"/>
      <c r="H40" s="228"/>
      <c r="I40" s="253"/>
      <c r="J40" s="253"/>
      <c r="K40" s="253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114"/>
    </row>
    <row r="41" spans="1:32" s="115" customFormat="1" ht="39" customHeight="1" x14ac:dyDescent="0.3">
      <c r="A41" s="320" t="s">
        <v>44</v>
      </c>
      <c r="B41" s="320"/>
      <c r="C41" s="320"/>
      <c r="D41" s="320"/>
      <c r="E41" s="320"/>
      <c r="F41" s="320"/>
      <c r="G41" s="320"/>
      <c r="H41" s="320"/>
      <c r="I41" s="187">
        <f>SUM(I8+I11+I13+I30+I36+I38+I32)</f>
        <v>92802.159999999989</v>
      </c>
      <c r="J41" s="187">
        <f>SUM(J8+J11+J13+J30+J36+J38+J32)</f>
        <v>0</v>
      </c>
      <c r="K41" s="187">
        <f>SUM(K8+K11+K13+K30+K36+K38+K32)</f>
        <v>92802.159999999989</v>
      </c>
      <c r="L41" s="188">
        <f t="shared" ref="L41:U41" si="46">SUM(L11:L40)</f>
        <v>0</v>
      </c>
      <c r="M41" s="188">
        <f t="shared" si="46"/>
        <v>63373.14</v>
      </c>
      <c r="N41" s="188">
        <f t="shared" si="46"/>
        <v>52053.4</v>
      </c>
      <c r="O41" s="188">
        <f t="shared" si="46"/>
        <v>11319.739999999998</v>
      </c>
      <c r="P41" s="188">
        <f t="shared" si="46"/>
        <v>1.5448000000000002</v>
      </c>
      <c r="Q41" s="188">
        <f t="shared" si="46"/>
        <v>1595.9926719999999</v>
      </c>
      <c r="R41" s="188">
        <f t="shared" si="46"/>
        <v>4461.2999999999993</v>
      </c>
      <c r="S41" s="188">
        <f t="shared" si="46"/>
        <v>6057.2926719999987</v>
      </c>
      <c r="T41" s="188">
        <f t="shared" si="46"/>
        <v>0</v>
      </c>
      <c r="U41" s="188">
        <f t="shared" si="46"/>
        <v>6057.28</v>
      </c>
      <c r="V41" s="187">
        <f>SUM(V8+V11+V13+V30+V36+V38+V32)</f>
        <v>0</v>
      </c>
      <c r="W41" s="187">
        <f>SUM(W8+W11+W13+W30+W36+W38+W32)</f>
        <v>9169.7300000000014</v>
      </c>
      <c r="X41" s="187">
        <f>SUM(X8+X11+X13+X30+X36+X38+X32)</f>
        <v>9169.7300000000014</v>
      </c>
      <c r="Y41" s="187">
        <f>SUM(Y8+Y11+Y13+Y30+Y36+Y38+Y32)</f>
        <v>83632.429999999993</v>
      </c>
      <c r="Z41" s="114"/>
    </row>
    <row r="42" spans="1:32" s="53" customFormat="1" ht="11.4" x14ac:dyDescent="0.2"/>
    <row r="43" spans="1:32" s="53" customFormat="1" ht="11.4" x14ac:dyDescent="0.2"/>
    <row r="44" spans="1:32" s="53" customFormat="1" ht="11.4" x14ac:dyDescent="0.2"/>
    <row r="45" spans="1:32" s="53" customFormat="1" ht="11.4" x14ac:dyDescent="0.2"/>
    <row r="46" spans="1:32" s="53" customFormat="1" ht="11.4" x14ac:dyDescent="0.2"/>
    <row r="47" spans="1:32" s="53" customFormat="1" ht="11.4" x14ac:dyDescent="0.2"/>
    <row r="48" spans="1:32" s="53" customFormat="1" ht="11.4" x14ac:dyDescent="0.2"/>
    <row r="49" spans="4:38" s="53" customFormat="1" ht="11.4" x14ac:dyDescent="0.2"/>
    <row r="50" spans="4:38" s="53" customFormat="1" ht="11.4" x14ac:dyDescent="0.2"/>
    <row r="51" spans="4:38" s="53" customFormat="1" ht="11.4" x14ac:dyDescent="0.2"/>
    <row r="52" spans="4:38" s="53" customFormat="1" x14ac:dyDescent="0.25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4:38" s="53" customFormat="1" ht="13.8" x14ac:dyDescent="0.25">
      <c r="D53" s="100" t="s">
        <v>203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100" t="s">
        <v>149</v>
      </c>
      <c r="X53" s="96"/>
      <c r="Y53" s="96"/>
    </row>
    <row r="54" spans="4:38" s="53" customFormat="1" ht="13.8" x14ac:dyDescent="0.25">
      <c r="D54" s="100" t="s">
        <v>202</v>
      </c>
      <c r="E54" s="100"/>
      <c r="F54" s="100"/>
      <c r="G54" s="100"/>
      <c r="H54" s="100"/>
      <c r="I54" s="100"/>
      <c r="J54" s="100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100" t="s">
        <v>234</v>
      </c>
      <c r="X54" s="100"/>
      <c r="Y54" s="100"/>
      <c r="Z54" s="62"/>
      <c r="AA54" s="62"/>
      <c r="AB54" s="62"/>
      <c r="AC54" s="62"/>
      <c r="AD54" s="62"/>
      <c r="AE54" s="62"/>
      <c r="AF54" s="62"/>
      <c r="AG54" s="62"/>
      <c r="AH54" s="62"/>
      <c r="AK54" s="62"/>
      <c r="AL54" s="62"/>
    </row>
    <row r="55" spans="4:38" s="53" customFormat="1" x14ac:dyDescent="0.2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4:38" s="53" customFormat="1" ht="11.4" x14ac:dyDescent="0.2"/>
    <row r="57" spans="4:38" s="53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3" zoomScale="77" zoomScaleNormal="77" workbookViewId="0">
      <selection activeCell="Y39" sqref="Y39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1" t="s">
        <v>1</v>
      </c>
      <c r="J6" s="302"/>
      <c r="K6" s="303"/>
      <c r="L6" s="24" t="s">
        <v>25</v>
      </c>
      <c r="M6" s="25"/>
      <c r="N6" s="304" t="s">
        <v>8</v>
      </c>
      <c r="O6" s="305"/>
      <c r="P6" s="305"/>
      <c r="Q6" s="305"/>
      <c r="R6" s="305"/>
      <c r="S6" s="306"/>
      <c r="T6" s="24" t="s">
        <v>29</v>
      </c>
      <c r="U6" s="24" t="s">
        <v>9</v>
      </c>
      <c r="V6" s="23" t="s">
        <v>52</v>
      </c>
      <c r="W6" s="307" t="s">
        <v>2</v>
      </c>
      <c r="X6" s="308"/>
      <c r="Y6" s="23" t="s">
        <v>0</v>
      </c>
      <c r="Z6" s="34"/>
    </row>
    <row r="7" spans="1:26" ht="2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6"/>
      <c r="B9" s="136"/>
      <c r="C9" s="136"/>
      <c r="D9" s="135" t="s">
        <v>109</v>
      </c>
      <c r="E9" s="136" t="s">
        <v>289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105"/>
    </row>
    <row r="10" spans="1:26" s="4" customFormat="1" ht="131.25" customHeight="1" x14ac:dyDescent="0.35">
      <c r="A10" s="113" t="s">
        <v>82</v>
      </c>
      <c r="B10" s="152" t="s">
        <v>107</v>
      </c>
      <c r="C10" s="152" t="s">
        <v>111</v>
      </c>
      <c r="D10" s="216" t="s">
        <v>97</v>
      </c>
      <c r="E10" s="219">
        <v>42278</v>
      </c>
      <c r="F10" s="154" t="s">
        <v>205</v>
      </c>
      <c r="G10" s="155">
        <v>15</v>
      </c>
      <c r="H10" s="156">
        <f>I10/G10</f>
        <v>1110.0666666666666</v>
      </c>
      <c r="I10" s="157">
        <v>16651</v>
      </c>
      <c r="J10" s="158">
        <v>0</v>
      </c>
      <c r="K10" s="159">
        <f>SUM(I10:J10)</f>
        <v>16651</v>
      </c>
      <c r="L10" s="160">
        <f>IF(I10/15&lt;=SMG,0,J10/2)</f>
        <v>0</v>
      </c>
      <c r="M10" s="160">
        <f>I10+L10</f>
        <v>16651</v>
      </c>
      <c r="N10" s="160">
        <f>VLOOKUP(M10,Tarifa1,1)</f>
        <v>15412.81</v>
      </c>
      <c r="O10" s="160">
        <f>M10-N10</f>
        <v>1238.1900000000005</v>
      </c>
      <c r="P10" s="161">
        <f>VLOOKUP(M10,Tarifa1,3)</f>
        <v>0.23519999999999999</v>
      </c>
      <c r="Q10" s="160">
        <f>O10*P10</f>
        <v>291.22228800000011</v>
      </c>
      <c r="R10" s="162">
        <f>VLOOKUP(M10,Tarifa1,2)</f>
        <v>2469.15</v>
      </c>
      <c r="S10" s="160">
        <f>Q10+R10</f>
        <v>2760.372288</v>
      </c>
      <c r="T10" s="160">
        <f>VLOOKUP(M10,Credito1,2)</f>
        <v>0</v>
      </c>
      <c r="U10" s="160">
        <f>ROUND(S10-T10,2)</f>
        <v>2760.37</v>
      </c>
      <c r="V10" s="159">
        <f>-IF(U10&gt;0,0,U10)</f>
        <v>0</v>
      </c>
      <c r="W10" s="159">
        <f>IF(I10/15&lt;=SMG,0,IF(U10&lt;0,0,U10))</f>
        <v>2760.37</v>
      </c>
      <c r="X10" s="159">
        <f>SUM(W10:W10)</f>
        <v>2760.37</v>
      </c>
      <c r="Y10" s="159">
        <f>K10+V10-X10</f>
        <v>13890.630000000001</v>
      </c>
      <c r="Z10" s="92"/>
    </row>
    <row r="11" spans="1:26" s="4" customFormat="1" ht="131.25" customHeight="1" x14ac:dyDescent="0.35">
      <c r="A11" s="113" t="s">
        <v>84</v>
      </c>
      <c r="B11" s="152" t="s">
        <v>102</v>
      </c>
      <c r="C11" s="152" t="s">
        <v>111</v>
      </c>
      <c r="D11" s="216" t="s">
        <v>72</v>
      </c>
      <c r="E11" s="219">
        <v>39462</v>
      </c>
      <c r="F11" s="154" t="s">
        <v>206</v>
      </c>
      <c r="G11" s="155">
        <v>15</v>
      </c>
      <c r="H11" s="156">
        <f>I11/G11</f>
        <v>704.86666666666667</v>
      </c>
      <c r="I11" s="157">
        <v>10573</v>
      </c>
      <c r="J11" s="158">
        <v>0</v>
      </c>
      <c r="K11" s="159">
        <f>I11</f>
        <v>10573</v>
      </c>
      <c r="L11" s="160">
        <f>IF(I11/15&lt;=SMG,0,J11/2)</f>
        <v>0</v>
      </c>
      <c r="M11" s="160">
        <f t="shared" ref="M11:M12" si="0">I11+L11</f>
        <v>10573</v>
      </c>
      <c r="N11" s="160">
        <f>VLOOKUP(M11,Tarifa1,1)</f>
        <v>7641.91</v>
      </c>
      <c r="O11" s="160">
        <f t="shared" ref="O11:O12" si="1">M11-N11</f>
        <v>2931.09</v>
      </c>
      <c r="P11" s="161">
        <f>VLOOKUP(M11,Tarifa1,3)</f>
        <v>0.21360000000000001</v>
      </c>
      <c r="Q11" s="160">
        <f t="shared" ref="Q11:Q12" si="2">O11*P11</f>
        <v>626.08082400000012</v>
      </c>
      <c r="R11" s="162">
        <f>VLOOKUP(M11,Tarifa1,2)</f>
        <v>809.25</v>
      </c>
      <c r="S11" s="160">
        <f t="shared" ref="S11:S12" si="3">Q11+R11</f>
        <v>1435.3308240000001</v>
      </c>
      <c r="T11" s="160">
        <f>VLOOKUP(M11,Credito1,2)</f>
        <v>0</v>
      </c>
      <c r="U11" s="160">
        <f t="shared" ref="U11:U12" si="4">ROUND(S11-T11,2)</f>
        <v>1435.33</v>
      </c>
      <c r="V11" s="159">
        <f t="shared" ref="V11:V12" si="5">-IF(U11&gt;0,0,U11)</f>
        <v>0</v>
      </c>
      <c r="W11" s="159">
        <f>IF(I11/15&lt;=SMG,0,IF(U11&lt;0,0,U11))</f>
        <v>1435.33</v>
      </c>
      <c r="X11" s="159">
        <f>SUM(W11:W11)</f>
        <v>1435.33</v>
      </c>
      <c r="Y11" s="159">
        <f>K11+V11-X11</f>
        <v>9137.67</v>
      </c>
      <c r="Z11" s="92"/>
    </row>
    <row r="12" spans="1:26" s="4" customFormat="1" ht="131.25" customHeight="1" x14ac:dyDescent="0.35">
      <c r="A12" s="113" t="s">
        <v>85</v>
      </c>
      <c r="B12" s="152" t="s">
        <v>108</v>
      </c>
      <c r="C12" s="152" t="s">
        <v>111</v>
      </c>
      <c r="D12" s="216" t="s">
        <v>95</v>
      </c>
      <c r="E12" s="219">
        <v>42278</v>
      </c>
      <c r="F12" s="154" t="s">
        <v>206</v>
      </c>
      <c r="G12" s="155">
        <v>15</v>
      </c>
      <c r="H12" s="156">
        <f>I12/G12</f>
        <v>418.33333333333331</v>
      </c>
      <c r="I12" s="157">
        <v>6275</v>
      </c>
      <c r="J12" s="158">
        <v>0</v>
      </c>
      <c r="K12" s="159">
        <f>SUM(I12:J12)</f>
        <v>6275</v>
      </c>
      <c r="L12" s="160">
        <f>IF(I12/15&lt;=SMG,0,J12/2)</f>
        <v>0</v>
      </c>
      <c r="M12" s="160">
        <f t="shared" si="0"/>
        <v>6275</v>
      </c>
      <c r="N12" s="160">
        <f>VLOOKUP(M12,Tarifa1,1)</f>
        <v>5490.76</v>
      </c>
      <c r="O12" s="160">
        <f t="shared" si="1"/>
        <v>784.23999999999978</v>
      </c>
      <c r="P12" s="161">
        <f>VLOOKUP(M12,Tarifa1,3)</f>
        <v>0.16</v>
      </c>
      <c r="Q12" s="160">
        <f t="shared" si="2"/>
        <v>125.47839999999997</v>
      </c>
      <c r="R12" s="162">
        <f>VLOOKUP(M12,Tarifa1,2)</f>
        <v>441</v>
      </c>
      <c r="S12" s="160">
        <f t="shared" si="3"/>
        <v>566.47839999999997</v>
      </c>
      <c r="T12" s="160">
        <f>VLOOKUP(M12,Credito1,2)</f>
        <v>0</v>
      </c>
      <c r="U12" s="160">
        <f t="shared" si="4"/>
        <v>566.48</v>
      </c>
      <c r="V12" s="159">
        <f t="shared" si="5"/>
        <v>0</v>
      </c>
      <c r="W12" s="159">
        <f>IF(I12/15&lt;=SMG,0,IF(U12&lt;0,0,U12))</f>
        <v>566.48</v>
      </c>
      <c r="X12" s="159">
        <f>SUM(W12:W12)</f>
        <v>566.48</v>
      </c>
      <c r="Y12" s="159">
        <f>K12+V12-X12</f>
        <v>5708.52</v>
      </c>
      <c r="Z12" s="92"/>
    </row>
    <row r="13" spans="1:26" s="4" customFormat="1" ht="36" customHeight="1" x14ac:dyDescent="0.3">
      <c r="A13" s="176"/>
      <c r="B13" s="176"/>
      <c r="C13" s="176"/>
      <c r="D13" s="176"/>
      <c r="E13" s="176"/>
      <c r="F13" s="176"/>
      <c r="G13" s="176"/>
      <c r="H13" s="176"/>
      <c r="I13" s="182"/>
      <c r="J13" s="182"/>
      <c r="K13" s="182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</row>
    <row r="14" spans="1:26" s="4" customFormat="1" ht="60" customHeight="1" thickBot="1" x14ac:dyDescent="0.35">
      <c r="A14" s="287" t="s">
        <v>44</v>
      </c>
      <c r="B14" s="288"/>
      <c r="C14" s="288"/>
      <c r="D14" s="288"/>
      <c r="E14" s="288"/>
      <c r="F14" s="288"/>
      <c r="G14" s="288"/>
      <c r="H14" s="289"/>
      <c r="I14" s="163">
        <f>SUM(I10:I13)</f>
        <v>33499</v>
      </c>
      <c r="J14" s="163">
        <f>SUM(J10:J13)</f>
        <v>0</v>
      </c>
      <c r="K14" s="163">
        <f>SUM(K10:K13)</f>
        <v>33499</v>
      </c>
      <c r="L14" s="164">
        <f t="shared" ref="L14:U14" si="6">SUM(L10:L13)</f>
        <v>0</v>
      </c>
      <c r="M14" s="164">
        <f t="shared" si="6"/>
        <v>33499</v>
      </c>
      <c r="N14" s="164">
        <f t="shared" si="6"/>
        <v>28545.480000000003</v>
      </c>
      <c r="O14" s="164">
        <f t="shared" si="6"/>
        <v>4953.5200000000004</v>
      </c>
      <c r="P14" s="164">
        <f t="shared" si="6"/>
        <v>0.60880000000000001</v>
      </c>
      <c r="Q14" s="164">
        <f t="shared" si="6"/>
        <v>1042.7815120000002</v>
      </c>
      <c r="R14" s="164">
        <f t="shared" si="6"/>
        <v>3719.4</v>
      </c>
      <c r="S14" s="164">
        <f t="shared" si="6"/>
        <v>4762.1815120000001</v>
      </c>
      <c r="T14" s="164">
        <f t="shared" si="6"/>
        <v>0</v>
      </c>
      <c r="U14" s="164">
        <f t="shared" si="6"/>
        <v>4762.18</v>
      </c>
      <c r="V14" s="163">
        <f>SUM(V10:V13)</f>
        <v>0</v>
      </c>
      <c r="W14" s="163">
        <f>SUM(W10:W13)</f>
        <v>4762.18</v>
      </c>
      <c r="X14" s="163">
        <f>SUM(X10:X13)</f>
        <v>4762.18</v>
      </c>
      <c r="Y14" s="163">
        <f>SUM(Y10:Y12)</f>
        <v>28736.820000000003</v>
      </c>
    </row>
    <row r="15" spans="1:26" ht="35.1" customHeight="1" thickTop="1" x14ac:dyDescent="0.25"/>
    <row r="16" spans="1:26" ht="35.1" customHeight="1" x14ac:dyDescent="0.25"/>
    <row r="19" spans="26:26" x14ac:dyDescent="0.25">
      <c r="Z19" s="44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7" zoomScale="87" zoomScaleNormal="87" workbookViewId="0">
      <selection activeCell="B28" sqref="A28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1" t="s">
        <v>1</v>
      </c>
      <c r="J6" s="303"/>
      <c r="K6" s="24" t="s">
        <v>25</v>
      </c>
      <c r="L6" s="25"/>
      <c r="M6" s="304" t="s">
        <v>8</v>
      </c>
      <c r="N6" s="305"/>
      <c r="O6" s="305"/>
      <c r="P6" s="305"/>
      <c r="Q6" s="305"/>
      <c r="R6" s="306"/>
      <c r="S6" s="24" t="s">
        <v>29</v>
      </c>
      <c r="T6" s="24" t="s">
        <v>9</v>
      </c>
      <c r="U6" s="23" t="s">
        <v>52</v>
      </c>
      <c r="V6" s="307" t="s">
        <v>2</v>
      </c>
      <c r="W6" s="308"/>
      <c r="X6" s="23" t="s">
        <v>0</v>
      </c>
      <c r="Y6" s="34"/>
    </row>
    <row r="7" spans="1:26" ht="33.75" customHeight="1" x14ac:dyDescent="0.25">
      <c r="A7" s="26" t="s">
        <v>20</v>
      </c>
      <c r="B7" s="46" t="s">
        <v>99</v>
      </c>
      <c r="C7" s="46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273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3" t="s">
        <v>59</v>
      </c>
      <c r="E9" s="38" t="s">
        <v>289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4"/>
    </row>
    <row r="10" spans="1:26" ht="93.75" customHeight="1" x14ac:dyDescent="0.35">
      <c r="A10" s="113" t="s">
        <v>82</v>
      </c>
      <c r="B10" s="151" t="s">
        <v>228</v>
      </c>
      <c r="C10" s="152" t="s">
        <v>111</v>
      </c>
      <c r="D10" s="216" t="s">
        <v>212</v>
      </c>
      <c r="E10" s="219">
        <v>44470</v>
      </c>
      <c r="F10" s="153" t="s">
        <v>74</v>
      </c>
      <c r="G10" s="155">
        <v>15</v>
      </c>
      <c r="H10" s="189">
        <f>I10/G10</f>
        <v>590</v>
      </c>
      <c r="I10" s="157">
        <v>8850</v>
      </c>
      <c r="J10" s="159">
        <f t="shared" ref="J10:J18" si="0">SUM(I10:I10)</f>
        <v>8850</v>
      </c>
      <c r="K10" s="160">
        <v>0</v>
      </c>
      <c r="L10" s="160">
        <f>J10+K10</f>
        <v>8850</v>
      </c>
      <c r="M10" s="160">
        <f t="shared" ref="M10:M18" si="1">VLOOKUP(L10,Tarifa1,1)</f>
        <v>7641.91</v>
      </c>
      <c r="N10" s="160">
        <f>L10-M10</f>
        <v>1208.0900000000001</v>
      </c>
      <c r="O10" s="161">
        <f t="shared" ref="O10" si="2">VLOOKUP(L10,Tarifa1,3)</f>
        <v>0.21360000000000001</v>
      </c>
      <c r="P10" s="160">
        <f>N10*O10</f>
        <v>258.04802400000005</v>
      </c>
      <c r="Q10" s="162">
        <f t="shared" ref="Q10:Q18" si="3">VLOOKUP(L10,Tarifa1,2)</f>
        <v>809.25</v>
      </c>
      <c r="R10" s="160">
        <f>P10+Q10</f>
        <v>1067.2980240000002</v>
      </c>
      <c r="S10" s="160">
        <f t="shared" ref="S10" si="4">VLOOKUP(L10,Credito1,2)</f>
        <v>0</v>
      </c>
      <c r="T10" s="160">
        <f>ROUND(R10-S10,2)</f>
        <v>1067.3</v>
      </c>
      <c r="U10" s="159">
        <f t="shared" ref="U10:U18" si="5">-IF(T10&gt;0,0,T10)</f>
        <v>0</v>
      </c>
      <c r="V10" s="159">
        <f t="shared" ref="V10:V18" si="6">IF(I10/15&lt;=SMG,0,IF(T10&lt;0,0,T10))</f>
        <v>1067.3</v>
      </c>
      <c r="W10" s="159">
        <f t="shared" ref="W10:W18" si="7">SUM(V10:V10)</f>
        <v>1067.3</v>
      </c>
      <c r="X10" s="159">
        <f t="shared" ref="X10:X18" si="8">J10+U10-W10</f>
        <v>7782.7</v>
      </c>
      <c r="Y10" s="33"/>
    </row>
    <row r="11" spans="1:26" ht="93.75" customHeight="1" x14ac:dyDescent="0.35">
      <c r="A11" s="113" t="s">
        <v>83</v>
      </c>
      <c r="B11" s="151" t="s">
        <v>210</v>
      </c>
      <c r="C11" s="152" t="s">
        <v>111</v>
      </c>
      <c r="D11" s="216" t="s">
        <v>213</v>
      </c>
      <c r="E11" s="219">
        <v>44470</v>
      </c>
      <c r="F11" s="153" t="s">
        <v>74</v>
      </c>
      <c r="G11" s="155">
        <v>15</v>
      </c>
      <c r="H11" s="189">
        <f t="shared" ref="H11:H18" si="9">I11/G11</f>
        <v>590</v>
      </c>
      <c r="I11" s="157">
        <v>8850</v>
      </c>
      <c r="J11" s="159">
        <f t="shared" si="0"/>
        <v>8850</v>
      </c>
      <c r="K11" s="160">
        <v>0</v>
      </c>
      <c r="L11" s="160">
        <f t="shared" ref="L11:L18" si="10">J11+K11</f>
        <v>8850</v>
      </c>
      <c r="M11" s="160">
        <f t="shared" si="1"/>
        <v>7641.91</v>
      </c>
      <c r="N11" s="160">
        <f t="shared" ref="N11" si="11">L11-M11</f>
        <v>1208.0900000000001</v>
      </c>
      <c r="O11" s="161">
        <f t="shared" ref="O11" si="12">VLOOKUP(L11,Tarifa1,3)</f>
        <v>0.21360000000000001</v>
      </c>
      <c r="P11" s="160">
        <f t="shared" ref="P11" si="13">N11*O11</f>
        <v>258.04802400000005</v>
      </c>
      <c r="Q11" s="162">
        <f t="shared" si="3"/>
        <v>809.25</v>
      </c>
      <c r="R11" s="160">
        <f t="shared" ref="R11:R18" si="14">P11+Q11</f>
        <v>1067.2980240000002</v>
      </c>
      <c r="S11" s="160">
        <f t="shared" ref="S11:S18" si="15">VLOOKUP(L11,Credito1,2)</f>
        <v>0</v>
      </c>
      <c r="T11" s="160">
        <f t="shared" ref="T11:T18" si="16">ROUND(R11-S11,2)</f>
        <v>1067.3</v>
      </c>
      <c r="U11" s="159">
        <f t="shared" si="5"/>
        <v>0</v>
      </c>
      <c r="V11" s="159">
        <f t="shared" si="6"/>
        <v>1067.3</v>
      </c>
      <c r="W11" s="159">
        <f t="shared" si="7"/>
        <v>1067.3</v>
      </c>
      <c r="X11" s="159">
        <f t="shared" si="8"/>
        <v>7782.7</v>
      </c>
      <c r="Y11" s="33"/>
    </row>
    <row r="12" spans="1:26" ht="93.75" customHeight="1" x14ac:dyDescent="0.35">
      <c r="A12" s="113" t="s">
        <v>84</v>
      </c>
      <c r="B12" s="151" t="s">
        <v>211</v>
      </c>
      <c r="C12" s="152" t="s">
        <v>111</v>
      </c>
      <c r="D12" s="216" t="s">
        <v>214</v>
      </c>
      <c r="E12" s="219">
        <v>44470</v>
      </c>
      <c r="F12" s="153" t="s">
        <v>74</v>
      </c>
      <c r="G12" s="155">
        <v>15</v>
      </c>
      <c r="H12" s="189">
        <f t="shared" si="9"/>
        <v>590</v>
      </c>
      <c r="I12" s="157">
        <v>8850</v>
      </c>
      <c r="J12" s="159">
        <f t="shared" si="0"/>
        <v>8850</v>
      </c>
      <c r="K12" s="160">
        <v>0</v>
      </c>
      <c r="L12" s="160">
        <f t="shared" si="10"/>
        <v>8850</v>
      </c>
      <c r="M12" s="160">
        <f t="shared" si="1"/>
        <v>7641.91</v>
      </c>
      <c r="N12" s="160">
        <f t="shared" ref="N12:N18" si="17">L12-M12</f>
        <v>1208.0900000000001</v>
      </c>
      <c r="O12" s="161">
        <f t="shared" ref="O12:O18" si="18">VLOOKUP(L12,Tarifa1,3)</f>
        <v>0.21360000000000001</v>
      </c>
      <c r="P12" s="160">
        <f t="shared" ref="P12:P18" si="19">N12*O12</f>
        <v>258.04802400000005</v>
      </c>
      <c r="Q12" s="162">
        <f t="shared" si="3"/>
        <v>809.25</v>
      </c>
      <c r="R12" s="160">
        <f t="shared" si="14"/>
        <v>1067.2980240000002</v>
      </c>
      <c r="S12" s="160">
        <f t="shared" si="15"/>
        <v>0</v>
      </c>
      <c r="T12" s="160">
        <f t="shared" si="16"/>
        <v>1067.3</v>
      </c>
      <c r="U12" s="159">
        <f t="shared" si="5"/>
        <v>0</v>
      </c>
      <c r="V12" s="159">
        <f t="shared" si="6"/>
        <v>1067.3</v>
      </c>
      <c r="W12" s="159">
        <f t="shared" si="7"/>
        <v>1067.3</v>
      </c>
      <c r="X12" s="159">
        <f t="shared" si="8"/>
        <v>7782.7</v>
      </c>
      <c r="Y12" s="33"/>
    </row>
    <row r="13" spans="1:26" ht="93.75" customHeight="1" x14ac:dyDescent="0.35">
      <c r="A13" s="113" t="s">
        <v>85</v>
      </c>
      <c r="B13" s="151" t="s">
        <v>229</v>
      </c>
      <c r="C13" s="152" t="s">
        <v>111</v>
      </c>
      <c r="D13" s="217" t="s">
        <v>215</v>
      </c>
      <c r="E13" s="219">
        <v>44470</v>
      </c>
      <c r="F13" s="153" t="s">
        <v>74</v>
      </c>
      <c r="G13" s="155">
        <v>10</v>
      </c>
      <c r="H13" s="189">
        <f t="shared" si="9"/>
        <v>885</v>
      </c>
      <c r="I13" s="157">
        <v>8850</v>
      </c>
      <c r="J13" s="159">
        <f t="shared" ref="J13" si="20">SUM(I13:I13)</f>
        <v>8850</v>
      </c>
      <c r="K13" s="160">
        <v>0</v>
      </c>
      <c r="L13" s="160">
        <f t="shared" ref="L13" si="21">J13+K13</f>
        <v>8850</v>
      </c>
      <c r="M13" s="160">
        <f t="shared" si="1"/>
        <v>7641.91</v>
      </c>
      <c r="N13" s="160">
        <f t="shared" si="17"/>
        <v>1208.0900000000001</v>
      </c>
      <c r="O13" s="161">
        <f t="shared" si="18"/>
        <v>0.21360000000000001</v>
      </c>
      <c r="P13" s="160">
        <f t="shared" si="19"/>
        <v>258.04802400000005</v>
      </c>
      <c r="Q13" s="162">
        <f t="shared" si="3"/>
        <v>809.25</v>
      </c>
      <c r="R13" s="160">
        <f t="shared" ref="R13" si="22">P13+Q13</f>
        <v>1067.2980240000002</v>
      </c>
      <c r="S13" s="160">
        <f t="shared" ref="S13" si="23">VLOOKUP(L13,Credito1,2)</f>
        <v>0</v>
      </c>
      <c r="T13" s="160">
        <f t="shared" ref="T13" si="24">ROUND(R13-S13,2)</f>
        <v>1067.3</v>
      </c>
      <c r="U13" s="159">
        <f t="shared" si="5"/>
        <v>0</v>
      </c>
      <c r="V13" s="159">
        <f t="shared" si="6"/>
        <v>1067.3</v>
      </c>
      <c r="W13" s="159">
        <f t="shared" si="7"/>
        <v>1067.3</v>
      </c>
      <c r="X13" s="159">
        <f t="shared" si="8"/>
        <v>7782.7</v>
      </c>
      <c r="Y13" s="33"/>
    </row>
    <row r="14" spans="1:26" ht="93.75" customHeight="1" x14ac:dyDescent="0.35">
      <c r="A14" s="113" t="s">
        <v>86</v>
      </c>
      <c r="B14" s="151" t="s">
        <v>230</v>
      </c>
      <c r="C14" s="152" t="s">
        <v>111</v>
      </c>
      <c r="D14" s="218" t="s">
        <v>216</v>
      </c>
      <c r="E14" s="219">
        <v>44470</v>
      </c>
      <c r="F14" s="166" t="s">
        <v>74</v>
      </c>
      <c r="G14" s="167">
        <v>15</v>
      </c>
      <c r="H14" s="190">
        <f t="shared" si="9"/>
        <v>590</v>
      </c>
      <c r="I14" s="157">
        <v>8850</v>
      </c>
      <c r="J14" s="159">
        <f t="shared" ref="J14" si="25">SUM(I14:I14)</f>
        <v>8850</v>
      </c>
      <c r="K14" s="160">
        <v>0</v>
      </c>
      <c r="L14" s="160">
        <f t="shared" si="10"/>
        <v>8850</v>
      </c>
      <c r="M14" s="160">
        <f t="shared" si="1"/>
        <v>7641.91</v>
      </c>
      <c r="N14" s="160">
        <f t="shared" si="17"/>
        <v>1208.0900000000001</v>
      </c>
      <c r="O14" s="161">
        <f t="shared" si="18"/>
        <v>0.21360000000000001</v>
      </c>
      <c r="P14" s="160">
        <f t="shared" si="19"/>
        <v>258.04802400000005</v>
      </c>
      <c r="Q14" s="162">
        <f t="shared" si="3"/>
        <v>809.25</v>
      </c>
      <c r="R14" s="160">
        <f t="shared" si="14"/>
        <v>1067.2980240000002</v>
      </c>
      <c r="S14" s="160">
        <f t="shared" si="15"/>
        <v>0</v>
      </c>
      <c r="T14" s="160">
        <f t="shared" si="16"/>
        <v>1067.3</v>
      </c>
      <c r="U14" s="159">
        <f t="shared" ref="U14" si="26">-IF(T14&gt;0,0,T14)</f>
        <v>0</v>
      </c>
      <c r="V14" s="159">
        <f t="shared" si="6"/>
        <v>1067.3</v>
      </c>
      <c r="W14" s="159">
        <f t="shared" si="7"/>
        <v>1067.3</v>
      </c>
      <c r="X14" s="159">
        <f t="shared" si="8"/>
        <v>7782.7</v>
      </c>
      <c r="Y14" s="33"/>
    </row>
    <row r="15" spans="1:26" ht="93.75" customHeight="1" x14ac:dyDescent="0.35">
      <c r="A15" s="113" t="s">
        <v>87</v>
      </c>
      <c r="B15" s="151" t="s">
        <v>231</v>
      </c>
      <c r="C15" s="152" t="s">
        <v>111</v>
      </c>
      <c r="D15" s="216" t="s">
        <v>217</v>
      </c>
      <c r="E15" s="219">
        <v>44470</v>
      </c>
      <c r="F15" s="153" t="s">
        <v>74</v>
      </c>
      <c r="G15" s="155">
        <v>15</v>
      </c>
      <c r="H15" s="189">
        <f t="shared" si="9"/>
        <v>590</v>
      </c>
      <c r="I15" s="157">
        <v>8850</v>
      </c>
      <c r="J15" s="159">
        <f t="shared" si="0"/>
        <v>8850</v>
      </c>
      <c r="K15" s="160">
        <v>0</v>
      </c>
      <c r="L15" s="160">
        <f t="shared" si="10"/>
        <v>8850</v>
      </c>
      <c r="M15" s="160">
        <f t="shared" si="1"/>
        <v>7641.91</v>
      </c>
      <c r="N15" s="160">
        <f t="shared" si="17"/>
        <v>1208.0900000000001</v>
      </c>
      <c r="O15" s="161">
        <f t="shared" si="18"/>
        <v>0.21360000000000001</v>
      </c>
      <c r="P15" s="160">
        <f t="shared" si="19"/>
        <v>258.04802400000005</v>
      </c>
      <c r="Q15" s="162">
        <f t="shared" si="3"/>
        <v>809.25</v>
      </c>
      <c r="R15" s="160">
        <f t="shared" si="14"/>
        <v>1067.2980240000002</v>
      </c>
      <c r="S15" s="160">
        <f t="shared" si="15"/>
        <v>0</v>
      </c>
      <c r="T15" s="160">
        <f t="shared" si="16"/>
        <v>1067.3</v>
      </c>
      <c r="U15" s="159">
        <f t="shared" si="5"/>
        <v>0</v>
      </c>
      <c r="V15" s="159">
        <f t="shared" si="6"/>
        <v>1067.3</v>
      </c>
      <c r="W15" s="159">
        <f t="shared" si="7"/>
        <v>1067.3</v>
      </c>
      <c r="X15" s="159">
        <f t="shared" si="8"/>
        <v>7782.7</v>
      </c>
      <c r="Y15" s="33"/>
    </row>
    <row r="16" spans="1:26" ht="93.75" customHeight="1" x14ac:dyDescent="0.35">
      <c r="A16" s="113" t="s">
        <v>88</v>
      </c>
      <c r="B16" s="151" t="s">
        <v>218</v>
      </c>
      <c r="C16" s="152" t="s">
        <v>111</v>
      </c>
      <c r="D16" s="216" t="s">
        <v>219</v>
      </c>
      <c r="E16" s="219">
        <v>44470</v>
      </c>
      <c r="F16" s="153" t="s">
        <v>74</v>
      </c>
      <c r="G16" s="155">
        <v>15</v>
      </c>
      <c r="H16" s="189">
        <f t="shared" si="9"/>
        <v>590</v>
      </c>
      <c r="I16" s="157">
        <v>8850</v>
      </c>
      <c r="J16" s="159">
        <f t="shared" si="0"/>
        <v>8850</v>
      </c>
      <c r="K16" s="160">
        <v>0</v>
      </c>
      <c r="L16" s="160">
        <f t="shared" si="10"/>
        <v>8850</v>
      </c>
      <c r="M16" s="160">
        <f t="shared" si="1"/>
        <v>7641.91</v>
      </c>
      <c r="N16" s="160">
        <f t="shared" si="17"/>
        <v>1208.0900000000001</v>
      </c>
      <c r="O16" s="161">
        <f t="shared" si="18"/>
        <v>0.21360000000000001</v>
      </c>
      <c r="P16" s="160">
        <f t="shared" si="19"/>
        <v>258.04802400000005</v>
      </c>
      <c r="Q16" s="162">
        <f t="shared" si="3"/>
        <v>809.25</v>
      </c>
      <c r="R16" s="160">
        <f t="shared" si="14"/>
        <v>1067.2980240000002</v>
      </c>
      <c r="S16" s="160">
        <f t="shared" si="15"/>
        <v>0</v>
      </c>
      <c r="T16" s="160">
        <f t="shared" si="16"/>
        <v>1067.3</v>
      </c>
      <c r="U16" s="159">
        <f t="shared" si="5"/>
        <v>0</v>
      </c>
      <c r="V16" s="159">
        <f t="shared" si="6"/>
        <v>1067.3</v>
      </c>
      <c r="W16" s="159">
        <f t="shared" si="7"/>
        <v>1067.3</v>
      </c>
      <c r="X16" s="159">
        <f t="shared" si="8"/>
        <v>7782.7</v>
      </c>
      <c r="Y16" s="33"/>
    </row>
    <row r="17" spans="1:25" ht="93.75" customHeight="1" x14ac:dyDescent="0.35">
      <c r="A17" s="113" t="s">
        <v>89</v>
      </c>
      <c r="B17" s="151" t="s">
        <v>232</v>
      </c>
      <c r="C17" s="152" t="s">
        <v>111</v>
      </c>
      <c r="D17" s="216" t="s">
        <v>220</v>
      </c>
      <c r="E17" s="219">
        <v>44470</v>
      </c>
      <c r="F17" s="153" t="s">
        <v>74</v>
      </c>
      <c r="G17" s="155">
        <v>15</v>
      </c>
      <c r="H17" s="189">
        <f t="shared" si="9"/>
        <v>590</v>
      </c>
      <c r="I17" s="157">
        <v>8850</v>
      </c>
      <c r="J17" s="159">
        <f t="shared" si="0"/>
        <v>8850</v>
      </c>
      <c r="K17" s="160">
        <v>0</v>
      </c>
      <c r="L17" s="160">
        <f t="shared" si="10"/>
        <v>8850</v>
      </c>
      <c r="M17" s="160">
        <f t="shared" si="1"/>
        <v>7641.91</v>
      </c>
      <c r="N17" s="160">
        <f t="shared" si="17"/>
        <v>1208.0900000000001</v>
      </c>
      <c r="O17" s="161">
        <f t="shared" si="18"/>
        <v>0.21360000000000001</v>
      </c>
      <c r="P17" s="160">
        <f t="shared" si="19"/>
        <v>258.04802400000005</v>
      </c>
      <c r="Q17" s="162">
        <f t="shared" si="3"/>
        <v>809.25</v>
      </c>
      <c r="R17" s="160">
        <f t="shared" si="14"/>
        <v>1067.2980240000002</v>
      </c>
      <c r="S17" s="160">
        <f t="shared" si="15"/>
        <v>0</v>
      </c>
      <c r="T17" s="160">
        <f t="shared" si="16"/>
        <v>1067.3</v>
      </c>
      <c r="U17" s="159">
        <f t="shared" si="5"/>
        <v>0</v>
      </c>
      <c r="V17" s="159">
        <f t="shared" si="6"/>
        <v>1067.3</v>
      </c>
      <c r="W17" s="159">
        <f t="shared" si="7"/>
        <v>1067.3</v>
      </c>
      <c r="X17" s="159">
        <f t="shared" si="8"/>
        <v>7782.7</v>
      </c>
      <c r="Y17" s="33"/>
    </row>
    <row r="18" spans="1:25" ht="93.75" customHeight="1" x14ac:dyDescent="0.35">
      <c r="A18" s="113" t="s">
        <v>90</v>
      </c>
      <c r="B18" s="151" t="s">
        <v>233</v>
      </c>
      <c r="C18" s="152" t="s">
        <v>111</v>
      </c>
      <c r="D18" s="216" t="s">
        <v>238</v>
      </c>
      <c r="E18" s="219">
        <v>44470</v>
      </c>
      <c r="F18" s="153" t="s">
        <v>74</v>
      </c>
      <c r="G18" s="155">
        <v>15</v>
      </c>
      <c r="H18" s="189">
        <f t="shared" si="9"/>
        <v>590</v>
      </c>
      <c r="I18" s="157">
        <v>8850</v>
      </c>
      <c r="J18" s="159">
        <f t="shared" si="0"/>
        <v>8850</v>
      </c>
      <c r="K18" s="160">
        <v>0</v>
      </c>
      <c r="L18" s="160">
        <f t="shared" si="10"/>
        <v>8850</v>
      </c>
      <c r="M18" s="160">
        <f t="shared" si="1"/>
        <v>7641.91</v>
      </c>
      <c r="N18" s="160">
        <f t="shared" si="17"/>
        <v>1208.0900000000001</v>
      </c>
      <c r="O18" s="161">
        <f t="shared" si="18"/>
        <v>0.21360000000000001</v>
      </c>
      <c r="P18" s="160">
        <f t="shared" si="19"/>
        <v>258.04802400000005</v>
      </c>
      <c r="Q18" s="162">
        <f t="shared" si="3"/>
        <v>809.25</v>
      </c>
      <c r="R18" s="160">
        <f t="shared" si="14"/>
        <v>1067.2980240000002</v>
      </c>
      <c r="S18" s="160">
        <f t="shared" si="15"/>
        <v>0</v>
      </c>
      <c r="T18" s="160">
        <f t="shared" si="16"/>
        <v>1067.3</v>
      </c>
      <c r="U18" s="159">
        <f t="shared" si="5"/>
        <v>0</v>
      </c>
      <c r="V18" s="159">
        <f t="shared" si="6"/>
        <v>1067.3</v>
      </c>
      <c r="W18" s="159">
        <f t="shared" si="7"/>
        <v>1067.3</v>
      </c>
      <c r="X18" s="159">
        <f t="shared" si="8"/>
        <v>7782.7</v>
      </c>
      <c r="Y18" s="33"/>
    </row>
    <row r="19" spans="1:25" ht="21.75" customHeight="1" x14ac:dyDescent="0.3">
      <c r="A19" s="176"/>
      <c r="B19" s="176"/>
      <c r="C19" s="176"/>
      <c r="D19" s="176"/>
      <c r="E19" s="176"/>
      <c r="F19" s="176"/>
      <c r="G19" s="176"/>
      <c r="H19" s="176"/>
      <c r="I19" s="182"/>
      <c r="J19" s="182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</row>
    <row r="20" spans="1:25" ht="40.5" customHeight="1" thickBot="1" x14ac:dyDescent="0.35">
      <c r="A20" s="287" t="s">
        <v>44</v>
      </c>
      <c r="B20" s="288"/>
      <c r="C20" s="288"/>
      <c r="D20" s="288"/>
      <c r="E20" s="288"/>
      <c r="F20" s="288"/>
      <c r="G20" s="288"/>
      <c r="H20" s="289"/>
      <c r="I20" s="163">
        <f>SUM(I10:I19)</f>
        <v>79650</v>
      </c>
      <c r="J20" s="163">
        <f>SUM(J10:J19)</f>
        <v>79650</v>
      </c>
      <c r="K20" s="164">
        <f t="shared" ref="K20:T20" si="27">SUM(K10:K19)</f>
        <v>0</v>
      </c>
      <c r="L20" s="164">
        <f t="shared" si="27"/>
        <v>79650</v>
      </c>
      <c r="M20" s="164">
        <f t="shared" si="27"/>
        <v>68777.190000000017</v>
      </c>
      <c r="N20" s="164">
        <f t="shared" si="27"/>
        <v>10872.810000000001</v>
      </c>
      <c r="O20" s="164">
        <f t="shared" si="27"/>
        <v>1.9224000000000001</v>
      </c>
      <c r="P20" s="164">
        <f t="shared" si="27"/>
        <v>2322.4322160000011</v>
      </c>
      <c r="Q20" s="164">
        <f t="shared" si="27"/>
        <v>7283.25</v>
      </c>
      <c r="R20" s="164">
        <f t="shared" si="27"/>
        <v>9605.6822159999992</v>
      </c>
      <c r="S20" s="164">
        <f t="shared" si="27"/>
        <v>0</v>
      </c>
      <c r="T20" s="164">
        <f t="shared" si="27"/>
        <v>9605.6999999999989</v>
      </c>
      <c r="U20" s="163">
        <f>SUM(U10:U19)</f>
        <v>0</v>
      </c>
      <c r="V20" s="163">
        <f>SUM(V10:V19)</f>
        <v>9605.6999999999989</v>
      </c>
      <c r="W20" s="163">
        <f>SUM(W10:W19)</f>
        <v>9605.6999999999989</v>
      </c>
      <c r="X20" s="163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4" workbookViewId="0">
      <selection activeCell="A22" sqref="A22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0" t="s">
        <v>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ht="17.399999999999999" x14ac:dyDescent="0.3">
      <c r="A2" s="300" t="s">
        <v>63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</row>
    <row r="3" spans="1:26" ht="19.8" x14ac:dyDescent="0.3">
      <c r="A3" s="291" t="s">
        <v>351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1" t="s">
        <v>1</v>
      </c>
      <c r="I7" s="302"/>
      <c r="J7" s="303"/>
      <c r="K7" s="24" t="s">
        <v>25</v>
      </c>
      <c r="L7" s="25"/>
      <c r="M7" s="304" t="s">
        <v>8</v>
      </c>
      <c r="N7" s="305"/>
      <c r="O7" s="305"/>
      <c r="P7" s="305"/>
      <c r="Q7" s="305"/>
      <c r="R7" s="306"/>
      <c r="S7" s="24" t="s">
        <v>29</v>
      </c>
      <c r="T7" s="24" t="s">
        <v>9</v>
      </c>
      <c r="U7" s="23" t="s">
        <v>52</v>
      </c>
      <c r="V7" s="307" t="s">
        <v>2</v>
      </c>
      <c r="W7" s="308"/>
      <c r="X7" s="23" t="s">
        <v>0</v>
      </c>
      <c r="Y7" s="34"/>
    </row>
    <row r="8" spans="1:26" ht="21" x14ac:dyDescent="0.25">
      <c r="A8" s="46" t="s">
        <v>99</v>
      </c>
      <c r="B8" s="46" t="s">
        <v>112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273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3" t="s">
        <v>73</v>
      </c>
      <c r="D10" s="274" t="s">
        <v>289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4"/>
    </row>
    <row r="11" spans="1:26" ht="139.5" customHeight="1" x14ac:dyDescent="0.35">
      <c r="A11" s="151" t="s">
        <v>198</v>
      </c>
      <c r="B11" s="152" t="s">
        <v>111</v>
      </c>
      <c r="C11" s="216" t="s">
        <v>199</v>
      </c>
      <c r="D11" s="219">
        <v>43374</v>
      </c>
      <c r="E11" s="154" t="s">
        <v>246</v>
      </c>
      <c r="F11" s="155">
        <v>15</v>
      </c>
      <c r="G11" s="156">
        <f>H11/F11</f>
        <v>990.6</v>
      </c>
      <c r="H11" s="157">
        <v>14859</v>
      </c>
      <c r="I11" s="158">
        <v>0</v>
      </c>
      <c r="J11" s="159">
        <f>SUM(H11:I11)</f>
        <v>14859</v>
      </c>
      <c r="K11" s="160">
        <f>I11/2</f>
        <v>0</v>
      </c>
      <c r="L11" s="160">
        <f>H11+K11</f>
        <v>14859</v>
      </c>
      <c r="M11" s="160">
        <f>VLOOKUP(L11,Tarifa1,1)</f>
        <v>7641.91</v>
      </c>
      <c r="N11" s="160">
        <f>L11-M11</f>
        <v>7217.09</v>
      </c>
      <c r="O11" s="161">
        <f t="shared" ref="O11" si="0">VLOOKUP(L11,Tarifa1,3)</f>
        <v>0.21360000000000001</v>
      </c>
      <c r="P11" s="160">
        <f>N11*O11</f>
        <v>1541.5704240000002</v>
      </c>
      <c r="Q11" s="162">
        <f>VLOOKUP(L11,Tarifa1,2)</f>
        <v>809.25</v>
      </c>
      <c r="R11" s="160">
        <f>P11+Q11</f>
        <v>2350.8204240000005</v>
      </c>
      <c r="S11" s="160">
        <f t="shared" ref="S11" si="1">VLOOKUP(L11,Credito1,2)</f>
        <v>0</v>
      </c>
      <c r="T11" s="160">
        <f>ROUND(R11-S11,2)</f>
        <v>2350.8200000000002</v>
      </c>
      <c r="U11" s="159">
        <f t="shared" ref="U11" si="2">-IF(T11&gt;0,0,T11)</f>
        <v>0</v>
      </c>
      <c r="V11" s="159">
        <f>IF(H11/15&lt;=SMG,0,IF(T11&lt;0,0,T11))</f>
        <v>2350.8200000000002</v>
      </c>
      <c r="W11" s="159">
        <f>SUM(V11:V11)</f>
        <v>2350.8200000000002</v>
      </c>
      <c r="X11" s="159">
        <f>J11+U11-W11</f>
        <v>12508.18</v>
      </c>
      <c r="Y11" s="95"/>
    </row>
    <row r="12" spans="1:26" ht="17.399999999999999" x14ac:dyDescent="0.3">
      <c r="A12" s="176"/>
      <c r="B12" s="176"/>
      <c r="C12" s="176"/>
      <c r="D12" s="176"/>
      <c r="E12" s="176"/>
      <c r="F12" s="177"/>
      <c r="G12" s="176"/>
      <c r="H12" s="178"/>
      <c r="I12" s="178"/>
      <c r="J12" s="178"/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</row>
    <row r="13" spans="1:26" ht="41.25" customHeight="1" thickBot="1" x14ac:dyDescent="0.35">
      <c r="A13" s="288"/>
      <c r="B13" s="288"/>
      <c r="C13" s="288"/>
      <c r="D13" s="288"/>
      <c r="E13" s="288"/>
      <c r="F13" s="288"/>
      <c r="G13" s="289"/>
      <c r="H13" s="163">
        <f t="shared" ref="H13:X13" si="3">SUM(H11:H12)</f>
        <v>14859</v>
      </c>
      <c r="I13" s="163">
        <f t="shared" si="3"/>
        <v>0</v>
      </c>
      <c r="J13" s="163">
        <f t="shared" si="3"/>
        <v>14859</v>
      </c>
      <c r="K13" s="164">
        <f t="shared" si="3"/>
        <v>0</v>
      </c>
      <c r="L13" s="164">
        <f t="shared" si="3"/>
        <v>14859</v>
      </c>
      <c r="M13" s="164">
        <f t="shared" si="3"/>
        <v>7641.91</v>
      </c>
      <c r="N13" s="164">
        <f t="shared" si="3"/>
        <v>7217.09</v>
      </c>
      <c r="O13" s="164">
        <f t="shared" si="3"/>
        <v>0.21360000000000001</v>
      </c>
      <c r="P13" s="164">
        <f t="shared" si="3"/>
        <v>1541.5704240000002</v>
      </c>
      <c r="Q13" s="164">
        <f t="shared" si="3"/>
        <v>809.25</v>
      </c>
      <c r="R13" s="164">
        <f t="shared" si="3"/>
        <v>2350.8204240000005</v>
      </c>
      <c r="S13" s="164">
        <f t="shared" si="3"/>
        <v>0</v>
      </c>
      <c r="T13" s="164">
        <f t="shared" si="3"/>
        <v>2350.8200000000002</v>
      </c>
      <c r="U13" s="163">
        <f t="shared" si="3"/>
        <v>0</v>
      </c>
      <c r="V13" s="163">
        <f t="shared" si="3"/>
        <v>2350.8200000000002</v>
      </c>
      <c r="W13" s="163">
        <f t="shared" si="3"/>
        <v>2350.8200000000002</v>
      </c>
      <c r="X13" s="163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2023-12-01T19:43:02Z</cp:lastPrinted>
  <dcterms:created xsi:type="dcterms:W3CDTF">2000-05-05T04:08:27Z</dcterms:created>
  <dcterms:modified xsi:type="dcterms:W3CDTF">2024-11-15T17:50:42Z</dcterms:modified>
</cp:coreProperties>
</file>