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33" l="1"/>
  <c r="M18" i="133" s="1"/>
  <c r="K18" i="133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4" i="132"/>
  <c r="M14" i="132" s="1"/>
  <c r="K14" i="132"/>
  <c r="L10" i="132"/>
  <c r="M10" i="132" s="1"/>
  <c r="K10" i="132"/>
  <c r="L12" i="132"/>
  <c r="M12" i="132" s="1"/>
  <c r="K12" i="132"/>
  <c r="J9" i="135"/>
  <c r="K9" i="135" s="1"/>
  <c r="I9" i="135"/>
  <c r="T18" i="133" l="1"/>
  <c r="P18" i="133"/>
  <c r="R18" i="133"/>
  <c r="N18" i="133"/>
  <c r="O18" i="133" s="1"/>
  <c r="Q18" i="133" s="1"/>
  <c r="S18" i="133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Q11" i="121" s="1"/>
  <c r="S11" i="121" s="1"/>
  <c r="T16" i="123"/>
  <c r="P16" i="123"/>
  <c r="N16" i="123"/>
  <c r="O16" i="123" s="1"/>
  <c r="R16" i="123"/>
  <c r="R14" i="132"/>
  <c r="N14" i="132"/>
  <c r="O14" i="132" s="1"/>
  <c r="T14" i="132"/>
  <c r="P14" i="132"/>
  <c r="T10" i="132"/>
  <c r="P10" i="132"/>
  <c r="R10" i="132"/>
  <c r="N10" i="132"/>
  <c r="O10" i="132" s="1"/>
  <c r="P12" i="132"/>
  <c r="R12" i="132"/>
  <c r="N12" i="132"/>
  <c r="O12" i="132" s="1"/>
  <c r="Q12" i="132" s="1"/>
  <c r="S12" i="132" s="1"/>
  <c r="U12" i="132" s="1"/>
  <c r="T12" i="132"/>
  <c r="R9" i="135"/>
  <c r="N9" i="135"/>
  <c r="P9" i="135"/>
  <c r="L9" i="135"/>
  <c r="M9" i="135" s="1"/>
  <c r="O9" i="135" s="1"/>
  <c r="Q9" i="135" l="1"/>
  <c r="S9" i="135" s="1"/>
  <c r="U9" i="135" s="1"/>
  <c r="W9" i="135" s="1"/>
  <c r="Q14" i="132"/>
  <c r="S14" i="132" s="1"/>
  <c r="U14" i="132" s="1"/>
  <c r="W14" i="132" s="1"/>
  <c r="Y14" i="132" s="1"/>
  <c r="Q10" i="132"/>
  <c r="S10" i="132" s="1"/>
  <c r="U10" i="132" s="1"/>
  <c r="Q9" i="121"/>
  <c r="U11" i="121"/>
  <c r="V11" i="121" s="1"/>
  <c r="S9" i="121"/>
  <c r="U9" i="121" s="1"/>
  <c r="W9" i="121" s="1"/>
  <c r="Y9" i="121" s="1"/>
  <c r="Q10" i="121"/>
  <c r="S10" i="121" s="1"/>
  <c r="U10" i="121" s="1"/>
  <c r="V10" i="121" s="1"/>
  <c r="U18" i="133"/>
  <c r="V9" i="121"/>
  <c r="W11" i="121"/>
  <c r="Y11" i="121" s="1"/>
  <c r="Q16" i="123"/>
  <c r="S16" i="123" s="1"/>
  <c r="U16" i="123" s="1"/>
  <c r="V16" i="123" s="1"/>
  <c r="W10" i="132"/>
  <c r="Y10" i="132" s="1"/>
  <c r="V10" i="132"/>
  <c r="V12" i="132"/>
  <c r="W12" i="132"/>
  <c r="Y12" i="132" s="1"/>
  <c r="T9" i="135" l="1"/>
  <c r="X9" i="135" s="1"/>
  <c r="V14" i="132"/>
  <c r="Z14" i="132" s="1"/>
  <c r="W10" i="121"/>
  <c r="Y10" i="121" s="1"/>
  <c r="Z9" i="121"/>
  <c r="W18" i="133"/>
  <c r="Y18" i="133" s="1"/>
  <c r="V18" i="133"/>
  <c r="Z10" i="121"/>
  <c r="Z11" i="121"/>
  <c r="W16" i="123"/>
  <c r="Y16" i="123" s="1"/>
  <c r="Z16" i="123" s="1"/>
  <c r="Z10" i="132"/>
  <c r="Z12" i="132"/>
  <c r="Z18" i="133" l="1"/>
  <c r="J21" i="135"/>
  <c r="K21" i="135" s="1"/>
  <c r="I21" i="135"/>
  <c r="L21" i="135" l="1"/>
  <c r="M21" i="135" s="1"/>
  <c r="R21" i="135"/>
  <c r="N21" i="135"/>
  <c r="P21" i="135"/>
  <c r="J20" i="135"/>
  <c r="K20" i="135" s="1"/>
  <c r="I20" i="135"/>
  <c r="J19" i="135"/>
  <c r="K19" i="135" s="1"/>
  <c r="I19" i="135"/>
  <c r="J18" i="135"/>
  <c r="K18" i="135" s="1"/>
  <c r="I18" i="135"/>
  <c r="J17" i="135"/>
  <c r="K17" i="135" s="1"/>
  <c r="I17" i="135"/>
  <c r="J16" i="135"/>
  <c r="K16" i="135" s="1"/>
  <c r="I16" i="135"/>
  <c r="X26" i="121"/>
  <c r="J26" i="121"/>
  <c r="I26" i="121"/>
  <c r="L28" i="121"/>
  <c r="M28" i="121" s="1"/>
  <c r="K28" i="121"/>
  <c r="L27" i="121"/>
  <c r="M27" i="121" s="1"/>
  <c r="T27" i="121" s="1"/>
  <c r="K27" i="121"/>
  <c r="K26" i="121" s="1"/>
  <c r="L21" i="120"/>
  <c r="M21" i="120" s="1"/>
  <c r="K21" i="120"/>
  <c r="L13" i="121"/>
  <c r="M13" i="121" s="1"/>
  <c r="K13" i="121"/>
  <c r="L17" i="121"/>
  <c r="M17" i="121" s="1"/>
  <c r="K17" i="121"/>
  <c r="L13" i="132"/>
  <c r="M13" i="132" s="1"/>
  <c r="K13" i="132"/>
  <c r="L15" i="120"/>
  <c r="M15" i="120" s="1"/>
  <c r="K15" i="120"/>
  <c r="L32" i="121"/>
  <c r="M32" i="121" s="1"/>
  <c r="T32" i="121" s="1"/>
  <c r="K32" i="121"/>
  <c r="L31" i="121"/>
  <c r="M31" i="121" s="1"/>
  <c r="K31" i="121"/>
  <c r="L16" i="121"/>
  <c r="M16" i="121" s="1"/>
  <c r="K16" i="121"/>
  <c r="L14" i="120"/>
  <c r="M14" i="120" s="1"/>
  <c r="K14" i="120"/>
  <c r="L26" i="120"/>
  <c r="M26" i="120" s="1"/>
  <c r="K26" i="120"/>
  <c r="L18" i="119"/>
  <c r="M18" i="119" s="1"/>
  <c r="K18" i="119"/>
  <c r="J12" i="135"/>
  <c r="K12" i="135" s="1"/>
  <c r="I12" i="135"/>
  <c r="O21" i="135" l="1"/>
  <c r="Q21" i="135" s="1"/>
  <c r="S21" i="135" s="1"/>
  <c r="U21" i="135" s="1"/>
  <c r="W21" i="135" s="1"/>
  <c r="R20" i="135"/>
  <c r="N20" i="135"/>
  <c r="P20" i="135"/>
  <c r="L20" i="135"/>
  <c r="M20" i="135" s="1"/>
  <c r="P19" i="135"/>
  <c r="L19" i="135"/>
  <c r="M19" i="135" s="1"/>
  <c r="R19" i="135"/>
  <c r="N19" i="135"/>
  <c r="R18" i="135"/>
  <c r="N18" i="135"/>
  <c r="P18" i="135"/>
  <c r="L18" i="135"/>
  <c r="M18" i="135" s="1"/>
  <c r="P17" i="135"/>
  <c r="L17" i="135"/>
  <c r="M17" i="135" s="1"/>
  <c r="R17" i="135"/>
  <c r="N17" i="135"/>
  <c r="R16" i="135"/>
  <c r="N16" i="135"/>
  <c r="P16" i="135"/>
  <c r="L16" i="135"/>
  <c r="M16" i="135" s="1"/>
  <c r="T28" i="121"/>
  <c r="P28" i="121"/>
  <c r="R28" i="121"/>
  <c r="N28" i="121"/>
  <c r="O28" i="121" s="1"/>
  <c r="N27" i="121"/>
  <c r="O27" i="121" s="1"/>
  <c r="R27" i="121"/>
  <c r="P27" i="121"/>
  <c r="T21" i="120"/>
  <c r="P21" i="120"/>
  <c r="R21" i="120"/>
  <c r="N21" i="120"/>
  <c r="O21" i="120" s="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P15" i="120"/>
  <c r="T15" i="120"/>
  <c r="R15" i="120"/>
  <c r="N15" i="120"/>
  <c r="O15" i="120" s="1"/>
  <c r="N32" i="121"/>
  <c r="O32" i="121" s="1"/>
  <c r="R32" i="121"/>
  <c r="P32" i="121"/>
  <c r="N31" i="121"/>
  <c r="O31" i="121" s="1"/>
  <c r="T31" i="121"/>
  <c r="P31" i="121"/>
  <c r="R31" i="121"/>
  <c r="R16" i="121"/>
  <c r="N16" i="121"/>
  <c r="O16" i="121" s="1"/>
  <c r="T16" i="121"/>
  <c r="P16" i="121"/>
  <c r="P14" i="120"/>
  <c r="T14" i="120"/>
  <c r="R14" i="120"/>
  <c r="N14" i="120"/>
  <c r="O14" i="120" s="1"/>
  <c r="T26" i="120"/>
  <c r="P26" i="120"/>
  <c r="R26" i="120"/>
  <c r="N26" i="120"/>
  <c r="O26" i="120" s="1"/>
  <c r="Q26" i="120" s="1"/>
  <c r="S26" i="120" s="1"/>
  <c r="U26" i="120" s="1"/>
  <c r="T18" i="119"/>
  <c r="P18" i="119"/>
  <c r="R18" i="119"/>
  <c r="N18" i="119"/>
  <c r="O18" i="119" s="1"/>
  <c r="R12" i="135"/>
  <c r="N12" i="135"/>
  <c r="P12" i="135"/>
  <c r="L12" i="135"/>
  <c r="M12" i="135" s="1"/>
  <c r="X16" i="119"/>
  <c r="J16" i="119"/>
  <c r="I16" i="119"/>
  <c r="Q21" i="120" l="1"/>
  <c r="S21" i="120" s="1"/>
  <c r="U21" i="120" s="1"/>
  <c r="Q14" i="120"/>
  <c r="S14" i="120" s="1"/>
  <c r="U14" i="120" s="1"/>
  <c r="W14" i="120" s="1"/>
  <c r="Y14" i="120" s="1"/>
  <c r="O20" i="135"/>
  <c r="Q20" i="135" s="1"/>
  <c r="T21" i="135"/>
  <c r="X21" i="135" s="1"/>
  <c r="O16" i="135"/>
  <c r="Q16" i="135" s="1"/>
  <c r="S16" i="135" s="1"/>
  <c r="O18" i="135"/>
  <c r="Q18" i="135" s="1"/>
  <c r="S18" i="135" s="1"/>
  <c r="S20" i="135"/>
  <c r="U20" i="135" s="1"/>
  <c r="W20" i="135" s="1"/>
  <c r="O19" i="135"/>
  <c r="Q19" i="135" s="1"/>
  <c r="S19" i="135" s="1"/>
  <c r="T19" i="135" s="1"/>
  <c r="O17" i="135"/>
  <c r="Q17" i="135" s="1"/>
  <c r="S17" i="135" s="1"/>
  <c r="U17" i="135" s="1"/>
  <c r="W17" i="135" s="1"/>
  <c r="Q28" i="121"/>
  <c r="S28" i="121" s="1"/>
  <c r="U28" i="121" s="1"/>
  <c r="V28" i="121" s="1"/>
  <c r="Q27" i="121"/>
  <c r="S27" i="121" s="1"/>
  <c r="U27" i="121" s="1"/>
  <c r="W27" i="121" s="1"/>
  <c r="Q17" i="121"/>
  <c r="V21" i="120"/>
  <c r="W21" i="120"/>
  <c r="Y21" i="120" s="1"/>
  <c r="Q13" i="121"/>
  <c r="S13" i="121" s="1"/>
  <c r="U13" i="121" s="1"/>
  <c r="V13" i="121" s="1"/>
  <c r="S17" i="121"/>
  <c r="U17" i="121" s="1"/>
  <c r="Q16" i="121"/>
  <c r="S16" i="121" s="1"/>
  <c r="U16" i="121" s="1"/>
  <c r="W16" i="121" s="1"/>
  <c r="Y16" i="121" s="1"/>
  <c r="Q31" i="121"/>
  <c r="S31" i="121" s="1"/>
  <c r="U31" i="121" s="1"/>
  <c r="W31" i="121" s="1"/>
  <c r="Y31" i="121" s="1"/>
  <c r="Q13" i="132"/>
  <c r="S13" i="132" s="1"/>
  <c r="U13" i="132" s="1"/>
  <c r="Q15" i="120"/>
  <c r="S15" i="120" s="1"/>
  <c r="U15" i="120" s="1"/>
  <c r="Q32" i="121"/>
  <c r="S32" i="121" s="1"/>
  <c r="U32" i="121" s="1"/>
  <c r="V16" i="121"/>
  <c r="V14" i="120"/>
  <c r="W26" i="120"/>
  <c r="Y26" i="120" s="1"/>
  <c r="V26" i="120"/>
  <c r="Q18" i="119"/>
  <c r="S18" i="119" s="1"/>
  <c r="U18" i="119" s="1"/>
  <c r="V18" i="119" s="1"/>
  <c r="O12" i="135"/>
  <c r="Q12" i="135" s="1"/>
  <c r="S12" i="135" s="1"/>
  <c r="W28" i="121" l="1"/>
  <c r="Y28" i="121" s="1"/>
  <c r="Z28" i="121" s="1"/>
  <c r="T18" i="135"/>
  <c r="U18" i="135"/>
  <c r="W18" i="135" s="1"/>
  <c r="X18" i="135" s="1"/>
  <c r="U19" i="135"/>
  <c r="W19" i="135" s="1"/>
  <c r="X19" i="135" s="1"/>
  <c r="T20" i="135"/>
  <c r="X20" i="135" s="1"/>
  <c r="T17" i="135"/>
  <c r="X17" i="135" s="1"/>
  <c r="T16" i="135"/>
  <c r="U16" i="135"/>
  <c r="W16" i="135" s="1"/>
  <c r="V31" i="121"/>
  <c r="Z31" i="121" s="1"/>
  <c r="Y27" i="121"/>
  <c r="V27" i="121"/>
  <c r="V26" i="121" s="1"/>
  <c r="Z21" i="120"/>
  <c r="W13" i="121"/>
  <c r="Y13" i="121" s="1"/>
  <c r="Z13" i="121" s="1"/>
  <c r="V17" i="121"/>
  <c r="W17" i="121"/>
  <c r="Y17" i="121" s="1"/>
  <c r="W13" i="132"/>
  <c r="Y13" i="132" s="1"/>
  <c r="V13" i="132"/>
  <c r="V15" i="120"/>
  <c r="W15" i="120"/>
  <c r="Y15" i="120" s="1"/>
  <c r="Z15" i="120" s="1"/>
  <c r="W32" i="121"/>
  <c r="Y32" i="121" s="1"/>
  <c r="V32" i="121"/>
  <c r="Z16" i="121"/>
  <c r="Z14" i="120"/>
  <c r="Z26" i="120"/>
  <c r="W18" i="119"/>
  <c r="Y18" i="119" s="1"/>
  <c r="T12" i="135"/>
  <c r="U12" i="135"/>
  <c r="W12" i="135" s="1"/>
  <c r="Y26" i="121" l="1"/>
  <c r="W26" i="121"/>
  <c r="Z13" i="132"/>
  <c r="X16" i="135"/>
  <c r="Z27" i="121"/>
  <c r="Z26" i="121" s="1"/>
  <c r="Z17" i="121"/>
  <c r="Z32" i="121"/>
  <c r="Z18" i="119"/>
  <c r="X12" i="135"/>
  <c r="L30" i="123" l="1"/>
  <c r="M30" i="123" s="1"/>
  <c r="K30" i="123"/>
  <c r="L16" i="133"/>
  <c r="M16" i="133" s="1"/>
  <c r="K16" i="133"/>
  <c r="L15" i="133"/>
  <c r="M15" i="133" s="1"/>
  <c r="K15" i="133"/>
  <c r="L14" i="133"/>
  <c r="M14" i="133" s="1"/>
  <c r="K14" i="133"/>
  <c r="L13" i="133"/>
  <c r="M13" i="133" s="1"/>
  <c r="K13" i="133"/>
  <c r="L12" i="133"/>
  <c r="M12" i="133" s="1"/>
  <c r="K12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0" i="123" l="1"/>
  <c r="O30" i="123" s="1"/>
  <c r="T30" i="123"/>
  <c r="P30" i="123"/>
  <c r="R30" i="123"/>
  <c r="T16" i="133"/>
  <c r="R16" i="133"/>
  <c r="N16" i="133"/>
  <c r="O16" i="133" s="1"/>
  <c r="P16" i="133"/>
  <c r="Q16" i="133" s="1"/>
  <c r="S16" i="133" s="1"/>
  <c r="R15" i="133"/>
  <c r="T15" i="133"/>
  <c r="P15" i="133"/>
  <c r="N15" i="133"/>
  <c r="O15" i="133" s="1"/>
  <c r="Q15" i="133" s="1"/>
  <c r="S15" i="133" s="1"/>
  <c r="U15" i="133" s="1"/>
  <c r="T14" i="133"/>
  <c r="R14" i="133"/>
  <c r="N14" i="133"/>
  <c r="O14" i="133" s="1"/>
  <c r="P14" i="133"/>
  <c r="P13" i="133"/>
  <c r="R13" i="133"/>
  <c r="N13" i="133"/>
  <c r="O13" i="133" s="1"/>
  <c r="T13" i="133"/>
  <c r="T12" i="133"/>
  <c r="P12" i="133"/>
  <c r="R12" i="133"/>
  <c r="N12" i="133"/>
  <c r="O12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1" i="136" s="1"/>
  <c r="T14" i="123"/>
  <c r="P14" i="123"/>
  <c r="R14" i="123"/>
  <c r="N14" i="123"/>
  <c r="O14" i="123" s="1"/>
  <c r="Q10" i="119" l="1"/>
  <c r="S10" i="119"/>
  <c r="U10" i="119" s="1"/>
  <c r="W10" i="119" s="1"/>
  <c r="Y10" i="119" s="1"/>
  <c r="Q30" i="123"/>
  <c r="S30" i="123"/>
  <c r="U30" i="123" s="1"/>
  <c r="W30" i="123" s="1"/>
  <c r="Q14" i="123"/>
  <c r="S14" i="123" s="1"/>
  <c r="U14" i="123" s="1"/>
  <c r="U16" i="133"/>
  <c r="W16" i="133" s="1"/>
  <c r="Y16" i="133" s="1"/>
  <c r="Q14" i="133"/>
  <c r="S14" i="133" s="1"/>
  <c r="U14" i="133" s="1"/>
  <c r="W15" i="133"/>
  <c r="Y15" i="133" s="1"/>
  <c r="V15" i="133"/>
  <c r="Q13" i="133"/>
  <c r="S13" i="133" s="1"/>
  <c r="U13" i="133" s="1"/>
  <c r="Q12" i="133"/>
  <c r="S12" i="133" s="1"/>
  <c r="U12" i="133" s="1"/>
  <c r="W12" i="133" s="1"/>
  <c r="Y12" i="133" s="1"/>
  <c r="Q10" i="118"/>
  <c r="S10" i="118" s="1"/>
  <c r="U10" i="118" s="1"/>
  <c r="V11" i="136"/>
  <c r="X11" i="136" s="1"/>
  <c r="U11" i="136"/>
  <c r="V16" i="133" l="1"/>
  <c r="Z16" i="133" s="1"/>
  <c r="V30" i="123"/>
  <c r="Y30" i="123"/>
  <c r="Y11" i="136"/>
  <c r="Z15" i="133"/>
  <c r="V14" i="133"/>
  <c r="W14" i="133"/>
  <c r="Y14" i="133" s="1"/>
  <c r="W13" i="133"/>
  <c r="Y13" i="133" s="1"/>
  <c r="V13" i="133"/>
  <c r="V12" i="133"/>
  <c r="Z12" i="133" s="1"/>
  <c r="W10" i="118"/>
  <c r="Y10" i="118" s="1"/>
  <c r="V10" i="118"/>
  <c r="Z10" i="119"/>
  <c r="W14" i="123"/>
  <c r="Y14" i="123" s="1"/>
  <c r="V14" i="123"/>
  <c r="Z30" i="123" l="1"/>
  <c r="Z13" i="133"/>
  <c r="Z14" i="133"/>
  <c r="Z10" i="118"/>
  <c r="Z14" i="123"/>
  <c r="L12" i="123"/>
  <c r="M12" i="123" s="1"/>
  <c r="K12" i="123"/>
  <c r="L32" i="123"/>
  <c r="M32" i="123" s="1"/>
  <c r="K32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15" i="121"/>
  <c r="W20" i="119"/>
  <c r="T12" i="123" l="1"/>
  <c r="P12" i="123"/>
  <c r="R12" i="123"/>
  <c r="N12" i="123"/>
  <c r="O12" i="123" s="1"/>
  <c r="R32" i="123"/>
  <c r="N32" i="123"/>
  <c r="O32" i="123" s="1"/>
  <c r="T32" i="123"/>
  <c r="P32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O10" i="134"/>
  <c r="Q10" i="134" s="1"/>
  <c r="R10" i="134"/>
  <c r="N10" i="134"/>
  <c r="T17" i="119"/>
  <c r="P17" i="119"/>
  <c r="R17" i="119"/>
  <c r="N17" i="119"/>
  <c r="O17" i="119" s="1"/>
  <c r="T15" i="119"/>
  <c r="P15" i="119"/>
  <c r="R15" i="119"/>
  <c r="N15" i="119"/>
  <c r="O15" i="119" s="1"/>
  <c r="L25" i="120"/>
  <c r="M25" i="120" s="1"/>
  <c r="K25" i="120"/>
  <c r="X13" i="134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Y15" i="119" s="1"/>
  <c r="Q9" i="120"/>
  <c r="S9" i="120" s="1"/>
  <c r="U9" i="120" s="1"/>
  <c r="V9" i="120" s="1"/>
  <c r="Q12" i="123"/>
  <c r="S12" i="123" s="1"/>
  <c r="U12" i="123" s="1"/>
  <c r="W12" i="123" s="1"/>
  <c r="Y12" i="123" s="1"/>
  <c r="Q32" i="123"/>
  <c r="S32" i="123" s="1"/>
  <c r="U32" i="123" s="1"/>
  <c r="W32" i="123" s="1"/>
  <c r="Y32" i="123" s="1"/>
  <c r="Q12" i="134"/>
  <c r="S12" i="134" s="1"/>
  <c r="U12" i="134" s="1"/>
  <c r="W12" i="134" s="1"/>
  <c r="Y12" i="134" s="1"/>
  <c r="S10" i="134"/>
  <c r="U10" i="134" s="1"/>
  <c r="Q17" i="119"/>
  <c r="S17" i="119" s="1"/>
  <c r="U17" i="119" s="1"/>
  <c r="W17" i="119" s="1"/>
  <c r="R14" i="134"/>
  <c r="N14" i="134"/>
  <c r="O14" i="134" s="1"/>
  <c r="P14" i="134"/>
  <c r="T14" i="134"/>
  <c r="N25" i="120"/>
  <c r="O25" i="120" s="1"/>
  <c r="T25" i="120"/>
  <c r="R25" i="120"/>
  <c r="P25" i="120"/>
  <c r="L22" i="120"/>
  <c r="M22" i="120" s="1"/>
  <c r="K22" i="120"/>
  <c r="L13" i="120"/>
  <c r="M13" i="120" s="1"/>
  <c r="K13" i="120"/>
  <c r="L11" i="120"/>
  <c r="M11" i="120" s="1"/>
  <c r="K11" i="120"/>
  <c r="Q14" i="134" l="1"/>
  <c r="S14" i="134" s="1"/>
  <c r="U14" i="134" s="1"/>
  <c r="V15" i="119"/>
  <c r="Z15" i="119" s="1"/>
  <c r="Y17" i="119"/>
  <c r="Y16" i="119" s="1"/>
  <c r="W16" i="119"/>
  <c r="V32" i="123"/>
  <c r="Z32" i="123" s="1"/>
  <c r="W9" i="120"/>
  <c r="Y9" i="120" s="1"/>
  <c r="Z9" i="120" s="1"/>
  <c r="V12" i="123"/>
  <c r="Z12" i="123" s="1"/>
  <c r="V12" i="134"/>
  <c r="Z12" i="134" s="1"/>
  <c r="W10" i="134"/>
  <c r="Y10" i="134" s="1"/>
  <c r="V10" i="134"/>
  <c r="V17" i="119"/>
  <c r="R11" i="120"/>
  <c r="P11" i="120"/>
  <c r="N11" i="120"/>
  <c r="O11" i="120" s="1"/>
  <c r="T11" i="120"/>
  <c r="T22" i="120"/>
  <c r="N22" i="120"/>
  <c r="O22" i="120" s="1"/>
  <c r="R22" i="120"/>
  <c r="P22" i="120"/>
  <c r="T13" i="120"/>
  <c r="R13" i="120"/>
  <c r="P13" i="120"/>
  <c r="N13" i="120"/>
  <c r="O13" i="120" s="1"/>
  <c r="Q25" i="120"/>
  <c r="S25" i="120" s="1"/>
  <c r="U25" i="120" s="1"/>
  <c r="Z17" i="119" l="1"/>
  <c r="Z16" i="119" s="1"/>
  <c r="V16" i="119"/>
  <c r="Q11" i="120"/>
  <c r="S11" i="120" s="1"/>
  <c r="U11" i="120" s="1"/>
  <c r="V11" i="120" s="1"/>
  <c r="Q13" i="120"/>
  <c r="S13" i="120" s="1"/>
  <c r="U13" i="120" s="1"/>
  <c r="Z10" i="134"/>
  <c r="V25" i="120"/>
  <c r="W25" i="120"/>
  <c r="Y25" i="120" s="1"/>
  <c r="Q22" i="120"/>
  <c r="S22" i="120" s="1"/>
  <c r="U22" i="120" s="1"/>
  <c r="V14" i="134"/>
  <c r="V13" i="134" s="1"/>
  <c r="W14" i="134"/>
  <c r="W11" i="120" l="1"/>
  <c r="Y11" i="120" s="1"/>
  <c r="Z11" i="120" s="1"/>
  <c r="Z25" i="120"/>
  <c r="V13" i="120"/>
  <c r="W13" i="120"/>
  <c r="Y13" i="120" s="1"/>
  <c r="Y14" i="134"/>
  <c r="W13" i="134"/>
  <c r="W22" i="120"/>
  <c r="Y22" i="120" s="1"/>
  <c r="V22" i="120"/>
  <c r="Z13" i="120" l="1"/>
  <c r="Z22" i="120"/>
  <c r="Y13" i="134"/>
  <c r="Z14" i="134"/>
  <c r="Z13" i="134" s="1"/>
  <c r="L12" i="121"/>
  <c r="M12" i="121" s="1"/>
  <c r="K12" i="121"/>
  <c r="L19" i="121"/>
  <c r="M19" i="121" s="1"/>
  <c r="K19" i="121"/>
  <c r="N12" i="121" l="1"/>
  <c r="O12" i="121" s="1"/>
  <c r="R12" i="121"/>
  <c r="T12" i="121"/>
  <c r="P12" i="121"/>
  <c r="N19" i="121"/>
  <c r="O19" i="121" s="1"/>
  <c r="R19" i="121"/>
  <c r="P19" i="121"/>
  <c r="T19" i="121"/>
  <c r="L10" i="133"/>
  <c r="M10" i="133" s="1"/>
  <c r="K10" i="133"/>
  <c r="X19" i="133"/>
  <c r="J19" i="133"/>
  <c r="I19" i="133"/>
  <c r="J22" i="135"/>
  <c r="K22" i="135" s="1"/>
  <c r="I22" i="135"/>
  <c r="L24" i="120"/>
  <c r="M24" i="120" s="1"/>
  <c r="K24" i="120"/>
  <c r="R24" i="120" l="1"/>
  <c r="P24" i="120"/>
  <c r="T24" i="120"/>
  <c r="N24" i="120"/>
  <c r="O24" i="120" s="1"/>
  <c r="N22" i="135"/>
  <c r="P22" i="135"/>
  <c r="L22" i="135"/>
  <c r="M22" i="135" s="1"/>
  <c r="R22" i="135"/>
  <c r="N10" i="133"/>
  <c r="O10" i="133" s="1"/>
  <c r="T10" i="133"/>
  <c r="R10" i="133"/>
  <c r="P10" i="133"/>
  <c r="Q19" i="121"/>
  <c r="S19" i="121" s="1"/>
  <c r="U19" i="121" s="1"/>
  <c r="Q12" i="121"/>
  <c r="S12" i="121" s="1"/>
  <c r="U12" i="121" s="1"/>
  <c r="O22" i="135" l="1"/>
  <c r="Q22" i="135" s="1"/>
  <c r="S22" i="135" s="1"/>
  <c r="Q24" i="120"/>
  <c r="S24" i="120" s="1"/>
  <c r="U24" i="120" s="1"/>
  <c r="Q10" i="133"/>
  <c r="S10" i="133" s="1"/>
  <c r="U10" i="133" s="1"/>
  <c r="V19" i="121"/>
  <c r="W19" i="121"/>
  <c r="Y19" i="121" s="1"/>
  <c r="W12" i="121"/>
  <c r="Y12" i="121" s="1"/>
  <c r="V12" i="121"/>
  <c r="U22" i="135" l="1"/>
  <c r="W22" i="135" s="1"/>
  <c r="X22" i="135" s="1"/>
  <c r="Z12" i="121"/>
  <c r="Z19" i="121"/>
  <c r="V24" i="120"/>
  <c r="W24" i="120"/>
  <c r="Y24" i="120" s="1"/>
  <c r="W10" i="133"/>
  <c r="Y10" i="133" s="1"/>
  <c r="V10" i="133"/>
  <c r="Z24" i="120" l="1"/>
  <c r="Z10" i="133"/>
  <c r="L36" i="123"/>
  <c r="M36" i="123" s="1"/>
  <c r="K36" i="123"/>
  <c r="L18" i="121"/>
  <c r="M18" i="121" s="1"/>
  <c r="K18" i="12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W36" i="123" s="1"/>
  <c r="Y36" i="123" s="1"/>
  <c r="Q18" i="121"/>
  <c r="S18" i="121" s="1"/>
  <c r="U18" i="121" s="1"/>
  <c r="V36" i="123" l="1"/>
  <c r="Z36" i="123" s="1"/>
  <c r="W18" i="121"/>
  <c r="Y18" i="121" s="1"/>
  <c r="V18" i="121"/>
  <c r="L10" i="123"/>
  <c r="M10" i="123" s="1"/>
  <c r="K10" i="123"/>
  <c r="L34" i="123"/>
  <c r="M34" i="123" s="1"/>
  <c r="K34" i="123"/>
  <c r="I33" i="123"/>
  <c r="T10" i="123" l="1"/>
  <c r="P10" i="123"/>
  <c r="R10" i="123"/>
  <c r="N10" i="123"/>
  <c r="O10" i="123" s="1"/>
  <c r="Q10" i="123" s="1"/>
  <c r="S10" i="123" s="1"/>
  <c r="Z18" i="121"/>
  <c r="T34" i="123"/>
  <c r="R34" i="123"/>
  <c r="N34" i="123"/>
  <c r="O34" i="123" s="1"/>
  <c r="Q34" i="123" s="1"/>
  <c r="S34" i="123" s="1"/>
  <c r="U34" i="123" s="1"/>
  <c r="P34" i="123"/>
  <c r="J33" i="123"/>
  <c r="K33" i="123"/>
  <c r="U10" i="123" l="1"/>
  <c r="V10" i="123" s="1"/>
  <c r="V34" i="123"/>
  <c r="W34" i="123"/>
  <c r="W10" i="123" l="1"/>
  <c r="Y10" i="123" s="1"/>
  <c r="Z10" i="123" s="1"/>
  <c r="W33" i="123"/>
  <c r="V33" i="123"/>
  <c r="X33" i="123"/>
  <c r="Y34" i="123" l="1"/>
  <c r="Z34" i="123" s="1"/>
  <c r="Z33" i="123" s="1"/>
  <c r="Y33" i="123" l="1"/>
  <c r="J11" i="135"/>
  <c r="K11" i="135" s="1"/>
  <c r="I11" i="135"/>
  <c r="L27" i="120"/>
  <c r="M27" i="120" s="1"/>
  <c r="K27" i="120"/>
  <c r="T27" i="120" l="1"/>
  <c r="R27" i="120"/>
  <c r="N27" i="120"/>
  <c r="O27" i="120" s="1"/>
  <c r="P27" i="120"/>
  <c r="R11" i="135"/>
  <c r="L11" i="135"/>
  <c r="M11" i="135" s="1"/>
  <c r="N11" i="135"/>
  <c r="P11" i="135"/>
  <c r="L11" i="132"/>
  <c r="M11" i="132" s="1"/>
  <c r="K11" i="132"/>
  <c r="G23" i="135"/>
  <c r="H23" i="135"/>
  <c r="L12" i="120"/>
  <c r="M12" i="120" s="1"/>
  <c r="K12" i="120"/>
  <c r="L10" i="120"/>
  <c r="M10" i="120" s="1"/>
  <c r="K10" i="120"/>
  <c r="H10" i="120"/>
  <c r="L20" i="119"/>
  <c r="M20" i="119" s="1"/>
  <c r="K20" i="119"/>
  <c r="Q27" i="120" l="1"/>
  <c r="S27" i="120" s="1"/>
  <c r="U27" i="120" s="1"/>
  <c r="V27" i="120" s="1"/>
  <c r="O11" i="135"/>
  <c r="Q11" i="135" s="1"/>
  <c r="S11" i="135" s="1"/>
  <c r="T20" i="119"/>
  <c r="N20" i="119"/>
  <c r="O20" i="119" s="1"/>
  <c r="P20" i="119"/>
  <c r="R20" i="119"/>
  <c r="N12" i="120"/>
  <c r="O12" i="120" s="1"/>
  <c r="R12" i="120"/>
  <c r="P12" i="120"/>
  <c r="T12" i="120"/>
  <c r="R11" i="132"/>
  <c r="T11" i="132"/>
  <c r="N11" i="132"/>
  <c r="O11" i="132" s="1"/>
  <c r="P11" i="132"/>
  <c r="R10" i="120"/>
  <c r="N10" i="120"/>
  <c r="O10" i="120" s="1"/>
  <c r="P10" i="120"/>
  <c r="T10" i="120"/>
  <c r="J15" i="135"/>
  <c r="K15" i="135" s="1"/>
  <c r="I15" i="135"/>
  <c r="Q20" i="119" l="1"/>
  <c r="S20" i="119"/>
  <c r="U20" i="119" s="1"/>
  <c r="W27" i="120"/>
  <c r="Y27" i="120" s="1"/>
  <c r="Q11" i="132"/>
  <c r="S11" i="132" s="1"/>
  <c r="U11" i="132" s="1"/>
  <c r="Q10" i="120"/>
  <c r="S10" i="120" s="1"/>
  <c r="U10" i="120" s="1"/>
  <c r="V10" i="120" s="1"/>
  <c r="N15" i="135"/>
  <c r="P15" i="135"/>
  <c r="R15" i="135"/>
  <c r="L15" i="135"/>
  <c r="M15" i="135" s="1"/>
  <c r="Q12" i="120"/>
  <c r="S12" i="120" s="1"/>
  <c r="U12" i="120" s="1"/>
  <c r="T11" i="135"/>
  <c r="U11" i="135"/>
  <c r="W11" i="135" s="1"/>
  <c r="Y20" i="119"/>
  <c r="W10" i="120" l="1"/>
  <c r="Y10" i="120" s="1"/>
  <c r="Z10" i="120" s="1"/>
  <c r="V11" i="132"/>
  <c r="W11" i="132"/>
  <c r="Y11" i="132" s="1"/>
  <c r="O15" i="135"/>
  <c r="Q15" i="135" s="1"/>
  <c r="S15" i="135" s="1"/>
  <c r="W12" i="120"/>
  <c r="Y12" i="120" s="1"/>
  <c r="V12" i="120"/>
  <c r="X11" i="135"/>
  <c r="Z27" i="120"/>
  <c r="V20" i="119"/>
  <c r="Z11" i="132" l="1"/>
  <c r="T15" i="135"/>
  <c r="U15" i="135"/>
  <c r="W15" i="135" s="1"/>
  <c r="Z12" i="120"/>
  <c r="X15" i="135" l="1"/>
  <c r="H10" i="134"/>
  <c r="X9" i="134"/>
  <c r="J9" i="134"/>
  <c r="I9" i="134"/>
  <c r="K9" i="134" l="1"/>
  <c r="V9" i="134" l="1"/>
  <c r="Y9" i="134"/>
  <c r="W9" i="134"/>
  <c r="Z9" i="134" l="1"/>
  <c r="L9" i="123" l="1"/>
  <c r="M9" i="123" s="1"/>
  <c r="K9" i="123"/>
  <c r="X11" i="134"/>
  <c r="X15" i="134" s="1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/>
  <c r="U9" i="123" s="1"/>
  <c r="V9" i="123" l="1"/>
  <c r="W9" i="123"/>
  <c r="Y9" i="123" s="1"/>
  <c r="W11" i="134"/>
  <c r="W15" i="134" s="1"/>
  <c r="Z9" i="123" l="1"/>
  <c r="V11" i="134"/>
  <c r="V15" i="134" s="1"/>
  <c r="Y11" i="134"/>
  <c r="Y15" i="134" s="1"/>
  <c r="Z11" i="134" l="1"/>
  <c r="Z15" i="134" s="1"/>
  <c r="L11" i="133" l="1"/>
  <c r="M11" i="133" s="1"/>
  <c r="K11" i="133"/>
  <c r="N11" i="133" l="1"/>
  <c r="O11" i="133" s="1"/>
  <c r="P11" i="133"/>
  <c r="R11" i="133"/>
  <c r="T11" i="133"/>
  <c r="Q11" i="133" l="1"/>
  <c r="S11" i="133" s="1"/>
  <c r="U11" i="133" s="1"/>
  <c r="W11" i="133" l="1"/>
  <c r="Y11" i="133" s="1"/>
  <c r="V11" i="133"/>
  <c r="L15" i="121"/>
  <c r="M15" i="121" s="1"/>
  <c r="K15" i="121"/>
  <c r="Z11" i="133" l="1"/>
  <c r="R15" i="121"/>
  <c r="N15" i="121"/>
  <c r="O15" i="121" s="1"/>
  <c r="P15" i="121"/>
  <c r="T15" i="121"/>
  <c r="Y15" i="121"/>
  <c r="Q15" i="121" l="1"/>
  <c r="S15" i="121" s="1"/>
  <c r="U15" i="121" s="1"/>
  <c r="V15" i="121" s="1"/>
  <c r="Z15" i="121" s="1"/>
  <c r="X8" i="123" l="1"/>
  <c r="J8" i="123"/>
  <c r="I8" i="123"/>
  <c r="K8" i="123"/>
  <c r="V8" i="123" l="1"/>
  <c r="Y8" i="123"/>
  <c r="W8" i="123"/>
  <c r="Z8" i="123" l="1"/>
  <c r="W13" i="136" l="1"/>
  <c r="I13" i="136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X13" i="136" l="1"/>
  <c r="V13" i="136"/>
  <c r="U13" i="136"/>
  <c r="Y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Y9" i="119" s="1"/>
  <c r="U13" i="131"/>
  <c r="V13" i="131"/>
  <c r="X13" i="131" s="1"/>
  <c r="V9" i="119"/>
  <c r="Y13" i="131" l="1"/>
  <c r="Z9" i="119"/>
  <c r="L23" i="120"/>
  <c r="M23" i="120" s="1"/>
  <c r="K23" i="120"/>
  <c r="N23" i="120" l="1"/>
  <c r="O23" i="120" s="1"/>
  <c r="R23" i="120"/>
  <c r="T23" i="120"/>
  <c r="P23" i="120"/>
  <c r="Q23" i="120" l="1"/>
  <c r="S23" i="120" s="1"/>
  <c r="U23" i="120" s="1"/>
  <c r="L17" i="133"/>
  <c r="M17" i="133" s="1"/>
  <c r="J10" i="135"/>
  <c r="K10" i="135" s="1"/>
  <c r="J13" i="135"/>
  <c r="K13" i="135" s="1"/>
  <c r="J14" i="135"/>
  <c r="K14" i="135" s="1"/>
  <c r="L11" i="118"/>
  <c r="M11" i="118" s="1"/>
  <c r="L12" i="118"/>
  <c r="M12" i="118" s="1"/>
  <c r="L15" i="123"/>
  <c r="M15" i="123" s="1"/>
  <c r="L30" i="121"/>
  <c r="M30" i="121" s="1"/>
  <c r="L20" i="121"/>
  <c r="M20" i="121" s="1"/>
  <c r="L14" i="121"/>
  <c r="M14" i="121" s="1"/>
  <c r="L28" i="120"/>
  <c r="M28" i="120" s="1"/>
  <c r="L13" i="119"/>
  <c r="M13" i="119" s="1"/>
  <c r="L11" i="119"/>
  <c r="M11" i="119" s="1"/>
  <c r="R28" i="120" l="1"/>
  <c r="N28" i="120"/>
  <c r="O28" i="120" s="1"/>
  <c r="T28" i="120"/>
  <c r="P28" i="120"/>
  <c r="R10" i="135"/>
  <c r="L10" i="135"/>
  <c r="M10" i="135" s="1"/>
  <c r="N10" i="135"/>
  <c r="P10" i="135"/>
  <c r="P11" i="119"/>
  <c r="N11" i="119"/>
  <c r="O11" i="119" s="1"/>
  <c r="Q11" i="119" s="1"/>
  <c r="T11" i="119"/>
  <c r="R11" i="119"/>
  <c r="T14" i="121"/>
  <c r="P14" i="121"/>
  <c r="R14" i="121"/>
  <c r="N14" i="121"/>
  <c r="O14" i="121" s="1"/>
  <c r="N30" i="121"/>
  <c r="O30" i="121" s="1"/>
  <c r="P30" i="121"/>
  <c r="T30" i="121"/>
  <c r="R30" i="121"/>
  <c r="T12" i="118"/>
  <c r="P12" i="118"/>
  <c r="R12" i="118"/>
  <c r="N12" i="118"/>
  <c r="O12" i="118" s="1"/>
  <c r="P14" i="135"/>
  <c r="R14" i="135"/>
  <c r="L14" i="135"/>
  <c r="M14" i="135" s="1"/>
  <c r="N14" i="135"/>
  <c r="N17" i="133"/>
  <c r="O17" i="133" s="1"/>
  <c r="T17" i="133"/>
  <c r="P17" i="133"/>
  <c r="R17" i="133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S11" i="118" s="1"/>
  <c r="R11" i="118"/>
  <c r="T11" i="118"/>
  <c r="P13" i="135"/>
  <c r="R13" i="135"/>
  <c r="L13" i="135"/>
  <c r="M13" i="135" s="1"/>
  <c r="N13" i="135"/>
  <c r="V23" i="120"/>
  <c r="W23" i="120"/>
  <c r="Y23" i="120" s="1"/>
  <c r="U11" i="118" l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O10" i="135"/>
  <c r="Q10" i="135" s="1"/>
  <c r="S10" i="135" s="1"/>
  <c r="U10" i="135" s="1"/>
  <c r="S11" i="119"/>
  <c r="U11" i="119" s="1"/>
  <c r="W11" i="119" s="1"/>
  <c r="Y11" i="119" s="1"/>
  <c r="Q30" i="121"/>
  <c r="S30" i="121" s="1"/>
  <c r="U30" i="121" s="1"/>
  <c r="Q17" i="133"/>
  <c r="S17" i="133" s="1"/>
  <c r="U17" i="133" s="1"/>
  <c r="V17" i="133" s="1"/>
  <c r="Z23" i="120"/>
  <c r="Q28" i="120"/>
  <c r="S28" i="120" s="1"/>
  <c r="U28" i="120" s="1"/>
  <c r="V28" i="120" s="1"/>
  <c r="V11" i="118"/>
  <c r="W11" i="118"/>
  <c r="O14" i="135"/>
  <c r="Q14" i="135" s="1"/>
  <c r="S14" i="135" s="1"/>
  <c r="O13" i="135"/>
  <c r="Q13" i="135" s="1"/>
  <c r="S13" i="135" s="1"/>
  <c r="Q15" i="123"/>
  <c r="S15" i="123" s="1"/>
  <c r="U15" i="123" s="1"/>
  <c r="J14" i="131"/>
  <c r="L14" i="131" s="1"/>
  <c r="W20" i="121" l="1"/>
  <c r="W28" i="120"/>
  <c r="T10" i="135"/>
  <c r="W30" i="121"/>
  <c r="V30" i="121"/>
  <c r="W17" i="133"/>
  <c r="V15" i="123"/>
  <c r="W15" i="123"/>
  <c r="T13" i="135"/>
  <c r="U13" i="135"/>
  <c r="V14" i="121"/>
  <c r="W14" i="121"/>
  <c r="V12" i="118"/>
  <c r="W12" i="118"/>
  <c r="T14" i="135"/>
  <c r="U14" i="135"/>
  <c r="Q14" i="131"/>
  <c r="M14" i="131"/>
  <c r="N14" i="131" s="1"/>
  <c r="O14" i="131"/>
  <c r="S14" i="131"/>
  <c r="P14" i="131" l="1"/>
  <c r="R14" i="131"/>
  <c r="T14" i="131" s="1"/>
  <c r="H14" i="131"/>
  <c r="V14" i="131" l="1"/>
  <c r="X14" i="131" s="1"/>
  <c r="U14" i="131"/>
  <c r="Y14" i="131" l="1"/>
  <c r="H18" i="133" l="1"/>
  <c r="K14" i="121" l="1"/>
  <c r="Y14" i="121" l="1"/>
  <c r="Z14" i="121" l="1"/>
  <c r="V23" i="135" l="1"/>
  <c r="I14" i="135" l="1"/>
  <c r="K17" i="133" l="1"/>
  <c r="X11" i="123" l="1"/>
  <c r="J11" i="123"/>
  <c r="P23" i="135" l="1"/>
  <c r="L23" i="135"/>
  <c r="J23" i="135"/>
  <c r="I13" i="135"/>
  <c r="I10" i="135" l="1"/>
  <c r="I23" i="135" l="1"/>
  <c r="K23" i="135"/>
  <c r="M23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P16" i="131" s="1"/>
  <c r="O16" i="131"/>
  <c r="M17" i="131"/>
  <c r="N17" i="131" s="1"/>
  <c r="P17" i="131" s="1"/>
  <c r="Q17" i="131"/>
  <c r="O17" i="131"/>
  <c r="O10" i="131"/>
  <c r="M10" i="131"/>
  <c r="N10" i="131" s="1"/>
  <c r="P10" i="131" s="1"/>
  <c r="R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X29" i="120"/>
  <c r="J29" i="120"/>
  <c r="P11" i="131" l="1"/>
  <c r="P15" i="131"/>
  <c r="T10" i="131"/>
  <c r="U10" i="131" s="1"/>
  <c r="V10" i="13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X8" i="121" l="1"/>
  <c r="J8" i="121"/>
  <c r="X19" i="119"/>
  <c r="J19" i="119"/>
  <c r="I19" i="119"/>
  <c r="X13" i="123" l="1"/>
  <c r="J13" i="123"/>
  <c r="R15" i="134" l="1"/>
  <c r="N15" i="134"/>
  <c r="L15" i="134"/>
  <c r="M15" i="134" l="1"/>
  <c r="P15" i="134" l="1"/>
  <c r="O15" i="134"/>
  <c r="X29" i="121" l="1"/>
  <c r="X34" i="121" s="1"/>
  <c r="J29" i="121"/>
  <c r="J34" i="121" s="1"/>
  <c r="Q15" i="134" l="1"/>
  <c r="S15" i="134"/>
  <c r="H10" i="121" l="1"/>
  <c r="K28" i="120"/>
  <c r="H28" i="120"/>
  <c r="K13" i="119" l="1"/>
  <c r="I29" i="121" l="1"/>
  <c r="I13" i="123"/>
  <c r="I11" i="123"/>
  <c r="I8" i="121" l="1"/>
  <c r="I34" i="121" s="1"/>
  <c r="K30" i="121" l="1"/>
  <c r="K29" i="121" s="1"/>
  <c r="K11" i="123" l="1"/>
  <c r="K15" i="123" l="1"/>
  <c r="K13" i="123" s="1"/>
  <c r="K20" i="121" l="1"/>
  <c r="H36" i="123" l="1"/>
  <c r="X35" i="123"/>
  <c r="J35" i="123"/>
  <c r="I35" i="123"/>
  <c r="H17" i="133" l="1"/>
  <c r="R19" i="133"/>
  <c r="N19" i="133"/>
  <c r="L19" i="133"/>
  <c r="V35" i="123" l="1"/>
  <c r="K35" i="123"/>
  <c r="O19" i="133" l="1"/>
  <c r="W35" i="123"/>
  <c r="K19" i="133"/>
  <c r="M19" i="133" l="1"/>
  <c r="Y35" i="123"/>
  <c r="Z35" i="123"/>
  <c r="K11" i="118" l="1"/>
  <c r="X14" i="118" l="1"/>
  <c r="J14" i="118"/>
  <c r="X8" i="119" l="1"/>
  <c r="J8" i="119"/>
  <c r="I8" i="119"/>
  <c r="X31" i="123" l="1"/>
  <c r="K31" i="123"/>
  <c r="J31" i="123"/>
  <c r="I31" i="123"/>
  <c r="H15" i="123"/>
  <c r="I29" i="123" l="1"/>
  <c r="I38" i="123" s="1"/>
  <c r="K29" i="123"/>
  <c r="K38" i="123" s="1"/>
  <c r="J29" i="123"/>
  <c r="J38" i="123" s="1"/>
  <c r="X29" i="123"/>
  <c r="X38" i="123" s="1"/>
  <c r="H20" i="121"/>
  <c r="K8" i="121"/>
  <c r="K34" i="121" s="1"/>
  <c r="H18" i="121"/>
  <c r="H12" i="121"/>
  <c r="H9" i="121"/>
  <c r="X14" i="119" l="1"/>
  <c r="J14" i="119"/>
  <c r="X12" i="119"/>
  <c r="J12" i="119"/>
  <c r="I12" i="119"/>
  <c r="K11" i="119"/>
  <c r="X22" i="119" l="1"/>
  <c r="I22" i="119"/>
  <c r="J22" i="119"/>
  <c r="X16" i="132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2" i="123"/>
  <c r="H14" i="123"/>
  <c r="H12" i="123"/>
  <c r="H30" i="121"/>
  <c r="W20" i="131" l="1"/>
  <c r="K20" i="131"/>
  <c r="I20" i="131"/>
  <c r="L20" i="131" l="1"/>
  <c r="J20" i="131"/>
  <c r="M20" i="131" l="1"/>
  <c r="Q20" i="131"/>
  <c r="N20" i="131" l="1"/>
  <c r="K12" i="118" l="1"/>
  <c r="K14" i="118" l="1"/>
  <c r="L14" i="118"/>
  <c r="L38" i="123"/>
  <c r="L34" i="121"/>
  <c r="L29" i="120"/>
  <c r="I14" i="118" l="1"/>
  <c r="M38" i="123"/>
  <c r="M34" i="121"/>
  <c r="M14" i="118" l="1"/>
  <c r="L22" i="119" l="1"/>
  <c r="K19" i="119"/>
  <c r="K14" i="119" l="1"/>
  <c r="K8" i="119"/>
  <c r="K22" i="119" l="1"/>
  <c r="M22" i="119"/>
  <c r="X18" i="131" l="1"/>
  <c r="R23" i="135"/>
  <c r="Y15" i="123"/>
  <c r="Y28" i="120"/>
  <c r="T15" i="134"/>
  <c r="X12" i="131"/>
  <c r="Y13" i="119"/>
  <c r="V13" i="119"/>
  <c r="U15" i="131"/>
  <c r="W14" i="135"/>
  <c r="X11" i="131"/>
  <c r="U11" i="131"/>
  <c r="N23" i="135"/>
  <c r="X10" i="131"/>
  <c r="X16" i="131"/>
  <c r="U16" i="131"/>
  <c r="U17" i="131"/>
  <c r="X17" i="131"/>
  <c r="P34" i="121"/>
  <c r="Y20" i="121"/>
  <c r="T19" i="133"/>
  <c r="P19" i="133"/>
  <c r="P16" i="132"/>
  <c r="S20" i="131"/>
  <c r="O20" i="131"/>
  <c r="R29" i="120"/>
  <c r="P38" i="123"/>
  <c r="T22" i="119"/>
  <c r="T38" i="123"/>
  <c r="R34" i="121"/>
  <c r="N29" i="120"/>
  <c r="N38" i="123"/>
  <c r="T14" i="118"/>
  <c r="P22" i="119"/>
  <c r="R14" i="118"/>
  <c r="R38" i="123"/>
  <c r="T34" i="121"/>
  <c r="N22" i="119"/>
  <c r="R22" i="119"/>
  <c r="P14" i="118"/>
  <c r="N14" i="118"/>
  <c r="N34" i="121"/>
  <c r="Y17" i="133" l="1"/>
  <c r="Y19" i="133" s="1"/>
  <c r="W19" i="133"/>
  <c r="Y13" i="123"/>
  <c r="X15" i="131"/>
  <c r="Y15" i="131" s="1"/>
  <c r="U18" i="131"/>
  <c r="Y18" i="131" s="1"/>
  <c r="W13" i="135"/>
  <c r="X13" i="135" s="1"/>
  <c r="W10" i="135"/>
  <c r="X10" i="135" s="1"/>
  <c r="U12" i="131"/>
  <c r="Y12" i="131" s="1"/>
  <c r="Z28" i="120"/>
  <c r="Z15" i="123"/>
  <c r="Z20" i="121"/>
  <c r="Y16" i="131"/>
  <c r="Y10" i="131"/>
  <c r="Y11" i="131"/>
  <c r="V29" i="121"/>
  <c r="U15" i="134"/>
  <c r="Y30" i="121"/>
  <c r="Y29" i="121" s="1"/>
  <c r="W29" i="121"/>
  <c r="Z13" i="119"/>
  <c r="Y17" i="131"/>
  <c r="V13" i="123"/>
  <c r="X14" i="135"/>
  <c r="O23" i="135"/>
  <c r="V11" i="123"/>
  <c r="Y11" i="123"/>
  <c r="W11" i="123"/>
  <c r="W8" i="121"/>
  <c r="V8" i="121"/>
  <c r="Y11" i="118"/>
  <c r="Z11" i="118" s="1"/>
  <c r="Q19" i="133"/>
  <c r="Z11" i="119"/>
  <c r="Y31" i="123"/>
  <c r="Y29" i="123" s="1"/>
  <c r="W31" i="123"/>
  <c r="W29" i="123" s="1"/>
  <c r="P20" i="131"/>
  <c r="S16" i="132"/>
  <c r="Q16" i="132"/>
  <c r="V31" i="123"/>
  <c r="V29" i="123" s="1"/>
  <c r="Y12" i="118"/>
  <c r="Z12" i="118" s="1"/>
  <c r="O38" i="123"/>
  <c r="O22" i="119"/>
  <c r="V14" i="119"/>
  <c r="O34" i="121"/>
  <c r="V19" i="119"/>
  <c r="W19" i="119"/>
  <c r="O14" i="118"/>
  <c r="Y38" i="123" l="1"/>
  <c r="W34" i="121"/>
  <c r="V34" i="121"/>
  <c r="V38" i="123"/>
  <c r="Z17" i="133"/>
  <c r="Z19" i="133" s="1"/>
  <c r="W13" i="123"/>
  <c r="W38" i="123" s="1"/>
  <c r="Z30" i="121"/>
  <c r="Z29" i="121" s="1"/>
  <c r="Z13" i="123"/>
  <c r="Q23" i="135"/>
  <c r="Z11" i="123"/>
  <c r="Y8" i="121"/>
  <c r="Y34" i="121" s="1"/>
  <c r="Z8" i="121"/>
  <c r="S19" i="133"/>
  <c r="Z31" i="123"/>
  <c r="Z29" i="123" s="1"/>
  <c r="V12" i="119"/>
  <c r="U16" i="132"/>
  <c r="R20" i="131"/>
  <c r="Y12" i="119"/>
  <c r="W12" i="119"/>
  <c r="Y14" i="119"/>
  <c r="W14" i="119"/>
  <c r="Y19" i="119"/>
  <c r="Q14" i="118"/>
  <c r="Q34" i="121"/>
  <c r="Q38" i="123"/>
  <c r="Q22" i="119"/>
  <c r="Z34" i="121" l="1"/>
  <c r="Z38" i="123"/>
  <c r="S23" i="135"/>
  <c r="U19" i="133"/>
  <c r="W16" i="132"/>
  <c r="Y16" i="132"/>
  <c r="V16" i="132"/>
  <c r="T20" i="131"/>
  <c r="Z12" i="119"/>
  <c r="Z14" i="119"/>
  <c r="Z20" i="119"/>
  <c r="Z19" i="119" s="1"/>
  <c r="S34" i="121"/>
  <c r="S38" i="123"/>
  <c r="S14" i="118"/>
  <c r="S22" i="119"/>
  <c r="T23" i="135" l="1"/>
  <c r="U23" i="135"/>
  <c r="V19" i="133"/>
  <c r="Z16" i="132"/>
  <c r="X20" i="131"/>
  <c r="V20" i="131"/>
  <c r="U20" i="131"/>
  <c r="W8" i="119"/>
  <c r="W22" i="119" s="1"/>
  <c r="U22" i="119"/>
  <c r="V8" i="119"/>
  <c r="V22" i="119" s="1"/>
  <c r="V14" i="118"/>
  <c r="W14" i="118"/>
  <c r="U14" i="118"/>
  <c r="U38" i="123"/>
  <c r="U34" i="121"/>
  <c r="W23" i="135" l="1"/>
  <c r="X23" i="135"/>
  <c r="Y20" i="131"/>
  <c r="Y8" i="119"/>
  <c r="Y22" i="119" s="1"/>
  <c r="Y14" i="118"/>
  <c r="Z8" i="119" l="1"/>
  <c r="Z22" i="119" s="1"/>
  <c r="Z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Y29" i="120"/>
  <c r="W29" i="120" l="1"/>
  <c r="Z29" i="120"/>
</calcChain>
</file>

<file path=xl/sharedStrings.xml><?xml version="1.0" encoding="utf-8"?>
<sst xmlns="http://schemas.openxmlformats.org/spreadsheetml/2006/main" count="1131" uniqueCount="339">
  <si>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</si>
  <si>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</si>
  <si>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</si>
  <si>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</si>
  <si>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</si>
  <si>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</si>
  <si>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</si>
  <si>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</si>
  <si>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</si>
  <si>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</si>
  <si>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</si>
  <si>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</si>
  <si>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</si>
  <si>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</si>
  <si>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</si>
  <si>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</si>
  <si>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</si>
  <si>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</si>
  <si>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</si>
  <si>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</si>
  <si>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</si>
  <si>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</si>
  <si>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</si>
  <si>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</si>
  <si>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</si>
  <si>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</si>
  <si>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</si>
  <si>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</si>
  <si>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</si>
  <si>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</si>
  <si>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</si>
  <si>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</si>
  <si>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</si>
  <si>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</si>
  <si>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</si>
  <si>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</si>
  <si>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</si>
  <si>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</si>
  <si>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</si>
  <si>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</si>
  <si>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</si>
  <si>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</si>
  <si>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</si>
  <si>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</si>
  <si>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</si>
  <si>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</si>
  <si>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</si>
  <si>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</si>
  <si>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</si>
  <si>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</si>
  <si>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</si>
  <si>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</si>
  <si>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</si>
  <si>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</si>
  <si>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</si>
  <si>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</si>
  <si>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</si>
  <si>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</si>
  <si>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</si>
  <si>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</si>
  <si>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</si>
  <si>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</si>
  <si>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</si>
  <si>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</si>
  <si>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</si>
  <si>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</si>
  <si>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</si>
  <si>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</si>
  <si>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</si>
  <si>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</si>
  <si>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</si>
  <si>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</si>
  <si>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</si>
  <si>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</si>
  <si>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</si>
  <si>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</si>
  <si>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</si>
  <si>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</si>
  <si>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</si>
  <si>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</si>
  <si>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</si>
  <si>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</si>
  <si>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</si>
  <si>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</si>
  <si>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</si>
  <si>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</si>
  <si>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</si>
  <si>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</si>
  <si>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</si>
  <si>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</si>
  <si>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</si>
  <si>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</si>
  <si>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</si>
  <si>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</si>
  <si>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</si>
  <si>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</si>
  <si>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</si>
  <si>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</si>
  <si>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</si>
  <si>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</si>
  <si>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</si>
  <si>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</si>
  <si>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</si>
  <si>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</si>
  <si>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</si>
  <si>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</si>
  <si>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</si>
  <si>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</si>
  <si>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</si>
  <si>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</si>
  <si>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</si>
  <si>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</si>
  <si>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</si>
  <si>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</si>
  <si>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</si>
  <si>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</si>
  <si>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</si>
  <si>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</si>
  <si>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</si>
  <si>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</si>
  <si>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</si>
  <si>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</si>
  <si>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</si>
  <si>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</si>
  <si>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</si>
  <si>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</si>
  <si>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</si>
  <si>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</si>
  <si>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</si>
  <si>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</si>
  <si>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</si>
  <si>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</si>
  <si>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FRANCISCO JAVIER MERIN SOTO</t>
  </si>
  <si>
    <t>SAUL CASTRO CASTAÑEDA</t>
  </si>
  <si>
    <t>PARAMÉDICO</t>
  </si>
  <si>
    <t>CHOFER AMBULANCIA</t>
  </si>
  <si>
    <t>SERVICIOS MÉDICOS MUNICIPALES</t>
  </si>
  <si>
    <t>153</t>
  </si>
  <si>
    <t>154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</si>
  <si>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</si>
  <si>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</si>
  <si>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</si>
  <si>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</si>
  <si>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</si>
  <si>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</si>
  <si>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</si>
  <si>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</si>
  <si>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</si>
  <si>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</si>
  <si>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</si>
  <si>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</si>
  <si>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</si>
  <si>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</si>
  <si>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</si>
  <si>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</si>
  <si>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</si>
  <si>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</si>
  <si>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</si>
  <si>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</si>
  <si>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</si>
  <si>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</si>
  <si>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</si>
  <si>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</si>
  <si>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</si>
  <si>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</si>
  <si>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</si>
  <si>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</si>
  <si>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</si>
  <si>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</si>
  <si>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</si>
  <si>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</si>
  <si>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</si>
  <si>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</si>
  <si>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</si>
  <si>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</si>
  <si>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</si>
  <si>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</si>
  <si>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</si>
  <si>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</si>
  <si>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</si>
  <si>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</si>
  <si>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</si>
  <si>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</si>
  <si>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</si>
  <si>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</si>
  <si>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228</t>
  </si>
  <si>
    <t>SUELDO  DEL 16 AL 31 DE OCTUBRE DE 2019</t>
  </si>
  <si>
    <t>236</t>
  </si>
  <si>
    <t>241</t>
  </si>
  <si>
    <t>JOSE SANDOVAL VITELA</t>
  </si>
  <si>
    <t>015</t>
  </si>
  <si>
    <t>242</t>
  </si>
  <si>
    <t>245</t>
  </si>
  <si>
    <t>DAVID CASTRO AVILA</t>
  </si>
  <si>
    <t>248</t>
  </si>
  <si>
    <t>GILBERTO CASTRO BALTIERRA</t>
  </si>
  <si>
    <t>EMILIA RAMIREZ CASTRO</t>
  </si>
  <si>
    <t>251</t>
  </si>
  <si>
    <t>SAMUEL LLAMAS AGUAYO</t>
  </si>
  <si>
    <t>256</t>
  </si>
  <si>
    <t xml:space="preserve">SALARIO MINIMO GENERAL </t>
  </si>
  <si>
    <t>UMA</t>
  </si>
  <si>
    <t>DIAS</t>
  </si>
  <si>
    <t xml:space="preserve"> Descuentos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</si>
  <si>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</si>
  <si>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</si>
  <si>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</si>
  <si>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</si>
  <si>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</si>
  <si>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</si>
  <si>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</si>
  <si>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</si>
  <si>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</si>
  <si>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</si>
  <si>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</si>
  <si>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</si>
  <si>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</si>
  <si>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</si>
  <si>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</si>
  <si>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</si>
  <si>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</si>
  <si>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</si>
  <si>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</si>
  <si>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</si>
  <si>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</si>
  <si>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</si>
  <si>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</si>
  <si>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</si>
  <si>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</si>
  <si>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</si>
  <si>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</si>
  <si>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</si>
  <si>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</si>
  <si>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</si>
  <si>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EFRAIN ROBLES FLORES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</si>
  <si>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</si>
  <si>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</si>
  <si>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</si>
  <si>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</si>
  <si>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</si>
  <si>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</si>
  <si>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</si>
  <si>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</si>
  <si>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</si>
  <si>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</si>
  <si>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</si>
  <si>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</si>
  <si>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</si>
  <si>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</si>
  <si>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</si>
  <si>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</si>
  <si>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</si>
  <si>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</si>
  <si>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</si>
  <si>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</si>
  <si>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</si>
  <si>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</si>
  <si>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</si>
  <si>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</si>
  <si>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</si>
  <si>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</si>
  <si>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</si>
  <si>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</si>
  <si>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</si>
  <si>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</si>
  <si>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</si>
  <si>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</si>
  <si>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</si>
  <si>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</si>
  <si>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</si>
  <si>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</si>
  <si>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</si>
  <si>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</si>
  <si>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</si>
  <si>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</si>
  <si>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</si>
  <si>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</si>
  <si>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</si>
  <si>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</si>
  <si>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</si>
  <si>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</si>
  <si>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</si>
  <si>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</si>
  <si>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</si>
  <si>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</si>
  <si>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304</t>
  </si>
  <si>
    <t>SUPERVISOR BODEGA MUNICIPAL</t>
  </si>
  <si>
    <t>GERARDO AVILA SILVA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</si>
  <si>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</si>
  <si>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</si>
  <si>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</si>
  <si>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</si>
  <si>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</si>
  <si>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</si>
  <si>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</si>
  <si>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</si>
  <si>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</si>
  <si>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</si>
  <si>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</si>
  <si>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</si>
  <si>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</si>
  <si>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310</t>
  </si>
  <si>
    <t>DANIEL RODRIGUEZ VEGA</t>
  </si>
  <si>
    <t>311</t>
  </si>
  <si>
    <t>SANDRA SUJEY RODRIGUEZ GONZALEZ</t>
  </si>
  <si>
    <t>312</t>
  </si>
  <si>
    <t>EGDAR ALEJANDRO CEJA MUÑOZ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</si>
  <si>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</si>
  <si>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</si>
  <si>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</si>
  <si>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</si>
  <si>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</si>
  <si>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</si>
  <si>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</si>
  <si>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</si>
  <si>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</si>
  <si>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</si>
  <si>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</si>
  <si>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</si>
  <si>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</si>
  <si>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</si>
  <si>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</si>
  <si>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</si>
  <si>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</si>
  <si>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</si>
  <si>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</si>
  <si>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</si>
  <si>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</si>
  <si>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</si>
  <si>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</si>
  <si>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</si>
  <si>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</si>
  <si>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322</t>
  </si>
  <si>
    <t>323</t>
  </si>
  <si>
    <t>324</t>
  </si>
  <si>
    <t>325</t>
  </si>
  <si>
    <t>206</t>
  </si>
  <si>
    <t>144</t>
  </si>
  <si>
    <t>SUELDO  DEL 16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</si>
</sst>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166" fontId="29" fillId="0" borderId="3" xfId="2" applyNumberFormat="1" applyFont="1" applyBorder="1" applyAlignment="1" applyProtection="1">
      <alignment horizontal="right"/>
      <protection locked="0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16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145661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24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200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293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2" t="s">
        <v>10</v>
      </c>
      <c r="C7" s="282"/>
      <c r="D7" s="282"/>
      <c r="E7" s="7"/>
      <c r="F7" s="275" t="s">
        <v>48</v>
      </c>
      <c r="G7" s="276"/>
      <c r="I7" s="114" t="s">
        <v>201</v>
      </c>
    </row>
    <row r="8" spans="1:9" ht="14.25" customHeight="1" x14ac:dyDescent="0.25">
      <c r="B8" s="279" t="s">
        <v>9</v>
      </c>
      <c r="C8" s="279"/>
      <c r="D8" s="279"/>
      <c r="E8" s="7"/>
      <c r="F8" s="280" t="s">
        <v>49</v>
      </c>
      <c r="G8" s="281"/>
      <c r="I8" s="113">
        <v>96.22</v>
      </c>
    </row>
    <row r="9" spans="1:9" ht="8.25" customHeight="1" x14ac:dyDescent="0.25">
      <c r="B9" s="283"/>
      <c r="C9" s="283"/>
      <c r="D9" s="283"/>
      <c r="E9" s="7"/>
      <c r="F9" s="277"/>
      <c r="G9" s="278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291</v>
      </c>
      <c r="C28" s="7"/>
      <c r="D28" s="7"/>
    </row>
    <row r="29" spans="1:7" x14ac:dyDescent="0.25">
      <c r="B29" s="32" t="s">
        <v>292</v>
      </c>
      <c r="C29" s="7"/>
      <c r="D29" s="7"/>
    </row>
    <row r="32" spans="1:7" ht="17.25" customHeight="1" x14ac:dyDescent="0.25">
      <c r="B32" s="5" t="s">
        <v>45</v>
      </c>
      <c r="E32" s="7"/>
      <c r="F32" s="275" t="s">
        <v>53</v>
      </c>
      <c r="G32" s="276"/>
    </row>
    <row r="33" spans="2:7" x14ac:dyDescent="0.25">
      <c r="E33" s="7"/>
      <c r="F33" s="280" t="s">
        <v>54</v>
      </c>
      <c r="G33" s="281"/>
    </row>
    <row r="34" spans="2:7" ht="5.25" customHeight="1" x14ac:dyDescent="0.25">
      <c r="E34" s="7"/>
      <c r="F34" s="277"/>
      <c r="G34" s="278"/>
    </row>
    <row r="35" spans="2:7" x14ac:dyDescent="0.25">
      <c r="B35" s="282" t="s">
        <v>10</v>
      </c>
      <c r="C35" s="282"/>
      <c r="D35" s="282"/>
      <c r="E35" s="7"/>
      <c r="F35" s="9" t="s">
        <v>16</v>
      </c>
      <c r="G35" s="9" t="s">
        <v>17</v>
      </c>
    </row>
    <row r="36" spans="2:7" x14ac:dyDescent="0.25">
      <c r="B36" s="279" t="s">
        <v>9</v>
      </c>
      <c r="C36" s="279"/>
      <c r="D36" s="279"/>
      <c r="E36" s="7"/>
      <c r="F36" s="9"/>
      <c r="G36" s="9" t="s">
        <v>18</v>
      </c>
    </row>
    <row r="37" spans="2:7" x14ac:dyDescent="0.25">
      <c r="B37" s="283"/>
      <c r="C37" s="283"/>
      <c r="D37" s="283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C14" zoomScale="77" zoomScaleNormal="77" workbookViewId="0">
      <selection activeCell="C23" sqref="A23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2.5546875" customWidth="1"/>
    <col min="11" max="11" width="13.8867187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5" width="12.88671875" bestFit="1" customWidth="1"/>
    <col min="26" max="26" width="14.33203125" customWidth="1"/>
    <col min="27" max="27" width="85.554687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x14ac:dyDescent="0.25">
      <c r="A6" s="22"/>
      <c r="B6" s="324" t="s">
        <v>101</v>
      </c>
      <c r="C6" s="324" t="s">
        <v>115</v>
      </c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307"/>
      <c r="Z6" s="23" t="s">
        <v>0</v>
      </c>
      <c r="AA6" s="34"/>
    </row>
    <row r="7" spans="1:27" ht="12.75" customHeight="1" x14ac:dyDescent="0.25">
      <c r="A7" s="26" t="s">
        <v>20</v>
      </c>
      <c r="B7" s="325"/>
      <c r="C7" s="325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7" x14ac:dyDescent="0.25">
      <c r="A8" s="29"/>
      <c r="B8" s="326"/>
      <c r="C8" s="326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203</v>
      </c>
      <c r="Y8" s="29" t="s">
        <v>43</v>
      </c>
      <c r="Z8" s="29" t="s">
        <v>4</v>
      </c>
      <c r="AA8" s="35"/>
    </row>
    <row r="9" spans="1:27" ht="42" customHeight="1" x14ac:dyDescent="0.3">
      <c r="A9" s="132"/>
      <c r="B9" s="188"/>
      <c r="C9" s="116"/>
      <c r="D9" s="135" t="s">
        <v>116</v>
      </c>
      <c r="E9" s="135" t="s">
        <v>310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32"/>
      <c r="AA9" s="41"/>
    </row>
    <row r="10" spans="1:27" s="93" customFormat="1" ht="126" customHeight="1" x14ac:dyDescent="0.3">
      <c r="A10" s="109" t="s">
        <v>85</v>
      </c>
      <c r="B10" s="147" t="s">
        <v>160</v>
      </c>
      <c r="C10" s="189" t="s">
        <v>114</v>
      </c>
      <c r="D10" s="212" t="s">
        <v>152</v>
      </c>
      <c r="E10" s="221">
        <v>43374</v>
      </c>
      <c r="F10" s="149" t="s">
        <v>117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>VLOOKUP(M10,Tarifa1,1)</f>
        <v>3124.36</v>
      </c>
      <c r="O10" s="156">
        <f t="shared" ref="O10" si="1">M10-N10</f>
        <v>1253.3699999999994</v>
      </c>
      <c r="P10" s="157">
        <f>VLOOKUP(M10,Tarifa1,3)</f>
        <v>0.10879999999999999</v>
      </c>
      <c r="Q10" s="156">
        <f t="shared" ref="Q10" si="2">O10*P10</f>
        <v>136.36665599999992</v>
      </c>
      <c r="R10" s="158">
        <f>VLOOKUP(M10,Tarifa1,2)</f>
        <v>183.45</v>
      </c>
      <c r="S10" s="156">
        <f t="shared" ref="S10" si="3">Q10+R10</f>
        <v>319.81665599999991</v>
      </c>
      <c r="T10" s="156">
        <f>VLOOKUP(M10,Credito1,2)</f>
        <v>0</v>
      </c>
      <c r="U10" s="156">
        <f t="shared" ref="U10" si="4">ROUND(S10-T10,2)</f>
        <v>319.82</v>
      </c>
      <c r="V10" s="155">
        <f t="shared" ref="V10" si="5">-IF(U10&gt;0,0,U10)</f>
        <v>0</v>
      </c>
      <c r="W10" s="155">
        <f>IF(I10/15&lt;=SMG,0,IF(U10&lt;0,0,U10))</f>
        <v>319.82</v>
      </c>
      <c r="X10" s="159">
        <v>0</v>
      </c>
      <c r="Y10" s="155">
        <f>SUM(W10:X10)</f>
        <v>319.82</v>
      </c>
      <c r="Z10" s="155">
        <f>K10+V10-Y10</f>
        <v>4057.9099999999994</v>
      </c>
      <c r="AA10" s="92"/>
    </row>
    <row r="11" spans="1:27" s="93" customFormat="1" ht="126" customHeight="1" x14ac:dyDescent="0.35">
      <c r="A11" s="162"/>
      <c r="B11" s="183">
        <v>188</v>
      </c>
      <c r="C11" s="189" t="s">
        <v>114</v>
      </c>
      <c r="D11" s="264" t="s">
        <v>161</v>
      </c>
      <c r="E11" s="222">
        <v>43389</v>
      </c>
      <c r="F11" s="150" t="s">
        <v>259</v>
      </c>
      <c r="G11" s="151">
        <v>15</v>
      </c>
      <c r="H11" s="152"/>
      <c r="I11" s="153">
        <v>6253</v>
      </c>
      <c r="J11" s="154">
        <v>416.87</v>
      </c>
      <c r="K11" s="153">
        <f>I11</f>
        <v>6253</v>
      </c>
      <c r="L11" s="156">
        <f t="shared" ref="L11" si="6">IF(I11/15&lt;=SMG,0,J11/2)</f>
        <v>208.435</v>
      </c>
      <c r="M11" s="156">
        <f t="shared" ref="M11:M12" si="7">I11+L11</f>
        <v>6461.4350000000004</v>
      </c>
      <c r="N11" s="156">
        <f>VLOOKUP(M11,Tarifa1,1)</f>
        <v>6382.81</v>
      </c>
      <c r="O11" s="156">
        <f t="shared" ref="O11:O12" si="8">M11-N11</f>
        <v>78.625</v>
      </c>
      <c r="P11" s="157">
        <f>VLOOKUP(M11,Tarifa1,3)</f>
        <v>0.1792</v>
      </c>
      <c r="Q11" s="156">
        <f t="shared" ref="Q11:Q12" si="9">O11*P11</f>
        <v>14.089599999999999</v>
      </c>
      <c r="R11" s="158">
        <f>VLOOKUP(M11,Tarifa1,2)</f>
        <v>583.65</v>
      </c>
      <c r="S11" s="156">
        <f t="shared" ref="S11:S12" si="10">Q11+R11</f>
        <v>597.7396</v>
      </c>
      <c r="T11" s="156">
        <f>VLOOKUP(M11,Credito1,2)</f>
        <v>0</v>
      </c>
      <c r="U11" s="156">
        <f t="shared" ref="U11:U12" si="11">ROUND(S11-T11,2)</f>
        <v>597.74</v>
      </c>
      <c r="V11" s="155">
        <f t="shared" ref="V11:V12" si="12">-IF(U11&gt;0,0,U11)</f>
        <v>0</v>
      </c>
      <c r="W11" s="155">
        <f>IF(I11/15&lt;=SMG,0,IF(U11&lt;0,0,U11))</f>
        <v>597.74</v>
      </c>
      <c r="X11" s="159">
        <v>0</v>
      </c>
      <c r="Y11" s="155">
        <f>SUM(W11:X11)</f>
        <v>597.74</v>
      </c>
      <c r="Z11" s="155">
        <f>K11+V11-Y11+J11</f>
        <v>6072.13</v>
      </c>
      <c r="AA11" s="92"/>
    </row>
    <row r="12" spans="1:27" s="93" customFormat="1" ht="126" customHeight="1" x14ac:dyDescent="0.35">
      <c r="A12" s="190"/>
      <c r="B12" s="148" t="s">
        <v>236</v>
      </c>
      <c r="C12" s="148" t="s">
        <v>114</v>
      </c>
      <c r="D12" s="213" t="s">
        <v>237</v>
      </c>
      <c r="E12" s="219">
        <v>43512</v>
      </c>
      <c r="F12" s="149" t="s">
        <v>117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7"/>
        <v>4377.7299999999996</v>
      </c>
      <c r="N12" s="156">
        <f>VLOOKUP(M12,Tarifa1,1)</f>
        <v>3124.36</v>
      </c>
      <c r="O12" s="156">
        <f t="shared" si="8"/>
        <v>1253.3699999999994</v>
      </c>
      <c r="P12" s="157">
        <f>VLOOKUP(M12,Tarifa1,3)</f>
        <v>0.10879999999999999</v>
      </c>
      <c r="Q12" s="156">
        <f t="shared" si="9"/>
        <v>136.36665599999992</v>
      </c>
      <c r="R12" s="158">
        <f>VLOOKUP(M12,Tarifa1,2)</f>
        <v>183.45</v>
      </c>
      <c r="S12" s="156">
        <f t="shared" si="10"/>
        <v>319.81665599999991</v>
      </c>
      <c r="T12" s="156">
        <f>VLOOKUP(M12,Credito1,2)</f>
        <v>0</v>
      </c>
      <c r="U12" s="156">
        <f t="shared" si="11"/>
        <v>319.82</v>
      </c>
      <c r="V12" s="155">
        <f t="shared" si="12"/>
        <v>0</v>
      </c>
      <c r="W12" s="155">
        <f>IF(I12/15&lt;=SMG,0,IF(U12&lt;0,0,U12))</f>
        <v>319.82</v>
      </c>
      <c r="X12" s="159">
        <v>0</v>
      </c>
      <c r="Y12" s="155">
        <f>SUM(W12:X12)</f>
        <v>319.82</v>
      </c>
      <c r="Z12" s="155">
        <f>K12+V12-Y12</f>
        <v>4057.9099999999994</v>
      </c>
      <c r="AA12" s="92"/>
    </row>
    <row r="13" spans="1:27" s="93" customFormat="1" ht="126" customHeight="1" x14ac:dyDescent="0.3">
      <c r="A13" s="190"/>
      <c r="B13" s="183">
        <v>284</v>
      </c>
      <c r="C13" s="148" t="s">
        <v>114</v>
      </c>
      <c r="D13" s="214" t="s">
        <v>233</v>
      </c>
      <c r="E13" s="221">
        <v>44473</v>
      </c>
      <c r="F13" s="149" t="s">
        <v>117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" si="13">I13+L13</f>
        <v>4377.7299999999996</v>
      </c>
      <c r="N13" s="156">
        <f>VLOOKUP(M13,Tarifa1,1)</f>
        <v>3124.36</v>
      </c>
      <c r="O13" s="156">
        <f t="shared" ref="O13" si="14">M13-N13</f>
        <v>1253.3699999999994</v>
      </c>
      <c r="P13" s="157">
        <f>VLOOKUP(M13,Tarifa1,3)</f>
        <v>0.10879999999999999</v>
      </c>
      <c r="Q13" s="156">
        <f t="shared" ref="Q13" si="15">O13*P13</f>
        <v>136.36665599999992</v>
      </c>
      <c r="R13" s="158">
        <f>VLOOKUP(M13,Tarifa1,2)</f>
        <v>183.45</v>
      </c>
      <c r="S13" s="156">
        <f t="shared" ref="S13" si="16">Q13+R13</f>
        <v>319.81665599999991</v>
      </c>
      <c r="T13" s="156">
        <f>VLOOKUP(M13,Credito1,2)</f>
        <v>0</v>
      </c>
      <c r="U13" s="156">
        <f t="shared" ref="U13" si="17">ROUND(S13-T13,2)</f>
        <v>319.82</v>
      </c>
      <c r="V13" s="155">
        <f t="shared" ref="V13" si="18">-IF(U13&gt;0,0,U13)</f>
        <v>0</v>
      </c>
      <c r="W13" s="155">
        <f>IF(I13/15&lt;=SMG,0,IF(U13&lt;0,0,U13))</f>
        <v>319.82</v>
      </c>
      <c r="X13" s="159">
        <v>0</v>
      </c>
      <c r="Y13" s="155">
        <f>SUM(W13:X13)</f>
        <v>319.82</v>
      </c>
      <c r="Z13" s="155">
        <f>K13+V13-Y13</f>
        <v>4057.9099999999994</v>
      </c>
      <c r="AA13" s="92"/>
    </row>
    <row r="14" spans="1:27" s="93" customFormat="1" ht="126" customHeight="1" x14ac:dyDescent="0.3">
      <c r="A14" s="190"/>
      <c r="B14" s="183">
        <v>317</v>
      </c>
      <c r="C14" s="148" t="s">
        <v>114</v>
      </c>
      <c r="D14" s="214" t="s">
        <v>325</v>
      </c>
      <c r="E14" s="221">
        <v>45078</v>
      </c>
      <c r="F14" s="149" t="s">
        <v>117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ref="M14" si="19">I14+L14</f>
        <v>4377.7299999999996</v>
      </c>
      <c r="N14" s="156">
        <f>VLOOKUP(M14,Tarifa1,1)</f>
        <v>3124.36</v>
      </c>
      <c r="O14" s="156">
        <f t="shared" ref="O14" si="20">M14-N14</f>
        <v>1253.3699999999994</v>
      </c>
      <c r="P14" s="157">
        <f>VLOOKUP(M14,Tarifa1,3)</f>
        <v>0.10879999999999999</v>
      </c>
      <c r="Q14" s="156">
        <f t="shared" ref="Q14" si="21">O14*P14</f>
        <v>136.36665599999992</v>
      </c>
      <c r="R14" s="158">
        <f>VLOOKUP(M14,Tarifa1,2)</f>
        <v>183.45</v>
      </c>
      <c r="S14" s="156">
        <f t="shared" ref="S14" si="22">Q14+R14</f>
        <v>319.81665599999991</v>
      </c>
      <c r="T14" s="156">
        <f>VLOOKUP(M14,Credito1,2)</f>
        <v>0</v>
      </c>
      <c r="U14" s="156">
        <f t="shared" ref="U14" si="23">ROUND(S14-T14,2)</f>
        <v>319.82</v>
      </c>
      <c r="V14" s="155">
        <f t="shared" ref="V14" si="24">-IF(U14&gt;0,0,U14)</f>
        <v>0</v>
      </c>
      <c r="W14" s="155">
        <f>IF(I14/15&lt;=SMG,0,IF(U14&lt;0,0,U14))</f>
        <v>319.82</v>
      </c>
      <c r="X14" s="159">
        <v>0</v>
      </c>
      <c r="Y14" s="155">
        <f>SUM(W14:X14)</f>
        <v>319.82</v>
      </c>
      <c r="Z14" s="155">
        <f>K14+V14-Y14</f>
        <v>4057.9099999999994</v>
      </c>
      <c r="AA14" s="92"/>
    </row>
    <row r="15" spans="1:27" ht="17.399999999999999" x14ac:dyDescent="0.3">
      <c r="A15" s="173"/>
      <c r="B15" s="173"/>
      <c r="C15" s="173"/>
      <c r="D15" s="173"/>
      <c r="E15" s="173"/>
      <c r="F15" s="173"/>
      <c r="G15" s="174"/>
      <c r="H15" s="173"/>
      <c r="I15" s="175"/>
      <c r="J15" s="175"/>
      <c r="K15" s="175"/>
      <c r="L15" s="176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</row>
    <row r="16" spans="1:27" ht="45" customHeight="1" thickBot="1" x14ac:dyDescent="0.35">
      <c r="A16" s="284" t="s">
        <v>44</v>
      </c>
      <c r="B16" s="285"/>
      <c r="C16" s="285"/>
      <c r="D16" s="285"/>
      <c r="E16" s="285"/>
      <c r="F16" s="285"/>
      <c r="G16" s="285"/>
      <c r="H16" s="286"/>
      <c r="I16" s="160">
        <f t="shared" ref="I16:Z16" si="25">SUM(I10:I15)</f>
        <v>23763.919999999998</v>
      </c>
      <c r="J16" s="160">
        <f t="shared" si="25"/>
        <v>416.87</v>
      </c>
      <c r="K16" s="160">
        <f t="shared" si="25"/>
        <v>23763.919999999998</v>
      </c>
      <c r="L16" s="161">
        <f t="shared" si="25"/>
        <v>208.435</v>
      </c>
      <c r="M16" s="161">
        <f t="shared" si="25"/>
        <v>23972.355</v>
      </c>
      <c r="N16" s="161">
        <f t="shared" si="25"/>
        <v>18880.25</v>
      </c>
      <c r="O16" s="161">
        <f t="shared" si="25"/>
        <v>5092.1049999999977</v>
      </c>
      <c r="P16" s="161">
        <f t="shared" si="25"/>
        <v>0.61439999999999995</v>
      </c>
      <c r="Q16" s="161">
        <f t="shared" si="25"/>
        <v>559.5562239999997</v>
      </c>
      <c r="R16" s="161">
        <f t="shared" si="25"/>
        <v>1317.45</v>
      </c>
      <c r="S16" s="161">
        <f t="shared" si="25"/>
        <v>1877.0062239999997</v>
      </c>
      <c r="T16" s="161">
        <f t="shared" si="25"/>
        <v>0</v>
      </c>
      <c r="U16" s="161">
        <f t="shared" si="25"/>
        <v>1877.0199999999998</v>
      </c>
      <c r="V16" s="160">
        <f t="shared" si="25"/>
        <v>0</v>
      </c>
      <c r="W16" s="160">
        <f t="shared" si="25"/>
        <v>1877.0199999999998</v>
      </c>
      <c r="X16" s="160">
        <f t="shared" si="25"/>
        <v>0</v>
      </c>
      <c r="Y16" s="160">
        <f t="shared" si="25"/>
        <v>1877.0199999999998</v>
      </c>
      <c r="Z16" s="160">
        <f t="shared" si="25"/>
        <v>22303.769999999997</v>
      </c>
    </row>
    <row r="17" ht="13.8" thickTop="1" x14ac:dyDescent="0.25"/>
  </sheetData>
  <mergeCells count="9">
    <mergeCell ref="W6:Y6"/>
    <mergeCell ref="A16:H16"/>
    <mergeCell ref="A1:AA1"/>
    <mergeCell ref="A2:AA2"/>
    <mergeCell ref="A3:AA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B20" zoomScale="68" zoomScaleNormal="68" workbookViewId="0">
      <selection activeCell="B25" sqref="A25:XFD34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15.33203125" style="67" customWidth="1"/>
    <col min="5" max="5" width="22" style="67" customWidth="1"/>
    <col min="6" max="6" width="11.33203125" style="67" hidden="1" customWidth="1"/>
    <col min="7" max="7" width="17.5546875" style="67" customWidth="1"/>
    <col min="8" max="8" width="14" style="67" customWidth="1"/>
    <col min="9" max="9" width="15.44140625" style="67" customWidth="1"/>
    <col min="10" max="10" width="12.6640625" style="67" hidden="1" customWidth="1"/>
    <col min="11" max="11" width="13.109375" style="67" hidden="1" customWidth="1"/>
    <col min="12" max="12" width="14.44140625" style="67" hidden="1" customWidth="1"/>
    <col min="13" max="13" width="15" style="67" hidden="1" customWidth="1"/>
    <col min="14" max="14" width="11" style="67" hidden="1" customWidth="1"/>
    <col min="15" max="16" width="13.109375" style="67" hidden="1" customWidth="1"/>
    <col min="17" max="17" width="15.44140625" style="67" hidden="1" customWidth="1"/>
    <col min="18" max="18" width="10.44140625" style="67" hidden="1" customWidth="1"/>
    <col min="19" max="19" width="13.109375" style="67" hidden="1" customWidth="1"/>
    <col min="20" max="20" width="11.5546875" style="67" customWidth="1"/>
    <col min="21" max="21" width="15.5546875" style="67" customWidth="1"/>
    <col min="22" max="22" width="13.1093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4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4"/>
    </row>
    <row r="3" spans="1:27" ht="19.8" x14ac:dyDescent="0.3">
      <c r="A3" s="42" t="s">
        <v>186</v>
      </c>
      <c r="B3" s="288" t="s">
        <v>338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194"/>
      <c r="AA3" s="194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3" t="s">
        <v>22</v>
      </c>
      <c r="G5" s="299" t="s">
        <v>1</v>
      </c>
      <c r="H5" s="300"/>
      <c r="I5" s="301"/>
      <c r="J5" s="24" t="s">
        <v>25</v>
      </c>
      <c r="K5" s="25"/>
      <c r="L5" s="302" t="s">
        <v>8</v>
      </c>
      <c r="M5" s="303"/>
      <c r="N5" s="303"/>
      <c r="O5" s="303"/>
      <c r="P5" s="303"/>
      <c r="Q5" s="304"/>
      <c r="R5" s="24" t="s">
        <v>29</v>
      </c>
      <c r="S5" s="24" t="s">
        <v>9</v>
      </c>
      <c r="T5" s="23" t="s">
        <v>52</v>
      </c>
      <c r="U5" s="305" t="s">
        <v>2</v>
      </c>
      <c r="V5" s="306"/>
      <c r="W5" s="307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101</v>
      </c>
      <c r="C6" s="44" t="s">
        <v>115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290</v>
      </c>
      <c r="V6" s="23" t="s">
        <v>56</v>
      </c>
      <c r="W6" s="23" t="s">
        <v>6</v>
      </c>
      <c r="X6" s="26" t="s">
        <v>3</v>
      </c>
      <c r="Y6" s="36" t="s">
        <v>57</v>
      </c>
      <c r="Z6" s="4"/>
    </row>
    <row r="7" spans="1:27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129</v>
      </c>
      <c r="T7" s="26" t="s">
        <v>51</v>
      </c>
      <c r="U7" s="26"/>
      <c r="V7" s="26"/>
      <c r="W7" s="26" t="s">
        <v>43</v>
      </c>
      <c r="X7" s="26" t="s">
        <v>4</v>
      </c>
      <c r="Y7" s="104"/>
      <c r="Z7" s="4"/>
    </row>
    <row r="8" spans="1:27" ht="28.5" customHeight="1" x14ac:dyDescent="0.25">
      <c r="A8" s="39"/>
      <c r="B8" s="102"/>
      <c r="C8" s="102"/>
      <c r="D8" s="100" t="s">
        <v>310</v>
      </c>
      <c r="E8" s="37" t="s">
        <v>61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81.75" customHeight="1" x14ac:dyDescent="0.3">
      <c r="A9" s="109" t="s">
        <v>83</v>
      </c>
      <c r="B9" s="148" t="s">
        <v>331</v>
      </c>
      <c r="C9" s="148" t="s">
        <v>114</v>
      </c>
      <c r="D9" s="225">
        <v>45090</v>
      </c>
      <c r="E9" s="149" t="s">
        <v>66</v>
      </c>
      <c r="F9" s="151">
        <v>15</v>
      </c>
      <c r="G9" s="153">
        <v>10293</v>
      </c>
      <c r="H9" s="154">
        <v>1372.4</v>
      </c>
      <c r="I9" s="155">
        <f t="shared" ref="I9" si="0">SUM(G9:H9)</f>
        <v>11665.4</v>
      </c>
      <c r="J9" s="156">
        <f t="shared" ref="J9" si="1">IF(G9/15&lt;=SMG,0,H9/2)</f>
        <v>686.2</v>
      </c>
      <c r="K9" s="156">
        <f t="shared" ref="K9" si="2">G9+J9</f>
        <v>10979.2</v>
      </c>
      <c r="L9" s="156">
        <f t="shared" ref="L9" si="3">VLOOKUP(K9,Tarifa1,1)</f>
        <v>7641.91</v>
      </c>
      <c r="M9" s="156">
        <f>K9-L9</f>
        <v>3337.2900000000009</v>
      </c>
      <c r="N9" s="157">
        <f t="shared" ref="N9" si="4">VLOOKUP(K9,Tarifa1,3)</f>
        <v>0.21360000000000001</v>
      </c>
      <c r="O9" s="156">
        <f>M9*N9</f>
        <v>712.84514400000023</v>
      </c>
      <c r="P9" s="158">
        <f t="shared" ref="P9" si="5">VLOOKUP(K9,Tarifa1,2)</f>
        <v>809.25</v>
      </c>
      <c r="Q9" s="156">
        <f>O9+P9</f>
        <v>1522.0951440000003</v>
      </c>
      <c r="R9" s="156">
        <f t="shared" ref="R9" si="6">VLOOKUP(K9,Credito1,2)</f>
        <v>0</v>
      </c>
      <c r="S9" s="156">
        <f>ROUND(Q9-R9,2)</f>
        <v>1522.1</v>
      </c>
      <c r="T9" s="155">
        <f>-IF(S9&gt;0,0,S9)</f>
        <v>0</v>
      </c>
      <c r="U9" s="155">
        <f t="shared" ref="U9" si="7">IF(G9/15&lt;=SMG,0,IF(S9&lt;0,0,S9))</f>
        <v>1522.1</v>
      </c>
      <c r="V9" s="159">
        <v>0</v>
      </c>
      <c r="W9" s="155">
        <f t="shared" ref="W9" si="8">SUM(U9:V9)</f>
        <v>1522.1</v>
      </c>
      <c r="X9" s="155">
        <f>I9+T9-W9</f>
        <v>10143.299999999999</v>
      </c>
      <c r="Y9" s="88"/>
      <c r="Z9" s="4"/>
    </row>
    <row r="10" spans="1:27" s="93" customFormat="1" ht="81.75" customHeight="1" x14ac:dyDescent="0.3">
      <c r="A10" s="109"/>
      <c r="B10" s="148" t="s">
        <v>185</v>
      </c>
      <c r="C10" s="148" t="s">
        <v>114</v>
      </c>
      <c r="D10" s="225">
        <v>43739</v>
      </c>
      <c r="E10" s="149" t="s">
        <v>79</v>
      </c>
      <c r="F10" s="151">
        <v>15</v>
      </c>
      <c r="G10" s="153">
        <v>8409</v>
      </c>
      <c r="H10" s="154">
        <v>0</v>
      </c>
      <c r="I10" s="155">
        <f t="shared" ref="I10:I13" si="9">SUM(G10:H10)</f>
        <v>8409</v>
      </c>
      <c r="J10" s="156">
        <f t="shared" ref="J10:J14" si="10">IF(G10/15&lt;=SMG,0,H10/2)</f>
        <v>0</v>
      </c>
      <c r="K10" s="156">
        <f t="shared" ref="K10:K14" si="11">G10+J10</f>
        <v>8409</v>
      </c>
      <c r="L10" s="156">
        <f t="shared" ref="L10:L22" si="12">VLOOKUP(K10,Tarifa1,1)</f>
        <v>7641.91</v>
      </c>
      <c r="M10" s="156">
        <f t="shared" ref="M10:M22" si="13">K10-L10</f>
        <v>767.09000000000015</v>
      </c>
      <c r="N10" s="157">
        <f t="shared" ref="N10:N22" si="14">VLOOKUP(K10,Tarifa1,3)</f>
        <v>0.21360000000000001</v>
      </c>
      <c r="O10" s="156">
        <f t="shared" ref="O10:O22" si="15">M10*N10</f>
        <v>163.85042400000003</v>
      </c>
      <c r="P10" s="158">
        <f t="shared" ref="P10:P22" si="16">VLOOKUP(K10,Tarifa1,2)</f>
        <v>809.25</v>
      </c>
      <c r="Q10" s="156">
        <f t="shared" ref="Q10:Q22" si="17">O10+P10</f>
        <v>973.10042399999998</v>
      </c>
      <c r="R10" s="156">
        <f t="shared" ref="R10:R22" si="18">VLOOKUP(K10,Credito1,2)</f>
        <v>0</v>
      </c>
      <c r="S10" s="156">
        <f t="shared" ref="S10:S22" si="19">ROUND(Q10-R10,2)</f>
        <v>973.1</v>
      </c>
      <c r="T10" s="155">
        <f t="shared" ref="T10:T15" si="20">-IF(S10&gt;0,0,S10)</f>
        <v>0</v>
      </c>
      <c r="U10" s="155">
        <f t="shared" ref="U10:U22" si="21">IF(G10/15&lt;=SMG,0,IF(S10&lt;0,0,S10))</f>
        <v>973.1</v>
      </c>
      <c r="V10" s="159">
        <v>1500</v>
      </c>
      <c r="W10" s="155">
        <f t="shared" ref="W10" si="22">SUM(U10:V10)</f>
        <v>2473.1</v>
      </c>
      <c r="X10" s="155">
        <f t="shared" ref="X10:X13" si="23">I10+T10-W10</f>
        <v>5935.9</v>
      </c>
      <c r="Y10" s="88"/>
      <c r="Z10" s="4"/>
    </row>
    <row r="11" spans="1:27" s="93" customFormat="1" ht="81.75" customHeight="1" x14ac:dyDescent="0.3">
      <c r="A11" s="190"/>
      <c r="B11" s="148" t="s">
        <v>176</v>
      </c>
      <c r="C11" s="148" t="s">
        <v>114</v>
      </c>
      <c r="D11" s="225">
        <v>43601</v>
      </c>
      <c r="E11" s="150" t="s">
        <v>79</v>
      </c>
      <c r="F11" s="151">
        <v>15</v>
      </c>
      <c r="G11" s="153">
        <v>8409</v>
      </c>
      <c r="H11" s="154">
        <v>0</v>
      </c>
      <c r="I11" s="155">
        <f t="shared" ref="I11:I12" si="24">SUM(G11:H11)</f>
        <v>8409</v>
      </c>
      <c r="J11" s="156">
        <f t="shared" ref="J11:J12" si="25">IF(G11/15&lt;=SMG,0,H11/2)</f>
        <v>0</v>
      </c>
      <c r="K11" s="156">
        <f t="shared" ref="K11:K12" si="26">G11+J11</f>
        <v>8409</v>
      </c>
      <c r="L11" s="156">
        <f t="shared" si="12"/>
        <v>7641.91</v>
      </c>
      <c r="M11" s="156">
        <f t="shared" si="13"/>
        <v>767.09000000000015</v>
      </c>
      <c r="N11" s="157">
        <f t="shared" si="14"/>
        <v>0.21360000000000001</v>
      </c>
      <c r="O11" s="156">
        <f t="shared" si="15"/>
        <v>163.85042400000003</v>
      </c>
      <c r="P11" s="158">
        <f t="shared" si="16"/>
        <v>809.25</v>
      </c>
      <c r="Q11" s="156">
        <f t="shared" si="17"/>
        <v>973.10042399999998</v>
      </c>
      <c r="R11" s="156">
        <f t="shared" si="18"/>
        <v>0</v>
      </c>
      <c r="S11" s="156">
        <f t="shared" si="19"/>
        <v>973.1</v>
      </c>
      <c r="T11" s="155">
        <f t="shared" si="20"/>
        <v>0</v>
      </c>
      <c r="U11" s="155">
        <f t="shared" si="21"/>
        <v>973.1</v>
      </c>
      <c r="V11" s="159">
        <v>0</v>
      </c>
      <c r="W11" s="155">
        <f t="shared" ref="W11:W12" si="27">SUM(U11:V11)</f>
        <v>973.1</v>
      </c>
      <c r="X11" s="155">
        <f t="shared" ref="X11:X12" si="28">I11+T11-W11</f>
        <v>7435.9</v>
      </c>
      <c r="Y11" s="88"/>
      <c r="Z11" s="4"/>
    </row>
    <row r="12" spans="1:27" s="93" customFormat="1" ht="81.75" customHeight="1" x14ac:dyDescent="0.3">
      <c r="A12" s="190"/>
      <c r="B12" s="148" t="s">
        <v>191</v>
      </c>
      <c r="C12" s="148" t="s">
        <v>114</v>
      </c>
      <c r="D12" s="225">
        <v>43937</v>
      </c>
      <c r="E12" s="150" t="s">
        <v>264</v>
      </c>
      <c r="F12" s="151">
        <v>15</v>
      </c>
      <c r="G12" s="153">
        <v>8016</v>
      </c>
      <c r="H12" s="154">
        <v>0</v>
      </c>
      <c r="I12" s="155">
        <f t="shared" si="24"/>
        <v>8016</v>
      </c>
      <c r="J12" s="156">
        <f t="shared" si="25"/>
        <v>0</v>
      </c>
      <c r="K12" s="156">
        <f t="shared" si="26"/>
        <v>8016</v>
      </c>
      <c r="L12" s="156">
        <f t="shared" ref="L12" si="29">VLOOKUP(K12,Tarifa1,1)</f>
        <v>7641.91</v>
      </c>
      <c r="M12" s="156">
        <f t="shared" ref="M12" si="30">K12-L12</f>
        <v>374.09000000000015</v>
      </c>
      <c r="N12" s="157">
        <f t="shared" ref="N12" si="31">VLOOKUP(K12,Tarifa1,3)</f>
        <v>0.21360000000000001</v>
      </c>
      <c r="O12" s="156">
        <f t="shared" ref="O12" si="32">M12*N12</f>
        <v>79.905624000000032</v>
      </c>
      <c r="P12" s="158">
        <f t="shared" ref="P12" si="33">VLOOKUP(K12,Tarifa1,2)</f>
        <v>809.25</v>
      </c>
      <c r="Q12" s="156">
        <f t="shared" ref="Q12" si="34">O12+P12</f>
        <v>889.15562399999999</v>
      </c>
      <c r="R12" s="156">
        <f t="shared" ref="R12" si="35">VLOOKUP(K12,Credito1,2)</f>
        <v>0</v>
      </c>
      <c r="S12" s="156">
        <f t="shared" ref="S12" si="36">ROUND(Q12-R12,2)</f>
        <v>889.16</v>
      </c>
      <c r="T12" s="155">
        <f t="shared" ref="T12" si="37">-IF(S12&gt;0,0,S12)</f>
        <v>0</v>
      </c>
      <c r="U12" s="155">
        <f t="shared" ref="U12" si="38">IF(G12/15&lt;=SMG,0,IF(S12&lt;0,0,S12))</f>
        <v>889.16</v>
      </c>
      <c r="V12" s="159">
        <v>0</v>
      </c>
      <c r="W12" s="155">
        <f t="shared" si="27"/>
        <v>889.16</v>
      </c>
      <c r="X12" s="155">
        <f t="shared" si="28"/>
        <v>7126.84</v>
      </c>
      <c r="Y12" s="88"/>
      <c r="Z12" s="4"/>
    </row>
    <row r="13" spans="1:27" s="93" customFormat="1" ht="81.75" customHeight="1" x14ac:dyDescent="0.3">
      <c r="A13" s="190"/>
      <c r="B13" s="148" t="s">
        <v>105</v>
      </c>
      <c r="C13" s="148" t="s">
        <v>114</v>
      </c>
      <c r="D13" s="226">
        <v>41898</v>
      </c>
      <c r="E13" s="150" t="s">
        <v>80</v>
      </c>
      <c r="F13" s="151">
        <v>15</v>
      </c>
      <c r="G13" s="153">
        <v>7623</v>
      </c>
      <c r="H13" s="154">
        <v>0</v>
      </c>
      <c r="I13" s="155">
        <f t="shared" si="9"/>
        <v>7623</v>
      </c>
      <c r="J13" s="156">
        <f t="shared" si="10"/>
        <v>0</v>
      </c>
      <c r="K13" s="156">
        <f t="shared" si="11"/>
        <v>7623</v>
      </c>
      <c r="L13" s="156">
        <f t="shared" si="12"/>
        <v>6382.81</v>
      </c>
      <c r="M13" s="156">
        <f t="shared" si="13"/>
        <v>1240.1899999999996</v>
      </c>
      <c r="N13" s="157">
        <f t="shared" si="14"/>
        <v>0.1792</v>
      </c>
      <c r="O13" s="156">
        <f t="shared" si="15"/>
        <v>222.24204799999993</v>
      </c>
      <c r="P13" s="158">
        <f t="shared" si="16"/>
        <v>583.65</v>
      </c>
      <c r="Q13" s="156">
        <f t="shared" si="17"/>
        <v>805.89204799999993</v>
      </c>
      <c r="R13" s="156">
        <f t="shared" si="18"/>
        <v>0</v>
      </c>
      <c r="S13" s="156">
        <f t="shared" si="19"/>
        <v>805.89</v>
      </c>
      <c r="T13" s="155">
        <f t="shared" si="20"/>
        <v>0</v>
      </c>
      <c r="U13" s="155">
        <f t="shared" si="21"/>
        <v>805.89</v>
      </c>
      <c r="V13" s="159">
        <v>1000</v>
      </c>
      <c r="W13" s="155">
        <f t="shared" ref="W13" si="39">SUM(U13:V13)</f>
        <v>1805.8899999999999</v>
      </c>
      <c r="X13" s="155">
        <f t="shared" si="23"/>
        <v>5817.1100000000006</v>
      </c>
      <c r="Y13" s="89"/>
      <c r="Z13" s="4"/>
    </row>
    <row r="14" spans="1:27" ht="81.75" customHeight="1" x14ac:dyDescent="0.3">
      <c r="A14" s="190"/>
      <c r="B14" s="148" t="s">
        <v>187</v>
      </c>
      <c r="C14" s="148" t="s">
        <v>114</v>
      </c>
      <c r="D14" s="225">
        <v>43831</v>
      </c>
      <c r="E14" s="150" t="s">
        <v>80</v>
      </c>
      <c r="F14" s="192">
        <v>15</v>
      </c>
      <c r="G14" s="153">
        <v>7623</v>
      </c>
      <c r="H14" s="154">
        <v>0</v>
      </c>
      <c r="I14" s="155">
        <f t="shared" ref="I14" si="40">SUM(G14:H14)</f>
        <v>7623</v>
      </c>
      <c r="J14" s="156">
        <f t="shared" si="10"/>
        <v>0</v>
      </c>
      <c r="K14" s="156">
        <f t="shared" si="11"/>
        <v>7623</v>
      </c>
      <c r="L14" s="156">
        <f t="shared" si="12"/>
        <v>6382.81</v>
      </c>
      <c r="M14" s="156">
        <f t="shared" si="13"/>
        <v>1240.1899999999996</v>
      </c>
      <c r="N14" s="157">
        <f t="shared" si="14"/>
        <v>0.1792</v>
      </c>
      <c r="O14" s="156">
        <f t="shared" si="15"/>
        <v>222.24204799999993</v>
      </c>
      <c r="P14" s="158">
        <f t="shared" si="16"/>
        <v>583.65</v>
      </c>
      <c r="Q14" s="156">
        <f t="shared" si="17"/>
        <v>805.89204799999993</v>
      </c>
      <c r="R14" s="156">
        <f t="shared" si="18"/>
        <v>0</v>
      </c>
      <c r="S14" s="156">
        <f t="shared" si="19"/>
        <v>805.89</v>
      </c>
      <c r="T14" s="155">
        <f t="shared" si="20"/>
        <v>0</v>
      </c>
      <c r="U14" s="155">
        <f t="shared" si="21"/>
        <v>805.89</v>
      </c>
      <c r="V14" s="159">
        <v>0</v>
      </c>
      <c r="W14" s="155">
        <f t="shared" ref="W14" si="41">SUM(U14:V14)</f>
        <v>805.89</v>
      </c>
      <c r="X14" s="155">
        <f t="shared" ref="X14" si="42">I14+T14-W14</f>
        <v>6817.11</v>
      </c>
      <c r="Y14" s="89"/>
      <c r="Z14" s="4"/>
    </row>
    <row r="15" spans="1:27" ht="81.75" customHeight="1" x14ac:dyDescent="0.3">
      <c r="A15" s="190"/>
      <c r="B15" s="148" t="s">
        <v>261</v>
      </c>
      <c r="C15" s="148" t="s">
        <v>114</v>
      </c>
      <c r="D15" s="225">
        <v>44608</v>
      </c>
      <c r="E15" s="150" t="s">
        <v>80</v>
      </c>
      <c r="F15" s="151"/>
      <c r="G15" s="153">
        <v>7623</v>
      </c>
      <c r="H15" s="154">
        <v>0</v>
      </c>
      <c r="I15" s="155">
        <f t="shared" ref="I15" si="43">SUM(G15:H15)</f>
        <v>7623</v>
      </c>
      <c r="J15" s="156">
        <f t="shared" ref="J15:J17" si="44">IF(G15/15&lt;=SMG,0,H15/2)</f>
        <v>0</v>
      </c>
      <c r="K15" s="156">
        <f t="shared" ref="K15:K17" si="45">G15+J15</f>
        <v>7623</v>
      </c>
      <c r="L15" s="156">
        <f t="shared" si="12"/>
        <v>6382.81</v>
      </c>
      <c r="M15" s="156">
        <f t="shared" si="13"/>
        <v>1240.1899999999996</v>
      </c>
      <c r="N15" s="157">
        <f t="shared" si="14"/>
        <v>0.1792</v>
      </c>
      <c r="O15" s="156">
        <f t="shared" si="15"/>
        <v>222.24204799999993</v>
      </c>
      <c r="P15" s="158">
        <f t="shared" si="16"/>
        <v>583.65</v>
      </c>
      <c r="Q15" s="156">
        <f t="shared" si="17"/>
        <v>805.89204799999993</v>
      </c>
      <c r="R15" s="156">
        <f t="shared" si="18"/>
        <v>0</v>
      </c>
      <c r="S15" s="156">
        <f t="shared" si="19"/>
        <v>805.89</v>
      </c>
      <c r="T15" s="155">
        <f t="shared" si="20"/>
        <v>0</v>
      </c>
      <c r="U15" s="155">
        <f t="shared" si="21"/>
        <v>805.89</v>
      </c>
      <c r="V15" s="159">
        <v>1000</v>
      </c>
      <c r="W15" s="155">
        <f t="shared" ref="W15" si="46">SUM(U15:V15)</f>
        <v>1805.8899999999999</v>
      </c>
      <c r="X15" s="155">
        <f t="shared" ref="X15:X17" si="47">I15+T15-W15</f>
        <v>5817.1100000000006</v>
      </c>
      <c r="Y15" s="89"/>
      <c r="Z15" s="4"/>
    </row>
    <row r="16" spans="1:27" ht="81.75" customHeight="1" x14ac:dyDescent="0.3">
      <c r="A16" s="190"/>
      <c r="B16" s="148" t="s">
        <v>314</v>
      </c>
      <c r="C16" s="148" t="s">
        <v>114</v>
      </c>
      <c r="D16" s="226">
        <v>44986</v>
      </c>
      <c r="E16" s="150" t="s">
        <v>80</v>
      </c>
      <c r="F16" s="151"/>
      <c r="G16" s="153">
        <v>7623</v>
      </c>
      <c r="H16" s="154">
        <v>0</v>
      </c>
      <c r="I16" s="155">
        <f t="shared" ref="I16:I17" si="48">SUM(G16:H16)</f>
        <v>7623</v>
      </c>
      <c r="J16" s="156">
        <f t="shared" si="44"/>
        <v>0</v>
      </c>
      <c r="K16" s="156">
        <f t="shared" si="45"/>
        <v>7623</v>
      </c>
      <c r="L16" s="156">
        <f t="shared" ref="L16:L17" si="49">VLOOKUP(K16,Tarifa1,1)</f>
        <v>6382.81</v>
      </c>
      <c r="M16" s="156">
        <f t="shared" ref="M16:M17" si="50">K16-L16</f>
        <v>1240.1899999999996</v>
      </c>
      <c r="N16" s="157">
        <f t="shared" ref="N16:N17" si="51">VLOOKUP(K16,Tarifa1,3)</f>
        <v>0.1792</v>
      </c>
      <c r="O16" s="156">
        <f t="shared" ref="O16:O17" si="52">M16*N16</f>
        <v>222.24204799999993</v>
      </c>
      <c r="P16" s="158">
        <f t="shared" ref="P16:P17" si="53">VLOOKUP(K16,Tarifa1,2)</f>
        <v>583.65</v>
      </c>
      <c r="Q16" s="156">
        <f t="shared" ref="Q16:Q17" si="54">O16+P16</f>
        <v>805.89204799999993</v>
      </c>
      <c r="R16" s="156">
        <f t="shared" ref="R16:R17" si="55">VLOOKUP(K16,Credito1,2)</f>
        <v>0</v>
      </c>
      <c r="S16" s="156">
        <f t="shared" ref="S16:S17" si="56">ROUND(Q16-R16,2)</f>
        <v>805.89</v>
      </c>
      <c r="T16" s="155">
        <f t="shared" ref="T16:T17" si="57">-IF(S16&gt;0,0,S16)</f>
        <v>0</v>
      </c>
      <c r="U16" s="155">
        <f t="shared" ref="U16:U17" si="58">IF(G16/15&lt;=SMG,0,IF(S16&lt;0,0,S16))</f>
        <v>805.89</v>
      </c>
      <c r="V16" s="159">
        <v>0</v>
      </c>
      <c r="W16" s="155">
        <f t="shared" ref="W16:W17" si="59">SUM(U16:V16)</f>
        <v>805.89</v>
      </c>
      <c r="X16" s="155">
        <f t="shared" si="47"/>
        <v>6817.11</v>
      </c>
      <c r="Y16" s="89"/>
      <c r="Z16" s="4"/>
    </row>
    <row r="17" spans="1:26" ht="81.75" customHeight="1" x14ac:dyDescent="0.3">
      <c r="A17" s="190"/>
      <c r="B17" s="148" t="s">
        <v>332</v>
      </c>
      <c r="C17" s="148" t="s">
        <v>114</v>
      </c>
      <c r="D17" s="226">
        <v>45090</v>
      </c>
      <c r="E17" s="150" t="s">
        <v>80</v>
      </c>
      <c r="F17" s="151"/>
      <c r="G17" s="153">
        <v>7623</v>
      </c>
      <c r="H17" s="154">
        <v>0</v>
      </c>
      <c r="I17" s="155">
        <f t="shared" si="48"/>
        <v>7623</v>
      </c>
      <c r="J17" s="156">
        <f t="shared" si="44"/>
        <v>0</v>
      </c>
      <c r="K17" s="156">
        <f t="shared" si="45"/>
        <v>7623</v>
      </c>
      <c r="L17" s="156">
        <f t="shared" si="49"/>
        <v>6382.81</v>
      </c>
      <c r="M17" s="156">
        <f t="shared" si="50"/>
        <v>1240.1899999999996</v>
      </c>
      <c r="N17" s="157">
        <f t="shared" si="51"/>
        <v>0.1792</v>
      </c>
      <c r="O17" s="156">
        <f t="shared" si="52"/>
        <v>222.24204799999993</v>
      </c>
      <c r="P17" s="158">
        <f t="shared" si="53"/>
        <v>583.65</v>
      </c>
      <c r="Q17" s="156">
        <f t="shared" si="54"/>
        <v>805.89204799999993</v>
      </c>
      <c r="R17" s="156">
        <f t="shared" si="55"/>
        <v>0</v>
      </c>
      <c r="S17" s="156">
        <f t="shared" si="56"/>
        <v>805.89</v>
      </c>
      <c r="T17" s="155">
        <f t="shared" si="57"/>
        <v>0</v>
      </c>
      <c r="U17" s="155">
        <f t="shared" si="58"/>
        <v>805.89</v>
      </c>
      <c r="V17" s="159">
        <v>0</v>
      </c>
      <c r="W17" s="155">
        <f t="shared" si="59"/>
        <v>805.89</v>
      </c>
      <c r="X17" s="155">
        <f t="shared" si="47"/>
        <v>6817.11</v>
      </c>
      <c r="Y17" s="89"/>
      <c r="Z17" s="4"/>
    </row>
    <row r="18" spans="1:26" ht="81.75" customHeight="1" x14ac:dyDescent="0.3">
      <c r="A18" s="190"/>
      <c r="B18" s="148" t="s">
        <v>333</v>
      </c>
      <c r="C18" s="148" t="s">
        <v>153</v>
      </c>
      <c r="D18" s="226">
        <v>45092</v>
      </c>
      <c r="E18" s="150" t="s">
        <v>80</v>
      </c>
      <c r="F18" s="151"/>
      <c r="G18" s="153">
        <v>8131.2</v>
      </c>
      <c r="H18" s="154">
        <v>0</v>
      </c>
      <c r="I18" s="155">
        <f t="shared" ref="I18" si="60">SUM(G18:H18)</f>
        <v>8131.2</v>
      </c>
      <c r="J18" s="156">
        <f t="shared" ref="J18" si="61">IF(G18/15&lt;=SMG,0,H18/2)</f>
        <v>0</v>
      </c>
      <c r="K18" s="156">
        <f t="shared" ref="K18" si="62">G18+J18</f>
        <v>8131.2</v>
      </c>
      <c r="L18" s="156">
        <f t="shared" ref="L18" si="63">VLOOKUP(K18,Tarifa1,1)</f>
        <v>7641.91</v>
      </c>
      <c r="M18" s="156">
        <f t="shared" ref="M18" si="64">K18-L18</f>
        <v>489.28999999999996</v>
      </c>
      <c r="N18" s="157">
        <f t="shared" ref="N18" si="65">VLOOKUP(K18,Tarifa1,3)</f>
        <v>0.21360000000000001</v>
      </c>
      <c r="O18" s="156">
        <f t="shared" ref="O18" si="66">M18*N18</f>
        <v>104.512344</v>
      </c>
      <c r="P18" s="158">
        <f t="shared" ref="P18" si="67">VLOOKUP(K18,Tarifa1,2)</f>
        <v>809.25</v>
      </c>
      <c r="Q18" s="156">
        <f t="shared" ref="Q18" si="68">O18+P18</f>
        <v>913.76234399999998</v>
      </c>
      <c r="R18" s="156">
        <f t="shared" ref="R18" si="69">VLOOKUP(K18,Credito1,2)</f>
        <v>0</v>
      </c>
      <c r="S18" s="156">
        <f t="shared" ref="S18" si="70">ROUND(Q18-R18,2)</f>
        <v>913.76</v>
      </c>
      <c r="T18" s="155">
        <f t="shared" ref="T18" si="71">-IF(S18&gt;0,0,S18)</f>
        <v>0</v>
      </c>
      <c r="U18" s="155">
        <f t="shared" ref="U18" si="72">IF(G18/15&lt;=SMG,0,IF(S18&lt;0,0,S18))</f>
        <v>913.76</v>
      </c>
      <c r="V18" s="159">
        <v>0</v>
      </c>
      <c r="W18" s="155">
        <f t="shared" ref="W18" si="73">SUM(U18:V18)</f>
        <v>913.76</v>
      </c>
      <c r="X18" s="155">
        <f t="shared" ref="X18" si="74">I18+T18-W18</f>
        <v>7217.44</v>
      </c>
      <c r="Y18" s="89"/>
      <c r="Z18" s="4"/>
    </row>
    <row r="19" spans="1:26" ht="81.75" customHeight="1" x14ac:dyDescent="0.3">
      <c r="A19" s="190"/>
      <c r="B19" s="148" t="s">
        <v>334</v>
      </c>
      <c r="C19" s="148" t="s">
        <v>153</v>
      </c>
      <c r="D19" s="226">
        <v>45092</v>
      </c>
      <c r="E19" s="150" t="s">
        <v>80</v>
      </c>
      <c r="F19" s="151"/>
      <c r="G19" s="153">
        <v>8131.2</v>
      </c>
      <c r="H19" s="154">
        <v>0</v>
      </c>
      <c r="I19" s="155">
        <f t="shared" ref="I19:I20" si="75">SUM(G19:H19)</f>
        <v>8131.2</v>
      </c>
      <c r="J19" s="156">
        <f t="shared" ref="J19:J20" si="76">IF(G19/15&lt;=SMG,0,H19/2)</f>
        <v>0</v>
      </c>
      <c r="K19" s="156">
        <f t="shared" ref="K19:K20" si="77">G19+J19</f>
        <v>8131.2</v>
      </c>
      <c r="L19" s="156">
        <f t="shared" ref="L19:L20" si="78">VLOOKUP(K19,Tarifa1,1)</f>
        <v>7641.91</v>
      </c>
      <c r="M19" s="156">
        <f t="shared" ref="M19:M20" si="79">K19-L19</f>
        <v>489.28999999999996</v>
      </c>
      <c r="N19" s="157">
        <f t="shared" ref="N19:N20" si="80">VLOOKUP(K19,Tarifa1,3)</f>
        <v>0.21360000000000001</v>
      </c>
      <c r="O19" s="156">
        <f t="shared" ref="O19:O20" si="81">M19*N19</f>
        <v>104.512344</v>
      </c>
      <c r="P19" s="158">
        <f t="shared" ref="P19:P20" si="82">VLOOKUP(K19,Tarifa1,2)</f>
        <v>809.25</v>
      </c>
      <c r="Q19" s="156">
        <f t="shared" ref="Q19:Q20" si="83">O19+P19</f>
        <v>913.76234399999998</v>
      </c>
      <c r="R19" s="156">
        <f t="shared" ref="R19:R20" si="84">VLOOKUP(K19,Credito1,2)</f>
        <v>0</v>
      </c>
      <c r="S19" s="156">
        <f t="shared" ref="S19:S20" si="85">ROUND(Q19-R19,2)</f>
        <v>913.76</v>
      </c>
      <c r="T19" s="155">
        <f t="shared" ref="T19:T20" si="86">-IF(S19&gt;0,0,S19)</f>
        <v>0</v>
      </c>
      <c r="U19" s="155">
        <f t="shared" ref="U19:U20" si="87">IF(G19/15&lt;=SMG,0,IF(S19&lt;0,0,S19))</f>
        <v>913.76</v>
      </c>
      <c r="V19" s="159">
        <v>0</v>
      </c>
      <c r="W19" s="155">
        <f t="shared" ref="W19:W20" si="88">SUM(U19:V19)</f>
        <v>913.76</v>
      </c>
      <c r="X19" s="155">
        <f t="shared" ref="X19:X20" si="89">I19+T19-W19</f>
        <v>7217.44</v>
      </c>
      <c r="Y19" s="89"/>
      <c r="Z19" s="4"/>
    </row>
    <row r="20" spans="1:26" ht="81.75" customHeight="1" x14ac:dyDescent="0.3">
      <c r="A20" s="190"/>
      <c r="B20" s="148" t="s">
        <v>336</v>
      </c>
      <c r="C20" s="148" t="s">
        <v>114</v>
      </c>
      <c r="D20" s="226">
        <v>45096</v>
      </c>
      <c r="E20" s="150" t="s">
        <v>80</v>
      </c>
      <c r="F20" s="151"/>
      <c r="G20" s="153">
        <v>6098.4</v>
      </c>
      <c r="H20" s="154">
        <v>0</v>
      </c>
      <c r="I20" s="155">
        <f t="shared" si="75"/>
        <v>6098.4</v>
      </c>
      <c r="J20" s="156">
        <f t="shared" si="76"/>
        <v>0</v>
      </c>
      <c r="K20" s="156">
        <f t="shared" si="77"/>
        <v>6098.4</v>
      </c>
      <c r="L20" s="156">
        <f t="shared" si="78"/>
        <v>5490.76</v>
      </c>
      <c r="M20" s="156">
        <f t="shared" si="79"/>
        <v>607.63999999999942</v>
      </c>
      <c r="N20" s="157">
        <f t="shared" si="80"/>
        <v>0.16</v>
      </c>
      <c r="O20" s="156">
        <f t="shared" si="81"/>
        <v>97.222399999999908</v>
      </c>
      <c r="P20" s="158">
        <f t="shared" si="82"/>
        <v>441</v>
      </c>
      <c r="Q20" s="156">
        <f t="shared" si="83"/>
        <v>538.22239999999988</v>
      </c>
      <c r="R20" s="156">
        <f t="shared" si="84"/>
        <v>0</v>
      </c>
      <c r="S20" s="156">
        <f t="shared" si="85"/>
        <v>538.22</v>
      </c>
      <c r="T20" s="155">
        <f t="shared" si="86"/>
        <v>0</v>
      </c>
      <c r="U20" s="155">
        <f t="shared" si="87"/>
        <v>538.22</v>
      </c>
      <c r="V20" s="159">
        <v>0</v>
      </c>
      <c r="W20" s="155">
        <f t="shared" si="88"/>
        <v>538.22</v>
      </c>
      <c r="X20" s="155">
        <f t="shared" si="89"/>
        <v>5560.1799999999994</v>
      </c>
      <c r="Y20" s="89"/>
      <c r="Z20" s="4"/>
    </row>
    <row r="21" spans="1:26" ht="81.75" customHeight="1" x14ac:dyDescent="0.3">
      <c r="A21" s="190"/>
      <c r="B21" s="148" t="s">
        <v>337</v>
      </c>
      <c r="C21" s="148" t="s">
        <v>153</v>
      </c>
      <c r="D21" s="226">
        <v>45096</v>
      </c>
      <c r="E21" s="150" t="s">
        <v>80</v>
      </c>
      <c r="F21" s="151"/>
      <c r="G21" s="153">
        <v>6098.4</v>
      </c>
      <c r="H21" s="154">
        <v>0</v>
      </c>
      <c r="I21" s="155">
        <f t="shared" ref="I21" si="90">SUM(G21:H21)</f>
        <v>6098.4</v>
      </c>
      <c r="J21" s="156">
        <f t="shared" ref="J21" si="91">IF(G21/15&lt;=SMG,0,H21/2)</f>
        <v>0</v>
      </c>
      <c r="K21" s="156">
        <f t="shared" ref="K21" si="92">G21+J21</f>
        <v>6098.4</v>
      </c>
      <c r="L21" s="156">
        <f t="shared" ref="L21" si="93">VLOOKUP(K21,Tarifa1,1)</f>
        <v>5490.76</v>
      </c>
      <c r="M21" s="156">
        <f t="shared" ref="M21" si="94">K21-L21</f>
        <v>607.63999999999942</v>
      </c>
      <c r="N21" s="157">
        <f t="shared" ref="N21" si="95">VLOOKUP(K21,Tarifa1,3)</f>
        <v>0.16</v>
      </c>
      <c r="O21" s="156">
        <f t="shared" ref="O21" si="96">M21*N21</f>
        <v>97.222399999999908</v>
      </c>
      <c r="P21" s="158">
        <f t="shared" ref="P21" si="97">VLOOKUP(K21,Tarifa1,2)</f>
        <v>441</v>
      </c>
      <c r="Q21" s="156">
        <f t="shared" ref="Q21" si="98">O21+P21</f>
        <v>538.22239999999988</v>
      </c>
      <c r="R21" s="156">
        <f t="shared" ref="R21" si="99">VLOOKUP(K21,Credito1,2)</f>
        <v>0</v>
      </c>
      <c r="S21" s="156">
        <f t="shared" ref="S21" si="100">ROUND(Q21-R21,2)</f>
        <v>538.22</v>
      </c>
      <c r="T21" s="155">
        <f t="shared" ref="T21" si="101">-IF(S21&gt;0,0,S21)</f>
        <v>0</v>
      </c>
      <c r="U21" s="155">
        <f t="shared" ref="U21" si="102">IF(G21/15&lt;=SMG,0,IF(S21&lt;0,0,S21))</f>
        <v>538.22</v>
      </c>
      <c r="V21" s="159">
        <v>0</v>
      </c>
      <c r="W21" s="155">
        <f t="shared" ref="W21" si="103">SUM(U21:V21)</f>
        <v>538.22</v>
      </c>
      <c r="X21" s="155">
        <f t="shared" ref="X21" si="104">I21+T21-W21</f>
        <v>5560.1799999999994</v>
      </c>
      <c r="Y21" s="89"/>
      <c r="Z21" s="4"/>
    </row>
    <row r="22" spans="1:26" ht="81.75" customHeight="1" x14ac:dyDescent="0.3">
      <c r="A22" s="190"/>
      <c r="B22" s="148" t="s">
        <v>335</v>
      </c>
      <c r="C22" s="148" t="s">
        <v>153</v>
      </c>
      <c r="D22" s="226">
        <v>45106</v>
      </c>
      <c r="E22" s="150" t="s">
        <v>80</v>
      </c>
      <c r="F22" s="151"/>
      <c r="G22" s="153">
        <v>962.32</v>
      </c>
      <c r="H22" s="154">
        <v>0</v>
      </c>
      <c r="I22" s="155">
        <f t="shared" ref="I22" si="105">SUM(G22:H22)</f>
        <v>962.32</v>
      </c>
      <c r="J22" s="156">
        <f t="shared" ref="J22" si="106">IF(G22/15&lt;=SMG,0,H22/2)</f>
        <v>0</v>
      </c>
      <c r="K22" s="156">
        <f t="shared" ref="K22" si="107">G22+J22</f>
        <v>962.32</v>
      </c>
      <c r="L22" s="156">
        <f t="shared" si="12"/>
        <v>368.11</v>
      </c>
      <c r="M22" s="156">
        <f t="shared" si="13"/>
        <v>594.21</v>
      </c>
      <c r="N22" s="157">
        <f t="shared" si="14"/>
        <v>6.4000000000000001E-2</v>
      </c>
      <c r="O22" s="156">
        <f t="shared" si="15"/>
        <v>38.029440000000001</v>
      </c>
      <c r="P22" s="158">
        <f t="shared" si="16"/>
        <v>7.05</v>
      </c>
      <c r="Q22" s="156">
        <f t="shared" si="17"/>
        <v>45.079439999999998</v>
      </c>
      <c r="R22" s="156">
        <f t="shared" si="18"/>
        <v>200.7</v>
      </c>
      <c r="S22" s="156">
        <f t="shared" si="19"/>
        <v>-155.62</v>
      </c>
      <c r="T22" s="155">
        <v>0</v>
      </c>
      <c r="U22" s="155">
        <f t="shared" si="21"/>
        <v>0</v>
      </c>
      <c r="V22" s="159">
        <v>0</v>
      </c>
      <c r="W22" s="155">
        <f t="shared" ref="W22" si="108">SUM(U22:V22)</f>
        <v>0</v>
      </c>
      <c r="X22" s="155">
        <f t="shared" ref="X22" si="109">I22+T22-W22</f>
        <v>962.32</v>
      </c>
      <c r="Y22" s="89"/>
      <c r="Z22" s="4"/>
    </row>
    <row r="23" spans="1:26" ht="29.25" customHeight="1" thickBot="1" x14ac:dyDescent="0.35">
      <c r="A23" s="284" t="s">
        <v>44</v>
      </c>
      <c r="B23" s="285"/>
      <c r="C23" s="285"/>
      <c r="D23" s="285"/>
      <c r="E23" s="285"/>
      <c r="F23" s="285"/>
      <c r="G23" s="160">
        <f>SUM(G9:G22)</f>
        <v>102663.51999999999</v>
      </c>
      <c r="H23" s="160">
        <f>SUM(H9:H22)</f>
        <v>1372.4</v>
      </c>
      <c r="I23" s="160">
        <f>SUM(I9:I22)</f>
        <v>104035.91999999998</v>
      </c>
      <c r="J23" s="161">
        <f t="shared" ref="J23:S23" si="110">SUM(J9:J13)</f>
        <v>686.2</v>
      </c>
      <c r="K23" s="161">
        <f t="shared" si="110"/>
        <v>43436.2</v>
      </c>
      <c r="L23" s="161">
        <f t="shared" si="110"/>
        <v>36950.449999999997</v>
      </c>
      <c r="M23" s="161">
        <f t="shared" si="110"/>
        <v>6485.7500000000009</v>
      </c>
      <c r="N23" s="161">
        <f t="shared" si="110"/>
        <v>1.0336000000000001</v>
      </c>
      <c r="O23" s="161">
        <f t="shared" si="110"/>
        <v>1342.6936640000001</v>
      </c>
      <c r="P23" s="161">
        <f t="shared" si="110"/>
        <v>3820.65</v>
      </c>
      <c r="Q23" s="161">
        <f t="shared" si="110"/>
        <v>5163.343664</v>
      </c>
      <c r="R23" s="161">
        <f t="shared" si="110"/>
        <v>0</v>
      </c>
      <c r="S23" s="161">
        <f t="shared" si="110"/>
        <v>5163.3500000000004</v>
      </c>
      <c r="T23" s="160">
        <f>SUM(T9:T22)</f>
        <v>0</v>
      </c>
      <c r="U23" s="160">
        <f>SUM(U9:U22)</f>
        <v>11290.87</v>
      </c>
      <c r="V23" s="160">
        <f>SUM(V9:V22)</f>
        <v>3500</v>
      </c>
      <c r="W23" s="160">
        <f>SUM(W9:W22)</f>
        <v>14790.869999999997</v>
      </c>
      <c r="X23" s="160">
        <f>SUM(X9:X22)</f>
        <v>89245.05</v>
      </c>
      <c r="Y23" s="4"/>
      <c r="Z23" s="4"/>
    </row>
    <row r="24" spans="1:26" ht="13.8" thickTop="1" x14ac:dyDescent="0.25"/>
  </sheetData>
  <mergeCells count="7">
    <mergeCell ref="A23:F23"/>
    <mergeCell ref="A1:Y1"/>
    <mergeCell ref="A2:Y2"/>
    <mergeCell ref="G5:I5"/>
    <mergeCell ref="L5:Q5"/>
    <mergeCell ref="U5:W5"/>
    <mergeCell ref="B3:Y3"/>
  </mergeCells>
  <pageMargins left="0.27559055118110237" right="0.27559055118110237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B15" zoomScale="73" zoomScaleNormal="73" workbookViewId="0">
      <selection activeCell="F40" sqref="F40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3.33203125" style="67" customWidth="1"/>
    <col min="25" max="25" width="13" style="67" customWidth="1"/>
    <col min="26" max="26" width="15.88671875" style="67" customWidth="1"/>
    <col min="27" max="27" width="50" style="67" customWidth="1"/>
    <col min="28" max="16384" width="11.44140625" style="67"/>
  </cols>
  <sheetData>
    <row r="1" spans="1:27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27" ht="16.2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x14ac:dyDescent="0.25">
      <c r="A6" s="68"/>
      <c r="B6" s="68"/>
      <c r="C6" s="68"/>
      <c r="D6" s="68"/>
      <c r="E6" s="68"/>
      <c r="F6" s="68"/>
      <c r="G6" s="69" t="s">
        <v>22</v>
      </c>
      <c r="H6" s="69" t="s">
        <v>5</v>
      </c>
      <c r="I6" s="327" t="s">
        <v>1</v>
      </c>
      <c r="J6" s="328"/>
      <c r="K6" s="329"/>
      <c r="L6" s="70" t="s">
        <v>25</v>
      </c>
      <c r="M6" s="71"/>
      <c r="N6" s="330" t="s">
        <v>8</v>
      </c>
      <c r="O6" s="331"/>
      <c r="P6" s="331"/>
      <c r="Q6" s="331"/>
      <c r="R6" s="331"/>
      <c r="S6" s="332"/>
      <c r="T6" s="70" t="s">
        <v>29</v>
      </c>
      <c r="U6" s="70" t="s">
        <v>9</v>
      </c>
      <c r="V6" s="69" t="s">
        <v>52</v>
      </c>
      <c r="W6" s="333" t="s">
        <v>2</v>
      </c>
      <c r="X6" s="334"/>
      <c r="Y6" s="335"/>
      <c r="Z6" s="69" t="s">
        <v>0</v>
      </c>
      <c r="AA6" s="72"/>
    </row>
    <row r="7" spans="1:27" ht="21" x14ac:dyDescent="0.25">
      <c r="A7" s="73" t="s">
        <v>20</v>
      </c>
      <c r="B7" s="74" t="s">
        <v>101</v>
      </c>
      <c r="C7" s="74" t="s">
        <v>115</v>
      </c>
      <c r="D7" s="73" t="s">
        <v>21</v>
      </c>
      <c r="E7" s="73"/>
      <c r="F7" s="73"/>
      <c r="G7" s="75" t="s">
        <v>23</v>
      </c>
      <c r="H7" s="73" t="s">
        <v>24</v>
      </c>
      <c r="I7" s="69" t="s">
        <v>5</v>
      </c>
      <c r="J7" s="69" t="s">
        <v>58</v>
      </c>
      <c r="K7" s="69" t="s">
        <v>27</v>
      </c>
      <c r="L7" s="76" t="s">
        <v>26</v>
      </c>
      <c r="M7" s="71" t="s">
        <v>31</v>
      </c>
      <c r="N7" s="71" t="s">
        <v>11</v>
      </c>
      <c r="O7" s="71" t="s">
        <v>33</v>
      </c>
      <c r="P7" s="71" t="s">
        <v>35</v>
      </c>
      <c r="Q7" s="71" t="s">
        <v>36</v>
      </c>
      <c r="R7" s="71" t="s">
        <v>13</v>
      </c>
      <c r="S7" s="71" t="s">
        <v>9</v>
      </c>
      <c r="T7" s="76" t="s">
        <v>39</v>
      </c>
      <c r="U7" s="76" t="s">
        <v>40</v>
      </c>
      <c r="V7" s="73" t="s">
        <v>30</v>
      </c>
      <c r="W7" s="23" t="s">
        <v>290</v>
      </c>
      <c r="X7" s="69" t="s">
        <v>56</v>
      </c>
      <c r="Y7" s="69" t="s">
        <v>6</v>
      </c>
      <c r="Z7" s="73" t="s">
        <v>3</v>
      </c>
      <c r="AA7" s="77" t="s">
        <v>57</v>
      </c>
    </row>
    <row r="8" spans="1:27" x14ac:dyDescent="0.25">
      <c r="A8" s="78"/>
      <c r="B8" s="73"/>
      <c r="C8" s="73"/>
      <c r="D8" s="73"/>
      <c r="E8" s="73"/>
      <c r="F8" s="73"/>
      <c r="G8" s="73"/>
      <c r="H8" s="73"/>
      <c r="I8" s="73" t="s">
        <v>46</v>
      </c>
      <c r="J8" s="73" t="s">
        <v>59</v>
      </c>
      <c r="K8" s="73" t="s">
        <v>28</v>
      </c>
      <c r="L8" s="76" t="s">
        <v>42</v>
      </c>
      <c r="M8" s="70" t="s">
        <v>32</v>
      </c>
      <c r="N8" s="70" t="s">
        <v>12</v>
      </c>
      <c r="O8" s="70" t="s">
        <v>34</v>
      </c>
      <c r="P8" s="70" t="s">
        <v>34</v>
      </c>
      <c r="Q8" s="70" t="s">
        <v>37</v>
      </c>
      <c r="R8" s="70" t="s">
        <v>14</v>
      </c>
      <c r="S8" s="70" t="s">
        <v>38</v>
      </c>
      <c r="T8" s="76" t="s">
        <v>18</v>
      </c>
      <c r="U8" s="79" t="s">
        <v>129</v>
      </c>
      <c r="V8" s="73" t="s">
        <v>51</v>
      </c>
      <c r="W8" s="73"/>
      <c r="X8" s="73"/>
      <c r="Y8" s="73" t="s">
        <v>43</v>
      </c>
      <c r="Z8" s="73" t="s">
        <v>4</v>
      </c>
      <c r="AA8" s="80"/>
    </row>
    <row r="9" spans="1:27" ht="52.2" x14ac:dyDescent="0.3">
      <c r="A9" s="81"/>
      <c r="B9" s="82"/>
      <c r="C9" s="82"/>
      <c r="D9" s="193" t="s">
        <v>136</v>
      </c>
      <c r="E9" s="100" t="s">
        <v>309</v>
      </c>
      <c r="F9" s="83" t="s">
        <v>61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4"/>
    </row>
    <row r="10" spans="1:27" ht="96" customHeight="1" x14ac:dyDescent="0.3">
      <c r="A10" s="211"/>
      <c r="B10" s="148" t="s">
        <v>280</v>
      </c>
      <c r="C10" s="148" t="s">
        <v>114</v>
      </c>
      <c r="D10" s="191" t="s">
        <v>278</v>
      </c>
      <c r="E10" s="225">
        <v>44730</v>
      </c>
      <c r="F10" s="150" t="s">
        <v>279</v>
      </c>
      <c r="G10" s="151"/>
      <c r="H10" s="152"/>
      <c r="I10" s="153">
        <v>9547</v>
      </c>
      <c r="J10" s="154">
        <v>0</v>
      </c>
      <c r="K10" s="155">
        <f t="shared" ref="K10" si="0">SUM(I10:J10)</f>
        <v>9547</v>
      </c>
      <c r="L10" s="156">
        <f t="shared" ref="L10" si="1">IF(I10/15&lt;=SMG,0,J10/2)</f>
        <v>0</v>
      </c>
      <c r="M10" s="156">
        <f t="shared" ref="M10" si="2">I10+L10</f>
        <v>9547</v>
      </c>
      <c r="N10" s="156">
        <f t="shared" ref="N10:N17" si="3">VLOOKUP(M10,Tarifa1,1)</f>
        <v>7641.91</v>
      </c>
      <c r="O10" s="156">
        <f>M10-N10</f>
        <v>1905.0900000000001</v>
      </c>
      <c r="P10" s="157">
        <f t="shared" ref="P10:P17" si="4">VLOOKUP(M10,Tarifa1,3)</f>
        <v>0.21360000000000001</v>
      </c>
      <c r="Q10" s="156">
        <f>O10*P10</f>
        <v>406.92722400000008</v>
      </c>
      <c r="R10" s="158">
        <f t="shared" ref="R10:R17" si="5">VLOOKUP(M10,Tarifa1,2)</f>
        <v>809.25</v>
      </c>
      <c r="S10" s="156">
        <f>Q10+R10</f>
        <v>1216.177224</v>
      </c>
      <c r="T10" s="156">
        <f t="shared" ref="T10:T17" si="6">VLOOKUP(M10,Credito1,2)</f>
        <v>0</v>
      </c>
      <c r="U10" s="156">
        <f>ROUND(S10-T10,2)</f>
        <v>1216.18</v>
      </c>
      <c r="V10" s="155">
        <f>-IF(U10&gt;0,0,U10)</f>
        <v>0</v>
      </c>
      <c r="W10" s="155">
        <f t="shared" ref="W10:W17" si="7">IF(I10/15&lt;=SMG,0,IF(U10&lt;0,0,U10))</f>
        <v>1216.18</v>
      </c>
      <c r="X10" s="159">
        <v>0</v>
      </c>
      <c r="Y10" s="155">
        <f t="shared" ref="Y10" si="8">SUM(W10:X10)</f>
        <v>1216.18</v>
      </c>
      <c r="Z10" s="155">
        <f t="shared" ref="Z10" si="9">K10+V10-Y10</f>
        <v>8330.82</v>
      </c>
      <c r="AA10" s="207"/>
    </row>
    <row r="11" spans="1:27" s="93" customFormat="1" ht="96" customHeight="1" x14ac:dyDescent="0.3">
      <c r="A11" s="109"/>
      <c r="B11" s="148" t="s">
        <v>197</v>
      </c>
      <c r="C11" s="148" t="s">
        <v>114</v>
      </c>
      <c r="D11" s="191" t="s">
        <v>196</v>
      </c>
      <c r="E11" s="225">
        <v>43998</v>
      </c>
      <c r="F11" s="149" t="s">
        <v>134</v>
      </c>
      <c r="G11" s="151"/>
      <c r="H11" s="152"/>
      <c r="I11" s="153">
        <v>5767.5</v>
      </c>
      <c r="J11" s="154">
        <v>0</v>
      </c>
      <c r="K11" s="155">
        <f t="shared" ref="K11" si="10">SUM(I11:J11)</f>
        <v>5767.5</v>
      </c>
      <c r="L11" s="156">
        <f t="shared" ref="L11" si="11">IF(I11/15&lt;=SMG,0,J11/2)</f>
        <v>0</v>
      </c>
      <c r="M11" s="156">
        <f t="shared" ref="M11:M12" si="12">I11+L11</f>
        <v>5767.5</v>
      </c>
      <c r="N11" s="156">
        <f t="shared" si="3"/>
        <v>5490.76</v>
      </c>
      <c r="O11" s="156">
        <f t="shared" ref="O11:O17" si="13">M11-N11</f>
        <v>276.73999999999978</v>
      </c>
      <c r="P11" s="157">
        <f t="shared" si="4"/>
        <v>0.16</v>
      </c>
      <c r="Q11" s="156">
        <f t="shared" ref="Q11:Q17" si="14">O11*P11</f>
        <v>44.278399999999969</v>
      </c>
      <c r="R11" s="158">
        <f t="shared" si="5"/>
        <v>441</v>
      </c>
      <c r="S11" s="156">
        <f t="shared" ref="S11:S17" si="15">Q11+R11</f>
        <v>485.27839999999998</v>
      </c>
      <c r="T11" s="156">
        <f t="shared" si="6"/>
        <v>0</v>
      </c>
      <c r="U11" s="156">
        <f t="shared" ref="U11:U17" si="16">ROUND(S11-T11,2)</f>
        <v>485.28</v>
      </c>
      <c r="V11" s="155">
        <f t="shared" ref="V11:V17" si="17">-IF(U11&gt;0,0,U11)</f>
        <v>0</v>
      </c>
      <c r="W11" s="155">
        <f t="shared" si="7"/>
        <v>485.28</v>
      </c>
      <c r="X11" s="159">
        <v>0</v>
      </c>
      <c r="Y11" s="155">
        <f t="shared" ref="Y11" si="18">SUM(W11:X11)</f>
        <v>485.28</v>
      </c>
      <c r="Z11" s="155">
        <f t="shared" ref="Z11" si="19">K11+V11-Y11</f>
        <v>5282.22</v>
      </c>
      <c r="AA11" s="92"/>
    </row>
    <row r="12" spans="1:27" s="93" customFormat="1" ht="96" customHeight="1" x14ac:dyDescent="0.3">
      <c r="A12" s="109"/>
      <c r="B12" s="148" t="s">
        <v>299</v>
      </c>
      <c r="C12" s="148" t="s">
        <v>114</v>
      </c>
      <c r="D12" s="191" t="s">
        <v>300</v>
      </c>
      <c r="E12" s="225">
        <v>44942</v>
      </c>
      <c r="F12" s="149" t="s">
        <v>134</v>
      </c>
      <c r="G12" s="151"/>
      <c r="H12" s="152"/>
      <c r="I12" s="153">
        <v>5210.41</v>
      </c>
      <c r="J12" s="154">
        <v>0</v>
      </c>
      <c r="K12" s="155">
        <f t="shared" ref="K12:K17" si="20">SUM(I12:J12)</f>
        <v>5210.41</v>
      </c>
      <c r="L12" s="156">
        <f>IF(I12/15&lt;=SMG,0,J12/2)</f>
        <v>0</v>
      </c>
      <c r="M12" s="156">
        <f t="shared" si="12"/>
        <v>5210.41</v>
      </c>
      <c r="N12" s="156">
        <f t="shared" si="3"/>
        <v>3124.36</v>
      </c>
      <c r="O12" s="156">
        <f t="shared" si="13"/>
        <v>2086.0499999999997</v>
      </c>
      <c r="P12" s="157">
        <f t="shared" si="4"/>
        <v>0.10879999999999999</v>
      </c>
      <c r="Q12" s="156">
        <f t="shared" si="14"/>
        <v>226.96223999999995</v>
      </c>
      <c r="R12" s="158">
        <f t="shared" si="5"/>
        <v>183.45</v>
      </c>
      <c r="S12" s="156">
        <f t="shared" si="15"/>
        <v>410.41223999999994</v>
      </c>
      <c r="T12" s="156">
        <f t="shared" si="6"/>
        <v>0</v>
      </c>
      <c r="U12" s="156">
        <f t="shared" si="16"/>
        <v>410.41</v>
      </c>
      <c r="V12" s="155">
        <f t="shared" si="17"/>
        <v>0</v>
      </c>
      <c r="W12" s="155">
        <f t="shared" si="7"/>
        <v>410.41</v>
      </c>
      <c r="X12" s="159">
        <v>0</v>
      </c>
      <c r="Y12" s="155">
        <f t="shared" ref="Y12:Y17" si="21">SUM(W12:X12)</f>
        <v>410.41</v>
      </c>
      <c r="Z12" s="155">
        <f t="shared" ref="Z12:Z17" si="22">K12+V12-Y12</f>
        <v>4800</v>
      </c>
      <c r="AA12" s="92"/>
    </row>
    <row r="13" spans="1:27" s="93" customFormat="1" ht="96" customHeight="1" x14ac:dyDescent="0.3">
      <c r="A13" s="109"/>
      <c r="B13" s="148" t="s">
        <v>301</v>
      </c>
      <c r="C13" s="148" t="s">
        <v>114</v>
      </c>
      <c r="D13" s="191" t="s">
        <v>302</v>
      </c>
      <c r="E13" s="225">
        <v>44942</v>
      </c>
      <c r="F13" s="149" t="s">
        <v>134</v>
      </c>
      <c r="G13" s="151"/>
      <c r="H13" s="152"/>
      <c r="I13" s="153">
        <v>5210.41</v>
      </c>
      <c r="J13" s="154">
        <v>0</v>
      </c>
      <c r="K13" s="155">
        <f t="shared" si="20"/>
        <v>5210.41</v>
      </c>
      <c r="L13" s="156">
        <f>IF(I13/15&lt;=SMG,0,J13/2)</f>
        <v>0</v>
      </c>
      <c r="M13" s="156">
        <f t="shared" ref="M13" si="23">I13+L13</f>
        <v>5210.41</v>
      </c>
      <c r="N13" s="156">
        <f t="shared" si="3"/>
        <v>3124.36</v>
      </c>
      <c r="O13" s="156">
        <f t="shared" ref="O13" si="24">M13-N13</f>
        <v>2086.0499999999997</v>
      </c>
      <c r="P13" s="157">
        <f t="shared" si="4"/>
        <v>0.10879999999999999</v>
      </c>
      <c r="Q13" s="156">
        <f t="shared" ref="Q13" si="25">O13*P13</f>
        <v>226.96223999999995</v>
      </c>
      <c r="R13" s="158">
        <f t="shared" si="5"/>
        <v>183.45</v>
      </c>
      <c r="S13" s="156">
        <f t="shared" ref="S13" si="26">Q13+R13</f>
        <v>410.41223999999994</v>
      </c>
      <c r="T13" s="156">
        <f t="shared" si="6"/>
        <v>0</v>
      </c>
      <c r="U13" s="156">
        <f t="shared" ref="U13" si="27">ROUND(S13-T13,2)</f>
        <v>410.41</v>
      </c>
      <c r="V13" s="155">
        <f t="shared" ref="V13" si="28">-IF(U13&gt;0,0,U13)</f>
        <v>0</v>
      </c>
      <c r="W13" s="155">
        <f t="shared" si="7"/>
        <v>410.41</v>
      </c>
      <c r="X13" s="159">
        <v>0</v>
      </c>
      <c r="Y13" s="155">
        <f t="shared" si="21"/>
        <v>410.41</v>
      </c>
      <c r="Z13" s="155">
        <f t="shared" si="22"/>
        <v>4800</v>
      </c>
      <c r="AA13" s="92"/>
    </row>
    <row r="14" spans="1:27" s="93" customFormat="1" ht="96" customHeight="1" x14ac:dyDescent="0.3">
      <c r="A14" s="109"/>
      <c r="B14" s="148" t="s">
        <v>303</v>
      </c>
      <c r="C14" s="148" t="s">
        <v>114</v>
      </c>
      <c r="D14" s="191" t="s">
        <v>304</v>
      </c>
      <c r="E14" s="225">
        <v>44942</v>
      </c>
      <c r="F14" s="149" t="s">
        <v>134</v>
      </c>
      <c r="G14" s="151"/>
      <c r="H14" s="152"/>
      <c r="I14" s="153">
        <v>5210.41</v>
      </c>
      <c r="J14" s="154">
        <v>650</v>
      </c>
      <c r="K14" s="155">
        <f t="shared" si="20"/>
        <v>5860.41</v>
      </c>
      <c r="L14" s="156">
        <f>IF(I14/15&lt;=SMG,0,J14/2)</f>
        <v>325</v>
      </c>
      <c r="M14" s="156">
        <f t="shared" ref="M14" si="29">I14+L14</f>
        <v>5535.41</v>
      </c>
      <c r="N14" s="156">
        <f t="shared" si="3"/>
        <v>5490.76</v>
      </c>
      <c r="O14" s="156">
        <f t="shared" ref="O14" si="30">M14-N14</f>
        <v>44.649999999999636</v>
      </c>
      <c r="P14" s="157">
        <f t="shared" si="4"/>
        <v>0.16</v>
      </c>
      <c r="Q14" s="156">
        <f t="shared" ref="Q14" si="31">O14*P14</f>
        <v>7.1439999999999415</v>
      </c>
      <c r="R14" s="158">
        <f t="shared" si="5"/>
        <v>441</v>
      </c>
      <c r="S14" s="156">
        <f t="shared" ref="S14" si="32">Q14+R14</f>
        <v>448.14399999999995</v>
      </c>
      <c r="T14" s="156">
        <f t="shared" si="6"/>
        <v>0</v>
      </c>
      <c r="U14" s="156">
        <f t="shared" ref="U14" si="33">ROUND(S14-T14,2)</f>
        <v>448.14</v>
      </c>
      <c r="V14" s="155">
        <f t="shared" ref="V14" si="34">-IF(U14&gt;0,0,U14)</f>
        <v>0</v>
      </c>
      <c r="W14" s="155">
        <f t="shared" si="7"/>
        <v>448.14</v>
      </c>
      <c r="X14" s="159">
        <v>500</v>
      </c>
      <c r="Y14" s="155">
        <f t="shared" si="21"/>
        <v>948.14</v>
      </c>
      <c r="Z14" s="155">
        <f t="shared" si="22"/>
        <v>4912.2699999999995</v>
      </c>
      <c r="AA14" s="92"/>
    </row>
    <row r="15" spans="1:27" s="93" customFormat="1" ht="96" customHeight="1" x14ac:dyDescent="0.3">
      <c r="A15" s="109"/>
      <c r="B15" s="148" t="s">
        <v>305</v>
      </c>
      <c r="C15" s="148" t="s">
        <v>114</v>
      </c>
      <c r="D15" s="191" t="s">
        <v>306</v>
      </c>
      <c r="E15" s="225">
        <v>44942</v>
      </c>
      <c r="F15" s="149" t="s">
        <v>134</v>
      </c>
      <c r="G15" s="151"/>
      <c r="H15" s="152"/>
      <c r="I15" s="153">
        <v>5210.41</v>
      </c>
      <c r="J15" s="154">
        <v>0</v>
      </c>
      <c r="K15" s="155">
        <f t="shared" si="20"/>
        <v>5210.41</v>
      </c>
      <c r="L15" s="156">
        <f>IF(I15/15&lt;=SMG,0,J15/2)</f>
        <v>0</v>
      </c>
      <c r="M15" s="156">
        <f t="shared" ref="M15:M16" si="35">I15+L15</f>
        <v>5210.41</v>
      </c>
      <c r="N15" s="156">
        <f t="shared" si="3"/>
        <v>3124.36</v>
      </c>
      <c r="O15" s="156">
        <f t="shared" ref="O15:O16" si="36">M15-N15</f>
        <v>2086.0499999999997</v>
      </c>
      <c r="P15" s="157">
        <f t="shared" si="4"/>
        <v>0.10879999999999999</v>
      </c>
      <c r="Q15" s="156">
        <f t="shared" ref="Q15:Q16" si="37">O15*P15</f>
        <v>226.96223999999995</v>
      </c>
      <c r="R15" s="158">
        <f t="shared" si="5"/>
        <v>183.45</v>
      </c>
      <c r="S15" s="156">
        <f t="shared" ref="S15:S16" si="38">Q15+R15</f>
        <v>410.41223999999994</v>
      </c>
      <c r="T15" s="156">
        <f t="shared" si="6"/>
        <v>0</v>
      </c>
      <c r="U15" s="156">
        <f t="shared" ref="U15:U16" si="39">ROUND(S15-T15,2)</f>
        <v>410.41</v>
      </c>
      <c r="V15" s="155">
        <f t="shared" ref="V15:V16" si="40">-IF(U15&gt;0,0,U15)</f>
        <v>0</v>
      </c>
      <c r="W15" s="155">
        <f t="shared" si="7"/>
        <v>410.41</v>
      </c>
      <c r="X15" s="159">
        <v>1000</v>
      </c>
      <c r="Y15" s="155">
        <f t="shared" si="21"/>
        <v>1410.41</v>
      </c>
      <c r="Z15" s="155">
        <f t="shared" si="22"/>
        <v>3800</v>
      </c>
      <c r="AA15" s="92"/>
    </row>
    <row r="16" spans="1:27" s="93" customFormat="1" ht="96" customHeight="1" x14ac:dyDescent="0.3">
      <c r="A16" s="109"/>
      <c r="B16" s="148" t="s">
        <v>307</v>
      </c>
      <c r="C16" s="148" t="s">
        <v>114</v>
      </c>
      <c r="D16" s="191" t="s">
        <v>308</v>
      </c>
      <c r="E16" s="225">
        <v>44942</v>
      </c>
      <c r="F16" s="149" t="s">
        <v>134</v>
      </c>
      <c r="G16" s="151"/>
      <c r="H16" s="152"/>
      <c r="I16" s="153">
        <v>5210.41</v>
      </c>
      <c r="J16" s="154">
        <v>0</v>
      </c>
      <c r="K16" s="155">
        <f t="shared" si="20"/>
        <v>5210.41</v>
      </c>
      <c r="L16" s="156">
        <f>IF(I16/15&lt;=SMG,0,J16/2)</f>
        <v>0</v>
      </c>
      <c r="M16" s="156">
        <f t="shared" si="35"/>
        <v>5210.41</v>
      </c>
      <c r="N16" s="156">
        <f t="shared" si="3"/>
        <v>3124.36</v>
      </c>
      <c r="O16" s="156">
        <f t="shared" si="36"/>
        <v>2086.0499999999997</v>
      </c>
      <c r="P16" s="157">
        <f t="shared" si="4"/>
        <v>0.10879999999999999</v>
      </c>
      <c r="Q16" s="156">
        <f t="shared" si="37"/>
        <v>226.96223999999995</v>
      </c>
      <c r="R16" s="158">
        <f t="shared" si="5"/>
        <v>183.45</v>
      </c>
      <c r="S16" s="156">
        <f t="shared" si="38"/>
        <v>410.41223999999994</v>
      </c>
      <c r="T16" s="156">
        <f t="shared" si="6"/>
        <v>0</v>
      </c>
      <c r="U16" s="156">
        <f t="shared" si="39"/>
        <v>410.41</v>
      </c>
      <c r="V16" s="155">
        <f t="shared" si="40"/>
        <v>0</v>
      </c>
      <c r="W16" s="155">
        <f t="shared" si="7"/>
        <v>410.41</v>
      </c>
      <c r="X16" s="159">
        <v>0</v>
      </c>
      <c r="Y16" s="155">
        <f t="shared" si="21"/>
        <v>410.41</v>
      </c>
      <c r="Z16" s="155">
        <f t="shared" si="22"/>
        <v>4800</v>
      </c>
      <c r="AA16" s="92"/>
    </row>
    <row r="17" spans="1:27" s="93" customFormat="1" ht="96" customHeight="1" x14ac:dyDescent="0.3">
      <c r="A17" s="109" t="s">
        <v>91</v>
      </c>
      <c r="B17" s="148" t="s">
        <v>137</v>
      </c>
      <c r="C17" s="148" t="s">
        <v>153</v>
      </c>
      <c r="D17" s="191" t="s">
        <v>133</v>
      </c>
      <c r="E17" s="225">
        <v>43101</v>
      </c>
      <c r="F17" s="150" t="s">
        <v>135</v>
      </c>
      <c r="G17" s="151">
        <v>15</v>
      </c>
      <c r="H17" s="152">
        <f>I17/G17</f>
        <v>345.66933333333333</v>
      </c>
      <c r="I17" s="153">
        <v>5185.04</v>
      </c>
      <c r="J17" s="154">
        <v>0</v>
      </c>
      <c r="K17" s="155">
        <f t="shared" si="20"/>
        <v>5185.04</v>
      </c>
      <c r="L17" s="156">
        <f t="shared" ref="L17" si="41">IF(I17/15&lt;=SMG,0,J17/2)</f>
        <v>0</v>
      </c>
      <c r="M17" s="156">
        <f t="shared" ref="M17" si="42">I17+L17</f>
        <v>5185.04</v>
      </c>
      <c r="N17" s="156">
        <f t="shared" si="3"/>
        <v>3124.36</v>
      </c>
      <c r="O17" s="156">
        <f t="shared" si="13"/>
        <v>2060.6799999999998</v>
      </c>
      <c r="P17" s="157">
        <f t="shared" si="4"/>
        <v>0.10879999999999999</v>
      </c>
      <c r="Q17" s="156">
        <f t="shared" si="14"/>
        <v>224.20198399999998</v>
      </c>
      <c r="R17" s="158">
        <f t="shared" si="5"/>
        <v>183.45</v>
      </c>
      <c r="S17" s="156">
        <f t="shared" si="15"/>
        <v>407.65198399999997</v>
      </c>
      <c r="T17" s="156">
        <f t="shared" si="6"/>
        <v>0</v>
      </c>
      <c r="U17" s="156">
        <f t="shared" si="16"/>
        <v>407.65</v>
      </c>
      <c r="V17" s="155">
        <f t="shared" si="17"/>
        <v>0</v>
      </c>
      <c r="W17" s="155">
        <f t="shared" si="7"/>
        <v>407.65</v>
      </c>
      <c r="X17" s="159">
        <v>0</v>
      </c>
      <c r="Y17" s="155">
        <f t="shared" si="21"/>
        <v>407.65</v>
      </c>
      <c r="Z17" s="155">
        <f t="shared" si="22"/>
        <v>4777.3900000000003</v>
      </c>
      <c r="AA17" s="92"/>
    </row>
    <row r="18" spans="1:27" s="93" customFormat="1" ht="96" customHeight="1" x14ac:dyDescent="0.3">
      <c r="A18" s="190"/>
      <c r="B18" s="148" t="s">
        <v>138</v>
      </c>
      <c r="C18" s="148" t="s">
        <v>114</v>
      </c>
      <c r="D18" s="191" t="s">
        <v>132</v>
      </c>
      <c r="E18" s="225">
        <v>43101</v>
      </c>
      <c r="F18" s="150" t="s">
        <v>135</v>
      </c>
      <c r="G18" s="151">
        <v>15</v>
      </c>
      <c r="H18" s="152">
        <f>I18/G18</f>
        <v>345.66933333333333</v>
      </c>
      <c r="I18" s="153">
        <v>5185.04</v>
      </c>
      <c r="J18" s="154">
        <v>0</v>
      </c>
      <c r="K18" s="155">
        <f t="shared" ref="K18" si="43">SUM(I18:J18)</f>
        <v>5185.04</v>
      </c>
      <c r="L18" s="156">
        <f t="shared" ref="L18" si="44">IF(I18/15&lt;=SMG,0,J18/2)</f>
        <v>0</v>
      </c>
      <c r="M18" s="156">
        <f t="shared" ref="M18" si="45">I18+L18</f>
        <v>5185.04</v>
      </c>
      <c r="N18" s="156">
        <f t="shared" ref="N18" si="46">VLOOKUP(M18,Tarifa1,1)</f>
        <v>3124.36</v>
      </c>
      <c r="O18" s="156">
        <f t="shared" ref="O18" si="47">M18-N18</f>
        <v>2060.6799999999998</v>
      </c>
      <c r="P18" s="157">
        <f t="shared" ref="P18" si="48">VLOOKUP(M18,Tarifa1,3)</f>
        <v>0.10879999999999999</v>
      </c>
      <c r="Q18" s="156">
        <f t="shared" ref="Q18" si="49">O18*P18</f>
        <v>224.20198399999998</v>
      </c>
      <c r="R18" s="158">
        <f t="shared" ref="R18" si="50">VLOOKUP(M18,Tarifa1,2)</f>
        <v>183.45</v>
      </c>
      <c r="S18" s="156">
        <f t="shared" ref="S18" si="51">Q18+R18</f>
        <v>407.65198399999997</v>
      </c>
      <c r="T18" s="156">
        <f t="shared" ref="T18" si="52">VLOOKUP(M18,Credito1,2)</f>
        <v>0</v>
      </c>
      <c r="U18" s="156">
        <f t="shared" ref="U18" si="53">ROUND(S18-T18,2)</f>
        <v>407.65</v>
      </c>
      <c r="V18" s="155">
        <f t="shared" ref="V18" si="54">-IF(U18&gt;0,0,U18)</f>
        <v>0</v>
      </c>
      <c r="W18" s="155">
        <f t="shared" ref="W18" si="55">IF(I18/15&lt;=SMG,0,IF(U18&lt;0,0,U18))</f>
        <v>407.65</v>
      </c>
      <c r="X18" s="159">
        <v>0</v>
      </c>
      <c r="Y18" s="155">
        <f t="shared" ref="Y18" si="56">SUM(W18:X18)</f>
        <v>407.65</v>
      </c>
      <c r="Z18" s="155">
        <f t="shared" ref="Z18" si="57">K18+V18-Y18</f>
        <v>4777.3900000000003</v>
      </c>
      <c r="AA18" s="92"/>
    </row>
    <row r="19" spans="1:27" ht="40.5" customHeight="1" thickBot="1" x14ac:dyDescent="0.35">
      <c r="A19" s="284" t="s">
        <v>44</v>
      </c>
      <c r="B19" s="285"/>
      <c r="C19" s="285"/>
      <c r="D19" s="285"/>
      <c r="E19" s="285"/>
      <c r="F19" s="285"/>
      <c r="G19" s="285"/>
      <c r="H19" s="286"/>
      <c r="I19" s="160">
        <f>SUM(I10:I18)</f>
        <v>51736.630000000005</v>
      </c>
      <c r="J19" s="160">
        <f>SUM(J10:J18)</f>
        <v>650</v>
      </c>
      <c r="K19" s="160">
        <f t="shared" ref="K19:V19" si="58">SUM(K11:K18)</f>
        <v>42839.63</v>
      </c>
      <c r="L19" s="161">
        <f t="shared" si="58"/>
        <v>325</v>
      </c>
      <c r="M19" s="161">
        <f t="shared" si="58"/>
        <v>42514.63</v>
      </c>
      <c r="N19" s="161">
        <f t="shared" si="58"/>
        <v>29727.680000000004</v>
      </c>
      <c r="O19" s="161">
        <f t="shared" si="58"/>
        <v>12786.949999999999</v>
      </c>
      <c r="P19" s="161">
        <f t="shared" si="58"/>
        <v>0.9728</v>
      </c>
      <c r="Q19" s="161">
        <f t="shared" si="58"/>
        <v>1407.6753279999998</v>
      </c>
      <c r="R19" s="161">
        <f t="shared" si="58"/>
        <v>1982.7000000000003</v>
      </c>
      <c r="S19" s="161">
        <f t="shared" si="58"/>
        <v>3390.3753280000001</v>
      </c>
      <c r="T19" s="161">
        <f t="shared" si="58"/>
        <v>0</v>
      </c>
      <c r="U19" s="161">
        <f t="shared" si="58"/>
        <v>3390.36</v>
      </c>
      <c r="V19" s="160">
        <f t="shared" si="58"/>
        <v>0</v>
      </c>
      <c r="W19" s="160">
        <f>SUM(W10:W18)</f>
        <v>4606.5399999999991</v>
      </c>
      <c r="X19" s="160">
        <f>SUM(X10:X18)</f>
        <v>1500</v>
      </c>
      <c r="Y19" s="160">
        <f>SUM(Y10:Y18)</f>
        <v>6106.5399999999991</v>
      </c>
      <c r="Z19" s="160">
        <f>SUM(Z10:Z18)</f>
        <v>46280.09</v>
      </c>
    </row>
    <row r="20" spans="1:27" ht="18" thickTop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</row>
  </sheetData>
  <mergeCells count="7">
    <mergeCell ref="A19:H19"/>
    <mergeCell ref="A1:AA1"/>
    <mergeCell ref="A2:AA2"/>
    <mergeCell ref="A3:AA3"/>
    <mergeCell ref="I6:K6"/>
    <mergeCell ref="N6:S6"/>
    <mergeCell ref="W6:Y6"/>
  </mergeCells>
  <pageMargins left="0.27559055118110237" right="0.27559055118110237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Z37"/>
  <sheetViews>
    <sheetView topLeftCell="B1" zoomScale="78" zoomScaleNormal="78" workbookViewId="0">
      <pane ySplit="1" topLeftCell="A19" activePane="bottomLeft" state="frozen"/>
      <selection activeCell="B1" sqref="B1"/>
      <selection pane="bottomLeft" activeCell="F41" sqref="F41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33203125" customWidth="1"/>
    <col min="25" max="25" width="13.88671875" customWidth="1"/>
    <col min="26" max="26" width="13.6640625" customWidth="1"/>
    <col min="27" max="27" width="75.109375" customWidth="1"/>
    <col min="28" max="28" width="1" customWidth="1"/>
  </cols>
  <sheetData>
    <row r="1" spans="1:33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</row>
    <row r="2" spans="1:33" ht="19.8" x14ac:dyDescent="0.3">
      <c r="A2" s="287" t="s">
        <v>64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</row>
    <row r="3" spans="1:33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33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33" s="51" customFormat="1" ht="15.6" x14ac:dyDescent="0.3">
      <c r="A5" s="47"/>
      <c r="B5" s="119"/>
      <c r="C5" s="119"/>
      <c r="D5" s="119"/>
      <c r="E5" s="119"/>
      <c r="F5" s="267"/>
      <c r="G5" s="120" t="s">
        <v>22</v>
      </c>
      <c r="H5" s="270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52</v>
      </c>
      <c r="U5" s="121" t="s">
        <v>9</v>
      </c>
      <c r="V5" s="120" t="s">
        <v>52</v>
      </c>
      <c r="W5" s="295" t="s">
        <v>2</v>
      </c>
      <c r="X5" s="296"/>
      <c r="Y5" s="297"/>
      <c r="Z5" s="120" t="s">
        <v>0</v>
      </c>
      <c r="AA5" s="47"/>
    </row>
    <row r="6" spans="1:33" s="51" customFormat="1" ht="29.25" customHeight="1" x14ac:dyDescent="0.3">
      <c r="A6" s="52" t="s">
        <v>20</v>
      </c>
      <c r="B6" s="123" t="s">
        <v>101</v>
      </c>
      <c r="C6" s="123" t="s">
        <v>123</v>
      </c>
      <c r="D6" s="124" t="s">
        <v>21</v>
      </c>
      <c r="E6" s="124"/>
      <c r="F6" s="268"/>
      <c r="G6" s="273" t="s">
        <v>23</v>
      </c>
      <c r="H6" s="271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56</v>
      </c>
      <c r="Y6" s="120" t="s">
        <v>6</v>
      </c>
      <c r="Z6" s="124" t="s">
        <v>3</v>
      </c>
      <c r="AA6" s="52" t="s">
        <v>57</v>
      </c>
    </row>
    <row r="7" spans="1:33" s="51" customFormat="1" ht="15.6" x14ac:dyDescent="0.3">
      <c r="A7" s="60"/>
      <c r="B7" s="126"/>
      <c r="C7" s="126"/>
      <c r="D7" s="127"/>
      <c r="E7" s="127"/>
      <c r="F7" s="269"/>
      <c r="G7" s="127"/>
      <c r="H7" s="272"/>
      <c r="I7" s="127" t="s">
        <v>46</v>
      </c>
      <c r="J7" s="127" t="s">
        <v>59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211</v>
      </c>
      <c r="V7" s="127" t="s">
        <v>51</v>
      </c>
      <c r="W7" s="127"/>
      <c r="X7" s="127"/>
      <c r="Y7" s="127" t="s">
        <v>43</v>
      </c>
      <c r="Z7" s="127" t="s">
        <v>4</v>
      </c>
      <c r="AA7" s="57"/>
    </row>
    <row r="8" spans="1:33" s="51" customFormat="1" ht="43.5" customHeight="1" x14ac:dyDescent="0.3">
      <c r="A8" s="211"/>
      <c r="B8" s="229" t="s">
        <v>101</v>
      </c>
      <c r="C8" s="229" t="s">
        <v>123</v>
      </c>
      <c r="D8" s="230" t="s">
        <v>62</v>
      </c>
      <c r="E8" s="229" t="s">
        <v>310</v>
      </c>
      <c r="F8" s="211" t="s">
        <v>61</v>
      </c>
      <c r="G8" s="211"/>
      <c r="H8" s="211"/>
      <c r="I8" s="231">
        <f>SUM(I9:I11)</f>
        <v>47383</v>
      </c>
      <c r="J8" s="231">
        <f>SUM(J9:J11)</f>
        <v>0</v>
      </c>
      <c r="K8" s="231">
        <f>SUM(K9:K11)</f>
        <v>47383</v>
      </c>
      <c r="L8" s="211"/>
      <c r="M8" s="211"/>
      <c r="N8" s="211"/>
      <c r="O8" s="211"/>
      <c r="P8" s="211"/>
      <c r="Q8" s="211"/>
      <c r="R8" s="211"/>
      <c r="S8" s="211"/>
      <c r="T8" s="211"/>
      <c r="U8" s="232"/>
      <c r="V8" s="231">
        <f>SUM(V9:V11)</f>
        <v>2300</v>
      </c>
      <c r="W8" s="231">
        <f>SUM(W9:W11)</f>
        <v>8222.0499999999993</v>
      </c>
      <c r="X8" s="231">
        <f>SUM(X9:X11)</f>
        <v>1500</v>
      </c>
      <c r="Y8" s="231">
        <f>SUM(Y9:Y11)</f>
        <v>9722.0499999999993</v>
      </c>
      <c r="Z8" s="231">
        <f>SUM(Z9:Z11)</f>
        <v>39960.949999999997</v>
      </c>
      <c r="AA8" s="63"/>
    </row>
    <row r="9" spans="1:33" s="51" customFormat="1" ht="102.75" customHeight="1" x14ac:dyDescent="0.35">
      <c r="A9" s="148" t="s">
        <v>83</v>
      </c>
      <c r="B9" s="147" t="s">
        <v>204</v>
      </c>
      <c r="C9" s="148" t="s">
        <v>114</v>
      </c>
      <c r="D9" s="215" t="s">
        <v>205</v>
      </c>
      <c r="E9" s="220">
        <v>43374</v>
      </c>
      <c r="F9" s="150" t="s">
        <v>206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9">
        <v>0</v>
      </c>
      <c r="Y9" s="155">
        <f>SUM(W9:X9)</f>
        <v>5581.45</v>
      </c>
      <c r="Z9" s="155">
        <f>K9+V9-Y9</f>
        <v>22123.55</v>
      </c>
      <c r="AA9" s="58"/>
    </row>
    <row r="10" spans="1:33" s="51" customFormat="1" ht="102.75" customHeight="1" x14ac:dyDescent="0.35">
      <c r="A10" s="148" t="s">
        <v>84</v>
      </c>
      <c r="B10" s="147" t="s">
        <v>159</v>
      </c>
      <c r="C10" s="148" t="s">
        <v>114</v>
      </c>
      <c r="D10" s="215" t="s">
        <v>150</v>
      </c>
      <c r="E10" s="220">
        <v>43101</v>
      </c>
      <c r="F10" s="150" t="s">
        <v>207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9">
        <v>1500</v>
      </c>
      <c r="Y10" s="155">
        <f>SUM(W10:X10)</f>
        <v>3676.52</v>
      </c>
      <c r="Z10" s="155">
        <f>K10+V10-Y10</f>
        <v>11866.48</v>
      </c>
      <c r="AA10" s="58"/>
      <c r="AG10" s="59"/>
    </row>
    <row r="11" spans="1:33" s="51" customFormat="1" ht="102.75" customHeight="1" x14ac:dyDescent="0.35">
      <c r="A11" s="148"/>
      <c r="B11" s="148" t="s">
        <v>107</v>
      </c>
      <c r="C11" s="147" t="s">
        <v>114</v>
      </c>
      <c r="D11" s="215" t="s">
        <v>65</v>
      </c>
      <c r="E11" s="220">
        <v>40026</v>
      </c>
      <c r="F11" s="149" t="s">
        <v>63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9">
        <v>0</v>
      </c>
      <c r="Y11" s="155">
        <f>SUM(W11:X11)</f>
        <v>464.08</v>
      </c>
      <c r="Z11" s="155">
        <f>K11+V11-Y11</f>
        <v>5970.92</v>
      </c>
      <c r="AA11" s="58"/>
      <c r="AG11" s="59"/>
    </row>
    <row r="12" spans="1:33" s="51" customFormat="1" ht="44.25" customHeight="1" x14ac:dyDescent="0.3">
      <c r="A12" s="148"/>
      <c r="B12" s="229" t="s">
        <v>101</v>
      </c>
      <c r="C12" s="229" t="s">
        <v>123</v>
      </c>
      <c r="D12" s="245" t="s">
        <v>118</v>
      </c>
      <c r="E12" s="229" t="s">
        <v>310</v>
      </c>
      <c r="F12" s="211" t="s">
        <v>61</v>
      </c>
      <c r="G12" s="211"/>
      <c r="H12" s="211"/>
      <c r="I12" s="231">
        <f>SUM(I13)</f>
        <v>6309</v>
      </c>
      <c r="J12" s="231">
        <f>SUM(J13)</f>
        <v>0</v>
      </c>
      <c r="K12" s="231">
        <f>SUM(K13)</f>
        <v>6309</v>
      </c>
      <c r="L12" s="211"/>
      <c r="M12" s="211"/>
      <c r="N12" s="211"/>
      <c r="O12" s="211"/>
      <c r="P12" s="211"/>
      <c r="Q12" s="211"/>
      <c r="R12" s="233"/>
      <c r="S12" s="211"/>
      <c r="T12" s="211"/>
      <c r="U12" s="232"/>
      <c r="V12" s="231">
        <f>SUM(V13)</f>
        <v>0</v>
      </c>
      <c r="W12" s="231">
        <f>SUM(W13)</f>
        <v>571.91999999999996</v>
      </c>
      <c r="X12" s="231">
        <f>SUM(X13)</f>
        <v>0</v>
      </c>
      <c r="Y12" s="231">
        <f>SUM(Y13)</f>
        <v>571.91999999999996</v>
      </c>
      <c r="Z12" s="231">
        <f>SUM(Z13)</f>
        <v>5737.08</v>
      </c>
      <c r="AA12" s="63"/>
      <c r="AG12" s="59"/>
    </row>
    <row r="13" spans="1:33" s="51" customFormat="1" ht="102.75" customHeight="1" x14ac:dyDescent="0.35">
      <c r="A13" s="148" t="s">
        <v>85</v>
      </c>
      <c r="B13" s="148" t="s">
        <v>276</v>
      </c>
      <c r="C13" s="147" t="s">
        <v>114</v>
      </c>
      <c r="D13" s="215" t="s">
        <v>270</v>
      </c>
      <c r="E13" s="220">
        <v>44743</v>
      </c>
      <c r="F13" s="150" t="s">
        <v>97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9">
        <v>0</v>
      </c>
      <c r="Y13" s="155">
        <f>SUM(W13:X13)</f>
        <v>571.91999999999996</v>
      </c>
      <c r="Z13" s="155">
        <f>K13+V13-Y13</f>
        <v>5737.08</v>
      </c>
      <c r="AA13" s="58"/>
      <c r="AG13" s="59"/>
    </row>
    <row r="14" spans="1:33" s="51" customFormat="1" ht="44.25" customHeight="1" x14ac:dyDescent="0.3">
      <c r="A14" s="148"/>
      <c r="B14" s="229" t="s">
        <v>101</v>
      </c>
      <c r="C14" s="229" t="s">
        <v>123</v>
      </c>
      <c r="D14" s="230" t="s">
        <v>119</v>
      </c>
      <c r="E14" s="229" t="s">
        <v>310</v>
      </c>
      <c r="F14" s="211" t="s">
        <v>61</v>
      </c>
      <c r="G14" s="211"/>
      <c r="H14" s="211"/>
      <c r="I14" s="231">
        <v>4896.5</v>
      </c>
      <c r="J14" s="231">
        <f>SUM(J15)</f>
        <v>0</v>
      </c>
      <c r="K14" s="231">
        <f>SUM(K15)</f>
        <v>5043</v>
      </c>
      <c r="L14" s="211"/>
      <c r="M14" s="211"/>
      <c r="N14" s="211"/>
      <c r="O14" s="211"/>
      <c r="P14" s="211"/>
      <c r="Q14" s="211"/>
      <c r="R14" s="233"/>
      <c r="S14" s="211"/>
      <c r="T14" s="211"/>
      <c r="U14" s="232"/>
      <c r="V14" s="231">
        <f>SUM(V15)</f>
        <v>0</v>
      </c>
      <c r="W14" s="231">
        <f>SUM(W15)</f>
        <v>392.2</v>
      </c>
      <c r="X14" s="231">
        <f>SUM(X15)</f>
        <v>2000</v>
      </c>
      <c r="Y14" s="231">
        <f>SUM(Y15)</f>
        <v>2392.1999999999998</v>
      </c>
      <c r="Z14" s="231">
        <f>SUM(Z15)</f>
        <v>2650.8</v>
      </c>
      <c r="AA14" s="63"/>
      <c r="AG14" s="59"/>
    </row>
    <row r="15" spans="1:33" s="51" customFormat="1" ht="102.75" customHeight="1" x14ac:dyDescent="0.35">
      <c r="A15" s="148" t="s">
        <v>87</v>
      </c>
      <c r="B15" s="148" t="s">
        <v>215</v>
      </c>
      <c r="C15" s="148" t="s">
        <v>114</v>
      </c>
      <c r="D15" s="215" t="s">
        <v>231</v>
      </c>
      <c r="E15" s="220">
        <v>44470</v>
      </c>
      <c r="F15" s="150" t="s">
        <v>274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9">
        <v>2000</v>
      </c>
      <c r="Y15" s="155">
        <f>SUM(W15:X15)</f>
        <v>2392.1999999999998</v>
      </c>
      <c r="Z15" s="155">
        <f>K15+V15-Y15</f>
        <v>2650.8</v>
      </c>
      <c r="AA15" s="58"/>
      <c r="AG15" s="64"/>
    </row>
    <row r="16" spans="1:33" s="51" customFormat="1" ht="43.5" customHeight="1" x14ac:dyDescent="0.3">
      <c r="A16" s="148"/>
      <c r="B16" s="229" t="s">
        <v>101</v>
      </c>
      <c r="C16" s="229" t="s">
        <v>123</v>
      </c>
      <c r="D16" s="230" t="s">
        <v>120</v>
      </c>
      <c r="E16" s="229" t="s">
        <v>310</v>
      </c>
      <c r="F16" s="211" t="s">
        <v>61</v>
      </c>
      <c r="G16" s="211"/>
      <c r="H16" s="211"/>
      <c r="I16" s="231">
        <f>SUM(I17:I18)</f>
        <v>14516.91</v>
      </c>
      <c r="J16" s="231">
        <f>SUM(J17:J18)</f>
        <v>0</v>
      </c>
      <c r="K16" s="231">
        <f>SUM(K17:K18)</f>
        <v>14516.91</v>
      </c>
      <c r="L16" s="211"/>
      <c r="M16" s="211"/>
      <c r="N16" s="211"/>
      <c r="O16" s="211"/>
      <c r="P16" s="211"/>
      <c r="Q16" s="211"/>
      <c r="R16" s="233"/>
      <c r="S16" s="211"/>
      <c r="T16" s="211"/>
      <c r="U16" s="232"/>
      <c r="V16" s="231">
        <f>SUM(V17:V18)</f>
        <v>0</v>
      </c>
      <c r="W16" s="231">
        <f>SUM(W17:W18)</f>
        <v>1716.3300000000002</v>
      </c>
      <c r="X16" s="231">
        <f>SUM(X17:X18)</f>
        <v>0</v>
      </c>
      <c r="Y16" s="231">
        <f>SUM(Y17:Y18)</f>
        <v>1716.3300000000002</v>
      </c>
      <c r="Z16" s="231">
        <f>SUM(Z17:Z18)</f>
        <v>12800.58</v>
      </c>
      <c r="AA16" s="63"/>
      <c r="AG16" s="64"/>
    </row>
    <row r="17" spans="1:3224" s="51" customFormat="1" ht="102.75" customHeight="1" x14ac:dyDescent="0.35">
      <c r="A17" s="148" t="s">
        <v>88</v>
      </c>
      <c r="B17" s="147" t="s">
        <v>155</v>
      </c>
      <c r="C17" s="148" t="s">
        <v>114</v>
      </c>
      <c r="D17" s="215" t="s">
        <v>140</v>
      </c>
      <c r="E17" s="220">
        <v>43374</v>
      </c>
      <c r="F17" s="150" t="s">
        <v>82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9">
        <v>0</v>
      </c>
      <c r="Y17" s="155">
        <f>SUM(W17:X17)</f>
        <v>1452.42</v>
      </c>
      <c r="Z17" s="155">
        <f>K17+V17-Y17</f>
        <v>9200.58</v>
      </c>
      <c r="AA17" s="58"/>
      <c r="AG17" s="64"/>
    </row>
    <row r="18" spans="1:3224" s="51" customFormat="1" ht="102.75" customHeight="1" x14ac:dyDescent="0.35">
      <c r="A18" s="266"/>
      <c r="B18" s="256" t="s">
        <v>312</v>
      </c>
      <c r="C18" s="162" t="s">
        <v>114</v>
      </c>
      <c r="D18" s="261" t="s">
        <v>313</v>
      </c>
      <c r="E18" s="257">
        <v>44991</v>
      </c>
      <c r="F18" s="258" t="s">
        <v>63</v>
      </c>
      <c r="G18" s="259">
        <v>10</v>
      </c>
      <c r="H18" s="260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9">
        <v>0</v>
      </c>
      <c r="Y18" s="155">
        <f>SUM(W18:X18)</f>
        <v>263.91000000000003</v>
      </c>
      <c r="Z18" s="155">
        <f>K18+V18-Y18</f>
        <v>3600</v>
      </c>
      <c r="AA18" s="56"/>
      <c r="AG18" s="64"/>
    </row>
    <row r="19" spans="1:3224" s="66" customFormat="1" ht="42" customHeight="1" x14ac:dyDescent="0.3">
      <c r="A19" s="148"/>
      <c r="B19" s="193" t="s">
        <v>101</v>
      </c>
      <c r="C19" s="193" t="s">
        <v>123</v>
      </c>
      <c r="D19" s="193" t="s">
        <v>121</v>
      </c>
      <c r="E19" s="193" t="s">
        <v>310</v>
      </c>
      <c r="F19" s="247" t="s">
        <v>61</v>
      </c>
      <c r="G19" s="247"/>
      <c r="H19" s="211"/>
      <c r="I19" s="231">
        <f>SUM(I20:I20)</f>
        <v>2954</v>
      </c>
      <c r="J19" s="231">
        <f>SUM(J20:J20)</f>
        <v>0</v>
      </c>
      <c r="K19" s="231">
        <f>SUM(K20:K20)</f>
        <v>2954</v>
      </c>
      <c r="L19" s="211"/>
      <c r="M19" s="211"/>
      <c r="N19" s="211"/>
      <c r="O19" s="211"/>
      <c r="P19" s="211"/>
      <c r="Q19" s="211"/>
      <c r="R19" s="233"/>
      <c r="S19" s="211"/>
      <c r="T19" s="211"/>
      <c r="U19" s="232"/>
      <c r="V19" s="231">
        <f>SUM(V20:V20)</f>
        <v>0</v>
      </c>
      <c r="W19" s="231">
        <f>SUM(W20:W20)</f>
        <v>0</v>
      </c>
      <c r="X19" s="231">
        <f>SUM(X20:X20)</f>
        <v>0</v>
      </c>
      <c r="Y19" s="231">
        <f>SUM(Y20:Y20)</f>
        <v>0</v>
      </c>
      <c r="Z19" s="231">
        <f>SUM(Z20:Z20)</f>
        <v>2954</v>
      </c>
      <c r="AA19" s="63"/>
      <c r="AB19" s="87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  <c r="DSZ19" s="51"/>
    </row>
    <row r="20" spans="1:3224" s="66" customFormat="1" ht="102.75" customHeight="1" x14ac:dyDescent="0.35">
      <c r="A20" s="235"/>
      <c r="B20" s="148" t="s">
        <v>109</v>
      </c>
      <c r="C20" s="148" t="s">
        <v>114</v>
      </c>
      <c r="D20" s="217" t="s">
        <v>92</v>
      </c>
      <c r="E20" s="220">
        <v>42171</v>
      </c>
      <c r="F20" s="166" t="s">
        <v>147</v>
      </c>
      <c r="G20" s="164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5">
        <f>IF(I20/15&lt;=SMG,0,IF(U20&lt;0,0,U20))</f>
        <v>0</v>
      </c>
      <c r="X20" s="159">
        <v>0</v>
      </c>
      <c r="Y20" s="155">
        <f>SUM(W20:X20)</f>
        <v>0</v>
      </c>
      <c r="Z20" s="165">
        <f>K20+V20-Y20</f>
        <v>2954</v>
      </c>
      <c r="AA20" s="65"/>
      <c r="AB20" s="87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  <c r="DSZ20" s="51"/>
    </row>
    <row r="21" spans="1:3224" s="51" customFormat="1" ht="21.75" customHeight="1" x14ac:dyDescent="0.3">
      <c r="A21" s="235"/>
      <c r="B21" s="236"/>
      <c r="C21" s="236"/>
      <c r="D21" s="237"/>
      <c r="E21" s="237"/>
      <c r="F21" s="237"/>
      <c r="G21" s="192"/>
      <c r="H21" s="238"/>
      <c r="I21" s="239"/>
      <c r="J21" s="240"/>
      <c r="K21" s="241"/>
      <c r="L21" s="242"/>
      <c r="M21" s="242"/>
      <c r="N21" s="242"/>
      <c r="O21" s="242"/>
      <c r="P21" s="243"/>
      <c r="Q21" s="242"/>
      <c r="R21" s="242"/>
      <c r="S21" s="242"/>
      <c r="T21" s="242"/>
      <c r="U21" s="242"/>
      <c r="V21" s="241"/>
      <c r="W21" s="241"/>
      <c r="X21" s="244"/>
      <c r="Y21" s="241"/>
      <c r="Z21" s="241"/>
      <c r="AA21" s="58"/>
    </row>
    <row r="22" spans="1:3224" s="51" customFormat="1" ht="41.25" customHeight="1" thickBot="1" x14ac:dyDescent="0.35">
      <c r="A22" s="284" t="s">
        <v>44</v>
      </c>
      <c r="B22" s="285"/>
      <c r="C22" s="285"/>
      <c r="D22" s="285"/>
      <c r="E22" s="285"/>
      <c r="F22" s="285"/>
      <c r="G22" s="285"/>
      <c r="H22" s="286"/>
      <c r="I22" s="160">
        <f>I8+I12+I14+I16+I19</f>
        <v>76059.41</v>
      </c>
      <c r="J22" s="160">
        <f>J8+J12+J14+J16+J19</f>
        <v>0</v>
      </c>
      <c r="K22" s="160">
        <f>K8+K12+K14+K16+K19</f>
        <v>76205.91</v>
      </c>
      <c r="L22" s="161">
        <f t="shared" ref="L22:U22" si="35">SUM(L9:L20)</f>
        <v>0</v>
      </c>
      <c r="M22" s="161">
        <f t="shared" si="35"/>
        <v>76205.91</v>
      </c>
      <c r="N22" s="161">
        <f t="shared" si="35"/>
        <v>57174.83</v>
      </c>
      <c r="O22" s="161">
        <f t="shared" si="35"/>
        <v>19031.079999999998</v>
      </c>
      <c r="P22" s="161">
        <f t="shared" si="35"/>
        <v>1.3288000000000002</v>
      </c>
      <c r="Q22" s="161">
        <f t="shared" si="35"/>
        <v>3642.8484799999997</v>
      </c>
      <c r="R22" s="161">
        <f t="shared" si="35"/>
        <v>7432.2</v>
      </c>
      <c r="S22" s="161">
        <f t="shared" si="35"/>
        <v>11075.048480000001</v>
      </c>
      <c r="T22" s="161">
        <f t="shared" si="35"/>
        <v>145.35</v>
      </c>
      <c r="U22" s="161">
        <f t="shared" si="35"/>
        <v>10929.7</v>
      </c>
      <c r="V22" s="160">
        <f>V8+V12+V14+V16+V19</f>
        <v>2300</v>
      </c>
      <c r="W22" s="160">
        <f>W8+W12+W14+W16+W19</f>
        <v>10902.5</v>
      </c>
      <c r="X22" s="160">
        <f>X8+X12+X14+X16+X19</f>
        <v>3500</v>
      </c>
      <c r="Y22" s="160">
        <f>Y8+Y12+Y14+Y16+Y19</f>
        <v>14402.499999999998</v>
      </c>
      <c r="Z22" s="160">
        <f>Z8+Z12+Z14+Z16+Z19</f>
        <v>64103.41</v>
      </c>
    </row>
    <row r="23" spans="1:3224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3224" s="51" customFormat="1" ht="12" customHeight="1" x14ac:dyDescent="0.2"/>
    <row r="25" spans="1:3224" s="51" customFormat="1" ht="12" customHeight="1" x14ac:dyDescent="0.2"/>
    <row r="26" spans="1:3224" s="51" customFormat="1" ht="12" customHeight="1" x14ac:dyDescent="0.2"/>
    <row r="27" spans="1:3224" s="51" customFormat="1" ht="12" customHeight="1" x14ac:dyDescent="0.2"/>
    <row r="28" spans="1:3224" s="51" customFormat="1" ht="12" customHeight="1" x14ac:dyDescent="0.2"/>
    <row r="37" spans="11:11" x14ac:dyDescent="0.25">
      <c r="K37" s="4" t="s">
        <v>244</v>
      </c>
    </row>
  </sheetData>
  <mergeCells count="7">
    <mergeCell ref="A22:H22"/>
    <mergeCell ref="A1:AA1"/>
    <mergeCell ref="A2:AA2"/>
    <mergeCell ref="A3:AA3"/>
    <mergeCell ref="I5:K5"/>
    <mergeCell ref="N5:S5"/>
    <mergeCell ref="W5:Y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4" zoomScale="75" zoomScaleNormal="75" workbookViewId="0">
      <selection activeCell="B21" sqref="A21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3.44140625" customWidth="1"/>
    <col min="25" max="25" width="12.5546875" customWidth="1"/>
    <col min="26" max="26" width="14.33203125" customWidth="1"/>
    <col min="27" max="27" width="52.3320312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202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307"/>
      <c r="Z6" s="23" t="s">
        <v>0</v>
      </c>
      <c r="AA6" s="34"/>
    </row>
    <row r="7" spans="1:27" ht="21" x14ac:dyDescent="0.25">
      <c r="A7" s="26" t="s">
        <v>20</v>
      </c>
      <c r="B7" s="44" t="s">
        <v>101</v>
      </c>
      <c r="C7" s="44" t="s">
        <v>115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9" t="s">
        <v>290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/>
      <c r="Y8" s="26" t="s">
        <v>43</v>
      </c>
      <c r="Z8" s="26" t="s">
        <v>4</v>
      </c>
      <c r="AA8" s="35"/>
    </row>
    <row r="9" spans="1:27" ht="34.799999999999997" x14ac:dyDescent="0.3">
      <c r="A9" s="26"/>
      <c r="B9" s="193" t="s">
        <v>101</v>
      </c>
      <c r="C9" s="193" t="s">
        <v>123</v>
      </c>
      <c r="D9" s="245" t="s">
        <v>255</v>
      </c>
      <c r="E9" s="229" t="s">
        <v>310</v>
      </c>
      <c r="F9" s="211" t="s">
        <v>61</v>
      </c>
      <c r="G9" s="247"/>
      <c r="H9" s="211"/>
      <c r="I9" s="248">
        <f>I10</f>
        <v>10653</v>
      </c>
      <c r="J9" s="248">
        <f>J10</f>
        <v>0</v>
      </c>
      <c r="K9" s="248">
        <f>K10</f>
        <v>10653</v>
      </c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>
        <f>V10</f>
        <v>0</v>
      </c>
      <c r="W9" s="248">
        <f>W10</f>
        <v>1452.42</v>
      </c>
      <c r="X9" s="248">
        <f>X10</f>
        <v>0</v>
      </c>
      <c r="Y9" s="248">
        <f>Y10</f>
        <v>1452.42</v>
      </c>
      <c r="Z9" s="248">
        <f>Z10</f>
        <v>9200.58</v>
      </c>
      <c r="AA9" s="134"/>
    </row>
    <row r="10" spans="1:27" ht="133.5" customHeight="1" x14ac:dyDescent="0.35">
      <c r="A10" s="246"/>
      <c r="B10" s="167">
        <v>161</v>
      </c>
      <c r="C10" s="147" t="s">
        <v>114</v>
      </c>
      <c r="D10" s="215" t="s">
        <v>256</v>
      </c>
      <c r="E10" s="220">
        <v>43374</v>
      </c>
      <c r="F10" s="150" t="s">
        <v>257</v>
      </c>
      <c r="G10" s="168">
        <v>15</v>
      </c>
      <c r="H10" s="169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9">
        <v>0</v>
      </c>
      <c r="Y10" s="155">
        <f>SUM(W10:X10)</f>
        <v>1452.42</v>
      </c>
      <c r="Z10" s="155">
        <f>K10+V10-Y10</f>
        <v>9200.58</v>
      </c>
      <c r="AA10" s="110"/>
    </row>
    <row r="11" spans="1:27" ht="52.5" customHeight="1" x14ac:dyDescent="0.3">
      <c r="A11" s="211"/>
      <c r="B11" s="193" t="s">
        <v>101</v>
      </c>
      <c r="C11" s="193" t="s">
        <v>123</v>
      </c>
      <c r="D11" s="245" t="s">
        <v>125</v>
      </c>
      <c r="E11" s="234"/>
      <c r="F11" s="211" t="s">
        <v>61</v>
      </c>
      <c r="G11" s="247"/>
      <c r="H11" s="211"/>
      <c r="I11" s="248">
        <f>I12</f>
        <v>7823</v>
      </c>
      <c r="J11" s="248">
        <f>J12</f>
        <v>0</v>
      </c>
      <c r="K11" s="248">
        <f>K12</f>
        <v>7823</v>
      </c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8">
        <f>V12</f>
        <v>0</v>
      </c>
      <c r="W11" s="248">
        <f>W12</f>
        <v>847.93</v>
      </c>
      <c r="X11" s="248">
        <f>X12</f>
        <v>2000</v>
      </c>
      <c r="Y11" s="248">
        <f>Y12</f>
        <v>2847.93</v>
      </c>
      <c r="Z11" s="248">
        <f>Z12</f>
        <v>4975.07</v>
      </c>
      <c r="AA11" s="249"/>
    </row>
    <row r="12" spans="1:27" ht="132.75" customHeight="1" x14ac:dyDescent="0.35">
      <c r="A12" s="173"/>
      <c r="B12" s="147" t="s">
        <v>252</v>
      </c>
      <c r="C12" s="148" t="s">
        <v>114</v>
      </c>
      <c r="D12" s="215" t="s">
        <v>253</v>
      </c>
      <c r="E12" s="220">
        <v>44487</v>
      </c>
      <c r="F12" s="150" t="s">
        <v>254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9">
        <v>2000</v>
      </c>
      <c r="Y12" s="155">
        <f t="shared" ref="Y12" si="20">SUM(W12:X12)</f>
        <v>2847.93</v>
      </c>
      <c r="Z12" s="155">
        <f t="shared" ref="Z12" si="21">K12+V12-Y12</f>
        <v>4975.07</v>
      </c>
      <c r="AA12" s="110"/>
    </row>
    <row r="13" spans="1:27" ht="53.25" customHeight="1" x14ac:dyDescent="0.3">
      <c r="A13" s="173"/>
      <c r="B13" s="193" t="s">
        <v>101</v>
      </c>
      <c r="C13" s="193" t="s">
        <v>123</v>
      </c>
      <c r="D13" s="230" t="s">
        <v>76</v>
      </c>
      <c r="E13" s="234"/>
      <c r="F13" s="211" t="s">
        <v>61</v>
      </c>
      <c r="G13" s="211"/>
      <c r="H13" s="211"/>
      <c r="I13" s="248">
        <f>SUM(I14)</f>
        <v>12093</v>
      </c>
      <c r="J13" s="248">
        <f>SUM(J14)</f>
        <v>0</v>
      </c>
      <c r="K13" s="248">
        <f>SUM(K14)</f>
        <v>12093</v>
      </c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8">
        <f>SUM(V14)</f>
        <v>0</v>
      </c>
      <c r="W13" s="248">
        <f>SUM(W14)</f>
        <v>1760</v>
      </c>
      <c r="X13" s="248">
        <f>SUM(X14)</f>
        <v>0</v>
      </c>
      <c r="Y13" s="248">
        <f>SUM(Y14)</f>
        <v>1760</v>
      </c>
      <c r="Z13" s="248">
        <f>SUM(Z14)</f>
        <v>10333</v>
      </c>
      <c r="AA13" s="249"/>
    </row>
    <row r="14" spans="1:27" ht="132.75" customHeight="1" x14ac:dyDescent="0.35">
      <c r="A14" s="173"/>
      <c r="B14" s="167">
        <v>290</v>
      </c>
      <c r="C14" s="147" t="s">
        <v>114</v>
      </c>
      <c r="D14" s="215" t="s">
        <v>260</v>
      </c>
      <c r="E14" s="220">
        <v>44593</v>
      </c>
      <c r="F14" s="149" t="s">
        <v>76</v>
      </c>
      <c r="G14" s="168">
        <v>15</v>
      </c>
      <c r="H14" s="169">
        <f>I14/G14</f>
        <v>806.2</v>
      </c>
      <c r="I14" s="170">
        <v>12093</v>
      </c>
      <c r="J14" s="171">
        <v>0</v>
      </c>
      <c r="K14" s="172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9">
        <v>0</v>
      </c>
      <c r="Y14" s="155">
        <f>SUM(W14:X14)</f>
        <v>1760</v>
      </c>
      <c r="Z14" s="155">
        <f>K14+V14-Y14</f>
        <v>10333</v>
      </c>
      <c r="AA14" s="110"/>
    </row>
    <row r="15" spans="1:27" ht="40.5" customHeight="1" thickBot="1" x14ac:dyDescent="0.35">
      <c r="A15" s="284" t="s">
        <v>44</v>
      </c>
      <c r="B15" s="285"/>
      <c r="C15" s="285"/>
      <c r="D15" s="285"/>
      <c r="E15" s="285"/>
      <c r="F15" s="285"/>
      <c r="G15" s="285"/>
      <c r="H15" s="286"/>
      <c r="I15" s="208">
        <f>I9+I11+I13</f>
        <v>30569</v>
      </c>
      <c r="J15" s="208">
        <f>J9+J11+J13</f>
        <v>0</v>
      </c>
      <c r="K15" s="208">
        <f>K9+K11+K13</f>
        <v>30569</v>
      </c>
      <c r="L15" s="161">
        <f t="shared" ref="L15:U15" si="22">SUM(L12:L12)</f>
        <v>0</v>
      </c>
      <c r="M15" s="161">
        <f t="shared" si="22"/>
        <v>7823</v>
      </c>
      <c r="N15" s="161">
        <f t="shared" si="22"/>
        <v>7641.91</v>
      </c>
      <c r="O15" s="161">
        <f t="shared" si="22"/>
        <v>181.09000000000015</v>
      </c>
      <c r="P15" s="161">
        <f t="shared" si="22"/>
        <v>0.21360000000000001</v>
      </c>
      <c r="Q15" s="161">
        <f t="shared" si="22"/>
        <v>38.680824000000037</v>
      </c>
      <c r="R15" s="161">
        <f t="shared" si="22"/>
        <v>809.25</v>
      </c>
      <c r="S15" s="161">
        <f t="shared" si="22"/>
        <v>847.93082400000003</v>
      </c>
      <c r="T15" s="161">
        <f t="shared" si="22"/>
        <v>0</v>
      </c>
      <c r="U15" s="161">
        <f t="shared" si="22"/>
        <v>847.93</v>
      </c>
      <c r="V15" s="208">
        <f>V9+V11+V13</f>
        <v>0</v>
      </c>
      <c r="W15" s="208">
        <f>W9+W11+W13</f>
        <v>4060.35</v>
      </c>
      <c r="X15" s="208">
        <f>X9+X11+X13</f>
        <v>2000</v>
      </c>
      <c r="Y15" s="208">
        <f>Y9+Y11+Y13</f>
        <v>6060.35</v>
      </c>
      <c r="Z15" s="208">
        <f>Z9+Z11+Z13</f>
        <v>24508.65</v>
      </c>
      <c r="AA15" s="111"/>
    </row>
    <row r="16" spans="1:27" ht="13.8" thickTop="1" x14ac:dyDescent="0.25"/>
  </sheetData>
  <mergeCells count="7">
    <mergeCell ref="A15:H15"/>
    <mergeCell ref="A1:AA1"/>
    <mergeCell ref="A2:AA2"/>
    <mergeCell ref="A3:AA3"/>
    <mergeCell ref="I6:K6"/>
    <mergeCell ref="N6:S6"/>
    <mergeCell ref="W6:Y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B26" zoomScale="66" zoomScaleNormal="66" workbookViewId="0">
      <selection activeCell="B31" sqref="A31:XFD40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5" width="13.6640625" customWidth="1"/>
    <col min="26" max="26" width="17" customWidth="1"/>
    <col min="27" max="27" width="84.44140625" customWidth="1"/>
    <col min="28" max="28" width="1.44140625" customWidth="1"/>
  </cols>
  <sheetData>
    <row r="1" spans="1:33" ht="19.8" x14ac:dyDescent="0.3">
      <c r="A1" s="287" t="s">
        <v>78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</row>
    <row r="2" spans="1:33" ht="19.8" x14ac:dyDescent="0.3">
      <c r="A2" s="287" t="s">
        <v>64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</row>
    <row r="3" spans="1:33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33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33" s="51" customFormat="1" ht="12.75" customHeight="1" x14ac:dyDescent="0.25">
      <c r="A5" s="47"/>
      <c r="B5" s="47"/>
      <c r="C5" s="308" t="s">
        <v>115</v>
      </c>
      <c r="D5" s="47"/>
      <c r="E5" s="47"/>
      <c r="F5" s="47"/>
      <c r="G5" s="48" t="s">
        <v>22</v>
      </c>
      <c r="H5" s="48" t="s">
        <v>5</v>
      </c>
      <c r="I5" s="311" t="s">
        <v>1</v>
      </c>
      <c r="J5" s="312"/>
      <c r="K5" s="313"/>
      <c r="L5" s="49" t="s">
        <v>25</v>
      </c>
      <c r="M5" s="50"/>
      <c r="N5" s="314" t="s">
        <v>8</v>
      </c>
      <c r="O5" s="315"/>
      <c r="P5" s="315"/>
      <c r="Q5" s="315"/>
      <c r="R5" s="315"/>
      <c r="S5" s="316"/>
      <c r="T5" s="49" t="s">
        <v>29</v>
      </c>
      <c r="U5" s="49" t="s">
        <v>9</v>
      </c>
      <c r="V5" s="48" t="s">
        <v>52</v>
      </c>
      <c r="W5" s="317" t="s">
        <v>2</v>
      </c>
      <c r="X5" s="318"/>
      <c r="Y5" s="319"/>
      <c r="Z5" s="48" t="s">
        <v>0</v>
      </c>
      <c r="AA5" s="47"/>
    </row>
    <row r="6" spans="1:33" s="51" customFormat="1" ht="24" x14ac:dyDescent="0.25">
      <c r="A6" s="52" t="s">
        <v>20</v>
      </c>
      <c r="B6" s="46" t="s">
        <v>101</v>
      </c>
      <c r="C6" s="309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56</v>
      </c>
      <c r="Y6" s="48" t="s">
        <v>6</v>
      </c>
      <c r="Z6" s="52" t="s">
        <v>3</v>
      </c>
      <c r="AA6" s="52" t="s">
        <v>57</v>
      </c>
    </row>
    <row r="7" spans="1:33" s="51" customFormat="1" ht="12" x14ac:dyDescent="0.25">
      <c r="A7" s="60"/>
      <c r="B7" s="60"/>
      <c r="C7" s="310"/>
      <c r="D7" s="60"/>
      <c r="E7" s="60"/>
      <c r="F7" s="60"/>
      <c r="G7" s="60"/>
      <c r="H7" s="60"/>
      <c r="I7" s="60" t="s">
        <v>46</v>
      </c>
      <c r="J7" s="60" t="s">
        <v>59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124</v>
      </c>
      <c r="V7" s="60" t="s">
        <v>51</v>
      </c>
      <c r="W7" s="60"/>
      <c r="X7" s="60"/>
      <c r="Y7" s="60" t="s">
        <v>43</v>
      </c>
      <c r="Z7" s="60" t="s">
        <v>4</v>
      </c>
      <c r="AA7" s="57"/>
    </row>
    <row r="8" spans="1:33" s="51" customFormat="1" ht="35.25" customHeight="1" x14ac:dyDescent="0.3">
      <c r="A8" s="62"/>
      <c r="B8" s="132"/>
      <c r="C8" s="132"/>
      <c r="D8" s="131" t="s">
        <v>68</v>
      </c>
      <c r="E8" s="130" t="s">
        <v>310</v>
      </c>
      <c r="F8" s="132" t="s">
        <v>61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132"/>
      <c r="AA8" s="63"/>
    </row>
    <row r="9" spans="1:33" s="93" customFormat="1" ht="173.25" customHeight="1" x14ac:dyDescent="0.35">
      <c r="A9" s="109" t="s">
        <v>85</v>
      </c>
      <c r="B9" s="147" t="s">
        <v>172</v>
      </c>
      <c r="C9" s="148" t="s">
        <v>114</v>
      </c>
      <c r="D9" s="215" t="s">
        <v>170</v>
      </c>
      <c r="E9" s="220">
        <v>43512</v>
      </c>
      <c r="F9" s="150" t="s">
        <v>311</v>
      </c>
      <c r="G9" s="151">
        <v>15</v>
      </c>
      <c r="H9" s="152">
        <f t="shared" ref="H9:H10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" si="1">I9+L9</f>
        <v>11359</v>
      </c>
      <c r="N9" s="156">
        <f t="shared" ref="N9" si="2">VLOOKUP(M9,Tarifa1,1)</f>
        <v>7641.91</v>
      </c>
      <c r="O9" s="156">
        <f t="shared" ref="O9" si="3">M9-N9</f>
        <v>3717.09</v>
      </c>
      <c r="P9" s="157">
        <f t="shared" ref="P9" si="4">VLOOKUP(M9,Tarifa1,3)</f>
        <v>0.21360000000000001</v>
      </c>
      <c r="Q9" s="156">
        <f t="shared" ref="Q9" si="5">O9*P9</f>
        <v>793.97042400000009</v>
      </c>
      <c r="R9" s="158">
        <f t="shared" ref="R9" si="6">VLOOKUP(M9,Tarifa1,2)</f>
        <v>809.25</v>
      </c>
      <c r="S9" s="156">
        <f t="shared" ref="S9" si="7">Q9+R9</f>
        <v>1603.2204240000001</v>
      </c>
      <c r="T9" s="156">
        <f t="shared" ref="T9" si="8">VLOOKUP(M9,Credito1,2)</f>
        <v>0</v>
      </c>
      <c r="U9" s="156">
        <f t="shared" ref="U9" si="9">ROUND(S9-T9,2)</f>
        <v>1603.22</v>
      </c>
      <c r="V9" s="155">
        <f t="shared" ref="V9" si="10">-IF(U9&gt;0,0,U9)</f>
        <v>0</v>
      </c>
      <c r="W9" s="155">
        <f t="shared" ref="W9" si="11">IF(I9/15&lt;=SMG,0,IF(U9&lt;0,0,U9))</f>
        <v>1603.22</v>
      </c>
      <c r="X9" s="159">
        <v>0</v>
      </c>
      <c r="Y9" s="155">
        <f t="shared" ref="Y9:Y13" si="12">SUM(W9:X9)</f>
        <v>1603.22</v>
      </c>
      <c r="Z9" s="155">
        <f t="shared" ref="Z9" si="13">K9+V9-Y9</f>
        <v>9755.7800000000007</v>
      </c>
      <c r="AA9" s="110"/>
      <c r="AB9" s="95"/>
      <c r="AG9" s="96"/>
    </row>
    <row r="10" spans="1:33" s="93" customFormat="1" ht="173.25" customHeight="1" x14ac:dyDescent="0.35">
      <c r="A10" s="109"/>
      <c r="B10" s="148" t="s">
        <v>194</v>
      </c>
      <c r="C10" s="148" t="s">
        <v>114</v>
      </c>
      <c r="D10" s="215" t="s">
        <v>195</v>
      </c>
      <c r="E10" s="220">
        <v>43983</v>
      </c>
      <c r="F10" s="150" t="s">
        <v>262</v>
      </c>
      <c r="G10" s="151">
        <v>15</v>
      </c>
      <c r="H10" s="152">
        <f t="shared" si="0"/>
        <v>757.26666666666665</v>
      </c>
      <c r="I10" s="153">
        <v>11359</v>
      </c>
      <c r="J10" s="154">
        <v>0</v>
      </c>
      <c r="K10" s="155">
        <f>SUM(I10:J10)</f>
        <v>11359</v>
      </c>
      <c r="L10" s="156">
        <f>IF(I10/15&lt;=SMG,0,J10/2)</f>
        <v>0</v>
      </c>
      <c r="M10" s="156">
        <f t="shared" ref="M10:M13" si="14">I10+L10</f>
        <v>11359</v>
      </c>
      <c r="N10" s="156">
        <f t="shared" ref="N10:N13" si="15">VLOOKUP(M10,Tarifa1,1)</f>
        <v>7641.91</v>
      </c>
      <c r="O10" s="156">
        <f t="shared" ref="O10:O13" si="16">M10-N10</f>
        <v>3717.09</v>
      </c>
      <c r="P10" s="157">
        <f t="shared" ref="P10:P13" si="17">VLOOKUP(M10,Tarifa1,3)</f>
        <v>0.21360000000000001</v>
      </c>
      <c r="Q10" s="156">
        <f t="shared" ref="Q10:Q13" si="18">O10*P10</f>
        <v>793.97042400000009</v>
      </c>
      <c r="R10" s="158">
        <f t="shared" ref="R10:R13" si="19">VLOOKUP(M10,Tarifa1,2)</f>
        <v>809.25</v>
      </c>
      <c r="S10" s="156">
        <f t="shared" ref="S10:S13" si="20">Q10+R10</f>
        <v>1603.2204240000001</v>
      </c>
      <c r="T10" s="156">
        <f t="shared" ref="T10:T13" si="21">VLOOKUP(M10,Credito1,2)</f>
        <v>0</v>
      </c>
      <c r="U10" s="156">
        <f t="shared" ref="U10:U13" si="22">ROUND(S10-T10,2)</f>
        <v>1603.22</v>
      </c>
      <c r="V10" s="155">
        <f t="shared" ref="V10:V13" si="23">-IF(U10&gt;0,0,U10)</f>
        <v>0</v>
      </c>
      <c r="W10" s="155">
        <f t="shared" ref="W10:W13" si="24">IF(I10/15&lt;=SMG,0,IF(U10&lt;0,0,U10))</f>
        <v>1603.22</v>
      </c>
      <c r="X10" s="159">
        <v>0</v>
      </c>
      <c r="Y10" s="155">
        <f t="shared" si="12"/>
        <v>1603.22</v>
      </c>
      <c r="Z10" s="155">
        <f t="shared" ref="Z10" si="25">K10+V10-Y10</f>
        <v>9755.7800000000007</v>
      </c>
      <c r="AA10" s="110"/>
      <c r="AB10" s="95"/>
      <c r="AG10" s="96"/>
    </row>
    <row r="11" spans="1:33" s="93" customFormat="1" ht="173.25" customHeight="1" x14ac:dyDescent="0.35">
      <c r="A11" s="109"/>
      <c r="B11" s="148" t="s">
        <v>285</v>
      </c>
      <c r="C11" s="148" t="s">
        <v>114</v>
      </c>
      <c r="D11" s="215" t="s">
        <v>287</v>
      </c>
      <c r="E11" s="220">
        <v>44866</v>
      </c>
      <c r="F11" s="150" t="s">
        <v>286</v>
      </c>
      <c r="G11" s="151"/>
      <c r="H11" s="152"/>
      <c r="I11" s="153">
        <v>4467</v>
      </c>
      <c r="J11" s="154">
        <v>0</v>
      </c>
      <c r="K11" s="155">
        <f>SUM(I11:J11)</f>
        <v>4467</v>
      </c>
      <c r="L11" s="156">
        <f>IF(I11/15&lt;=SMG,0,J11/2)</f>
        <v>0</v>
      </c>
      <c r="M11" s="156">
        <f t="shared" si="14"/>
        <v>4467</v>
      </c>
      <c r="N11" s="156">
        <f t="shared" si="15"/>
        <v>3124.36</v>
      </c>
      <c r="O11" s="156">
        <f t="shared" si="16"/>
        <v>1342.6399999999999</v>
      </c>
      <c r="P11" s="157">
        <f t="shared" si="17"/>
        <v>0.10879999999999999</v>
      </c>
      <c r="Q11" s="156">
        <f t="shared" si="18"/>
        <v>146.07923199999999</v>
      </c>
      <c r="R11" s="158">
        <f t="shared" si="19"/>
        <v>183.45</v>
      </c>
      <c r="S11" s="156">
        <f t="shared" si="20"/>
        <v>329.52923199999998</v>
      </c>
      <c r="T11" s="156">
        <f t="shared" si="21"/>
        <v>0</v>
      </c>
      <c r="U11" s="156">
        <f t="shared" si="22"/>
        <v>329.53</v>
      </c>
      <c r="V11" s="155">
        <f t="shared" si="23"/>
        <v>0</v>
      </c>
      <c r="W11" s="155">
        <f t="shared" si="24"/>
        <v>329.53</v>
      </c>
      <c r="X11" s="159">
        <v>0</v>
      </c>
      <c r="Y11" s="155">
        <f t="shared" si="12"/>
        <v>329.53</v>
      </c>
      <c r="Z11" s="155">
        <f>K11+V11-Y11</f>
        <v>4137.47</v>
      </c>
      <c r="AA11" s="110"/>
      <c r="AB11" s="95"/>
      <c r="AG11" s="96"/>
    </row>
    <row r="12" spans="1:33" s="93" customFormat="1" ht="173.25" customHeight="1" x14ac:dyDescent="0.35">
      <c r="A12" s="109"/>
      <c r="B12" s="147" t="s">
        <v>199</v>
      </c>
      <c r="C12" s="147" t="s">
        <v>114</v>
      </c>
      <c r="D12" s="217" t="s">
        <v>198</v>
      </c>
      <c r="E12" s="224">
        <v>44470</v>
      </c>
      <c r="F12" s="150" t="s">
        <v>67</v>
      </c>
      <c r="G12" s="151">
        <v>15</v>
      </c>
      <c r="H12" s="152"/>
      <c r="I12" s="153">
        <v>6253</v>
      </c>
      <c r="J12" s="154">
        <v>0</v>
      </c>
      <c r="K12" s="153">
        <f>I12</f>
        <v>6253</v>
      </c>
      <c r="L12" s="156">
        <f t="shared" ref="L12" si="26">IF(I12/15&lt;=SMG,0,J12/2)</f>
        <v>0</v>
      </c>
      <c r="M12" s="156">
        <f t="shared" si="14"/>
        <v>6253</v>
      </c>
      <c r="N12" s="156">
        <f t="shared" si="15"/>
        <v>5490.76</v>
      </c>
      <c r="O12" s="156">
        <f t="shared" si="16"/>
        <v>762.23999999999978</v>
      </c>
      <c r="P12" s="157">
        <f t="shared" si="17"/>
        <v>0.16</v>
      </c>
      <c r="Q12" s="156">
        <f t="shared" si="18"/>
        <v>121.95839999999997</v>
      </c>
      <c r="R12" s="158">
        <f t="shared" si="19"/>
        <v>441</v>
      </c>
      <c r="S12" s="156">
        <f t="shared" si="20"/>
        <v>562.95839999999998</v>
      </c>
      <c r="T12" s="156">
        <f t="shared" si="21"/>
        <v>0</v>
      </c>
      <c r="U12" s="156">
        <f t="shared" si="22"/>
        <v>562.96</v>
      </c>
      <c r="V12" s="155">
        <f t="shared" si="23"/>
        <v>0</v>
      </c>
      <c r="W12" s="155">
        <f t="shared" si="24"/>
        <v>562.96</v>
      </c>
      <c r="X12" s="159">
        <v>758.68</v>
      </c>
      <c r="Y12" s="155">
        <f t="shared" si="12"/>
        <v>1321.6399999999999</v>
      </c>
      <c r="Z12" s="155">
        <f>K12+V12-Y12+J12</f>
        <v>4931.3600000000006</v>
      </c>
      <c r="AA12" s="110"/>
      <c r="AG12" s="96"/>
    </row>
    <row r="13" spans="1:33" s="93" customFormat="1" ht="173.25" customHeight="1" x14ac:dyDescent="0.35">
      <c r="A13" s="109"/>
      <c r="B13" s="147" t="s">
        <v>288</v>
      </c>
      <c r="C13" s="147" t="s">
        <v>114</v>
      </c>
      <c r="D13" s="217" t="s">
        <v>289</v>
      </c>
      <c r="E13" s="228">
        <v>44866</v>
      </c>
      <c r="F13" s="150" t="s">
        <v>67</v>
      </c>
      <c r="G13" s="151"/>
      <c r="H13" s="152"/>
      <c r="I13" s="153">
        <v>6253</v>
      </c>
      <c r="J13" s="154">
        <v>416.87</v>
      </c>
      <c r="K13" s="153">
        <f>I13</f>
        <v>6253</v>
      </c>
      <c r="L13" s="156">
        <f t="shared" ref="L13" si="27">IF(I13/15&lt;=SMG,0,J13/2)</f>
        <v>208.435</v>
      </c>
      <c r="M13" s="156">
        <f t="shared" si="14"/>
        <v>6461.4350000000004</v>
      </c>
      <c r="N13" s="156">
        <f t="shared" si="15"/>
        <v>6382.81</v>
      </c>
      <c r="O13" s="156">
        <f t="shared" si="16"/>
        <v>78.625</v>
      </c>
      <c r="P13" s="157">
        <f t="shared" si="17"/>
        <v>0.1792</v>
      </c>
      <c r="Q13" s="156">
        <f t="shared" si="18"/>
        <v>14.089599999999999</v>
      </c>
      <c r="R13" s="158">
        <f t="shared" si="19"/>
        <v>583.65</v>
      </c>
      <c r="S13" s="156">
        <f t="shared" si="20"/>
        <v>597.7396</v>
      </c>
      <c r="T13" s="156">
        <f t="shared" si="21"/>
        <v>0</v>
      </c>
      <c r="U13" s="156">
        <f t="shared" si="22"/>
        <v>597.74</v>
      </c>
      <c r="V13" s="155">
        <f t="shared" si="23"/>
        <v>0</v>
      </c>
      <c r="W13" s="155">
        <f t="shared" si="24"/>
        <v>597.74</v>
      </c>
      <c r="X13" s="159">
        <v>0</v>
      </c>
      <c r="Y13" s="155">
        <f t="shared" si="12"/>
        <v>597.74</v>
      </c>
      <c r="Z13" s="155">
        <f>K13+V13-Y13+J13</f>
        <v>6072.13</v>
      </c>
      <c r="AA13" s="110"/>
      <c r="AG13" s="96"/>
    </row>
    <row r="14" spans="1:33" s="93" customFormat="1" ht="173.25" customHeight="1" x14ac:dyDescent="0.35">
      <c r="A14" s="109"/>
      <c r="B14" s="147" t="s">
        <v>317</v>
      </c>
      <c r="C14" s="147" t="s">
        <v>114</v>
      </c>
      <c r="D14" s="217" t="s">
        <v>316</v>
      </c>
      <c r="E14" s="226">
        <v>45042</v>
      </c>
      <c r="F14" s="150" t="s">
        <v>67</v>
      </c>
      <c r="G14" s="151"/>
      <c r="H14" s="152"/>
      <c r="I14" s="153">
        <v>6253</v>
      </c>
      <c r="J14" s="154">
        <v>416.87</v>
      </c>
      <c r="K14" s="153">
        <f>I14</f>
        <v>6253</v>
      </c>
      <c r="L14" s="156">
        <f t="shared" ref="L14:L15" si="28">IF(I14/15&lt;=SMG,0,J14/2)</f>
        <v>208.435</v>
      </c>
      <c r="M14" s="156">
        <f t="shared" ref="M14:M15" si="29">I14+L14</f>
        <v>6461.4350000000004</v>
      </c>
      <c r="N14" s="156">
        <f t="shared" ref="N14:N15" si="30">VLOOKUP(M14,Tarifa1,1)</f>
        <v>6382.81</v>
      </c>
      <c r="O14" s="156">
        <f t="shared" ref="O14:O15" si="31">M14-N14</f>
        <v>78.625</v>
      </c>
      <c r="P14" s="157">
        <f t="shared" ref="P14:P15" si="32">VLOOKUP(M14,Tarifa1,3)</f>
        <v>0.1792</v>
      </c>
      <c r="Q14" s="156">
        <f t="shared" ref="Q14:Q15" si="33">O14*P14</f>
        <v>14.089599999999999</v>
      </c>
      <c r="R14" s="158">
        <f t="shared" ref="R14:R15" si="34">VLOOKUP(M14,Tarifa1,2)</f>
        <v>583.65</v>
      </c>
      <c r="S14" s="156">
        <f t="shared" ref="S14:S15" si="35">Q14+R14</f>
        <v>597.7396</v>
      </c>
      <c r="T14" s="156">
        <f t="shared" ref="T14:T15" si="36">VLOOKUP(M14,Credito1,2)</f>
        <v>0</v>
      </c>
      <c r="U14" s="156">
        <f t="shared" ref="U14:U15" si="37">ROUND(S14-T14,2)</f>
        <v>597.74</v>
      </c>
      <c r="V14" s="155">
        <f t="shared" ref="V14:V15" si="38">-IF(U14&gt;0,0,U14)</f>
        <v>0</v>
      </c>
      <c r="W14" s="155">
        <f t="shared" ref="W14:W15" si="39">IF(I14/15&lt;=SMG,0,IF(U14&lt;0,0,U14))</f>
        <v>597.74</v>
      </c>
      <c r="X14" s="159">
        <v>0</v>
      </c>
      <c r="Y14" s="155">
        <f t="shared" ref="Y14:Y15" si="40">SUM(W14:X14)</f>
        <v>597.74</v>
      </c>
      <c r="Z14" s="155">
        <f>K14+V14-Y14+J14</f>
        <v>6072.13</v>
      </c>
      <c r="AA14" s="110"/>
      <c r="AG14" s="96"/>
    </row>
    <row r="15" spans="1:33" s="93" customFormat="1" ht="173.25" customHeight="1" x14ac:dyDescent="0.35">
      <c r="A15" s="109"/>
      <c r="B15" s="147" t="s">
        <v>322</v>
      </c>
      <c r="C15" s="147" t="s">
        <v>114</v>
      </c>
      <c r="D15" s="217" t="s">
        <v>323</v>
      </c>
      <c r="E15" s="226">
        <v>45078</v>
      </c>
      <c r="F15" s="150" t="s">
        <v>324</v>
      </c>
      <c r="G15" s="151"/>
      <c r="H15" s="152"/>
      <c r="I15" s="153">
        <v>9126.32</v>
      </c>
      <c r="J15" s="154">
        <v>0</v>
      </c>
      <c r="K15" s="155">
        <f t="shared" ref="K15" si="41">SUM(I15:J15)</f>
        <v>9126.32</v>
      </c>
      <c r="L15" s="156">
        <f t="shared" si="28"/>
        <v>0</v>
      </c>
      <c r="M15" s="156">
        <f t="shared" si="29"/>
        <v>9126.32</v>
      </c>
      <c r="N15" s="156">
        <f t="shared" si="30"/>
        <v>7641.91</v>
      </c>
      <c r="O15" s="156">
        <f t="shared" si="31"/>
        <v>1484.4099999999999</v>
      </c>
      <c r="P15" s="157">
        <f t="shared" si="32"/>
        <v>0.21360000000000001</v>
      </c>
      <c r="Q15" s="156">
        <f t="shared" si="33"/>
        <v>317.069976</v>
      </c>
      <c r="R15" s="158">
        <f t="shared" si="34"/>
        <v>809.25</v>
      </c>
      <c r="S15" s="156">
        <f t="shared" si="35"/>
        <v>1126.319976</v>
      </c>
      <c r="T15" s="156">
        <f t="shared" si="36"/>
        <v>0</v>
      </c>
      <c r="U15" s="156">
        <f t="shared" si="37"/>
        <v>1126.32</v>
      </c>
      <c r="V15" s="155">
        <f t="shared" si="38"/>
        <v>0</v>
      </c>
      <c r="W15" s="155">
        <f t="shared" si="39"/>
        <v>1126.32</v>
      </c>
      <c r="X15" s="159">
        <v>0</v>
      </c>
      <c r="Y15" s="155">
        <f t="shared" si="40"/>
        <v>1126.32</v>
      </c>
      <c r="Z15" s="155">
        <f t="shared" ref="Z15" si="42">K15+V15-Y15</f>
        <v>8000</v>
      </c>
      <c r="AA15" s="110"/>
      <c r="AG15" s="96"/>
    </row>
    <row r="16" spans="1:33" s="93" customFormat="1" ht="57" customHeight="1" x14ac:dyDescent="0.3">
      <c r="A16" s="178"/>
      <c r="B16" s="190"/>
      <c r="C16" s="190"/>
      <c r="D16" s="195"/>
      <c r="E16" s="196"/>
      <c r="F16" s="197"/>
      <c r="G16" s="198"/>
      <c r="H16" s="199"/>
      <c r="I16" s="200"/>
      <c r="J16" s="201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111"/>
      <c r="AG16" s="96"/>
    </row>
    <row r="17" spans="1:33" s="93" customFormat="1" ht="29.25" customHeight="1" x14ac:dyDescent="0.3">
      <c r="A17" s="178"/>
      <c r="B17" s="287" t="s">
        <v>78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G17" s="96"/>
    </row>
    <row r="18" spans="1:33" s="93" customFormat="1" ht="28.5" customHeight="1" x14ac:dyDescent="0.3">
      <c r="A18" s="178"/>
      <c r="B18" s="287" t="s">
        <v>64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G18" s="96"/>
    </row>
    <row r="19" spans="1:33" s="93" customFormat="1" ht="28.5" customHeight="1" x14ac:dyDescent="0.3">
      <c r="A19" s="178"/>
      <c r="B19" s="288" t="s">
        <v>338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G19" s="96"/>
    </row>
    <row r="20" spans="1:33" s="93" customFormat="1" ht="20.25" customHeight="1" x14ac:dyDescent="0.3">
      <c r="A20" s="178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G20" s="96"/>
    </row>
    <row r="21" spans="1:33" s="93" customFormat="1" ht="136.5" customHeight="1" x14ac:dyDescent="0.35">
      <c r="A21" s="178"/>
      <c r="B21" s="148" t="s">
        <v>188</v>
      </c>
      <c r="C21" s="148" t="s">
        <v>114</v>
      </c>
      <c r="D21" s="213" t="s">
        <v>189</v>
      </c>
      <c r="E21" s="220">
        <v>43877</v>
      </c>
      <c r="F21" s="150" t="s">
        <v>162</v>
      </c>
      <c r="G21" s="151">
        <v>15</v>
      </c>
      <c r="H21" s="152"/>
      <c r="I21" s="153">
        <v>6843</v>
      </c>
      <c r="J21" s="154">
        <v>0</v>
      </c>
      <c r="K21" s="155">
        <f>SUM(I21:J21)</f>
        <v>6843</v>
      </c>
      <c r="L21" s="156">
        <f t="shared" ref="L21" si="43">IF(I21/15&lt;=SMG,0,J21/2)</f>
        <v>0</v>
      </c>
      <c r="M21" s="156">
        <f t="shared" ref="M21" si="44">I21+L21</f>
        <v>6843</v>
      </c>
      <c r="N21" s="156">
        <f t="shared" ref="N21" si="45">VLOOKUP(M21,Tarifa1,1)</f>
        <v>6382.81</v>
      </c>
      <c r="O21" s="156">
        <f t="shared" ref="O21" si="46">M21-N21</f>
        <v>460.1899999999996</v>
      </c>
      <c r="P21" s="157">
        <f t="shared" ref="P21" si="47">VLOOKUP(M21,Tarifa1,3)</f>
        <v>0.1792</v>
      </c>
      <c r="Q21" s="156">
        <f t="shared" ref="Q21" si="48">O21*P21</f>
        <v>82.46604799999993</v>
      </c>
      <c r="R21" s="158">
        <f t="shared" ref="R21" si="49">VLOOKUP(M21,Tarifa1,2)</f>
        <v>583.65</v>
      </c>
      <c r="S21" s="156">
        <f t="shared" ref="S21" si="50">Q21+R21</f>
        <v>666.11604799999986</v>
      </c>
      <c r="T21" s="156">
        <f t="shared" ref="T21" si="51">VLOOKUP(M21,Credito1,2)</f>
        <v>0</v>
      </c>
      <c r="U21" s="156">
        <f t="shared" ref="U21" si="52">ROUND(S21-T21,2)</f>
        <v>666.12</v>
      </c>
      <c r="V21" s="155">
        <f t="shared" ref="V21" si="53">-IF(U21&gt;0,0,U21)</f>
        <v>0</v>
      </c>
      <c r="W21" s="155">
        <f t="shared" ref="W21" si="54">IF(I21/15&lt;=SMG,0,IF(U21&lt;0,0,U21))</f>
        <v>666.12</v>
      </c>
      <c r="X21" s="159">
        <v>0</v>
      </c>
      <c r="Y21" s="155">
        <f t="shared" ref="Y21" si="55">SUM(W21:X21)</f>
        <v>666.12</v>
      </c>
      <c r="Z21" s="155">
        <f>K21+V21-Y21</f>
        <v>6176.88</v>
      </c>
      <c r="AA21" s="194"/>
      <c r="AB21" s="194"/>
      <c r="AG21" s="96"/>
    </row>
    <row r="22" spans="1:33" s="93" customFormat="1" ht="136.5" customHeight="1" x14ac:dyDescent="0.35">
      <c r="A22" s="178"/>
      <c r="B22" s="148" t="s">
        <v>171</v>
      </c>
      <c r="C22" s="148" t="s">
        <v>114</v>
      </c>
      <c r="D22" s="213" t="s">
        <v>164</v>
      </c>
      <c r="E22" s="219">
        <v>43512</v>
      </c>
      <c r="F22" s="150" t="s">
        <v>162</v>
      </c>
      <c r="G22" s="151">
        <v>15</v>
      </c>
      <c r="H22" s="152"/>
      <c r="I22" s="153">
        <v>8552</v>
      </c>
      <c r="J22" s="154">
        <v>0</v>
      </c>
      <c r="K22" s="155">
        <f t="shared" ref="K22" si="56">SUM(I22:J22)</f>
        <v>8552</v>
      </c>
      <c r="L22" s="156">
        <f t="shared" ref="L22" si="57">IF(I22/15&lt;=SMG,0,J22/2)</f>
        <v>0</v>
      </c>
      <c r="M22" s="156">
        <f t="shared" ref="M22" si="58">I22+L22</f>
        <v>8552</v>
      </c>
      <c r="N22" s="156">
        <f t="shared" ref="N22:N28" si="59">VLOOKUP(M22,Tarifa1,1)</f>
        <v>7641.91</v>
      </c>
      <c r="O22" s="156">
        <f t="shared" ref="O22" si="60">M22-N22</f>
        <v>910.09000000000015</v>
      </c>
      <c r="P22" s="157">
        <f t="shared" ref="P22:P28" si="61">VLOOKUP(M22,Tarifa1,3)</f>
        <v>0.21360000000000001</v>
      </c>
      <c r="Q22" s="156">
        <f t="shared" ref="Q22" si="62">O22*P22</f>
        <v>194.39522400000004</v>
      </c>
      <c r="R22" s="158">
        <f t="shared" ref="R22:R28" si="63">VLOOKUP(M22,Tarifa1,2)</f>
        <v>809.25</v>
      </c>
      <c r="S22" s="156">
        <f t="shared" ref="S22" si="64">Q22+R22</f>
        <v>1003.6452240000001</v>
      </c>
      <c r="T22" s="156">
        <f t="shared" ref="T22:T28" si="65">VLOOKUP(M22,Credito1,2)</f>
        <v>0</v>
      </c>
      <c r="U22" s="156">
        <f t="shared" ref="U22" si="66">ROUND(S22-T22,2)</f>
        <v>1003.65</v>
      </c>
      <c r="V22" s="155">
        <f t="shared" ref="V22:V28" si="67">-IF(U22&gt;0,0,U22)</f>
        <v>0</v>
      </c>
      <c r="W22" s="155">
        <f t="shared" ref="W22:W28" si="68">IF(I22/15&lt;=SMG,0,IF(U22&lt;0,0,U22))</f>
        <v>1003.65</v>
      </c>
      <c r="X22" s="159">
        <v>0</v>
      </c>
      <c r="Y22" s="155">
        <f t="shared" ref="Y22" si="69">SUM(W22:X22)</f>
        <v>1003.65</v>
      </c>
      <c r="Z22" s="155">
        <f t="shared" ref="Z22" si="70">K22+V22-Y22</f>
        <v>7548.35</v>
      </c>
      <c r="AA22" s="110"/>
      <c r="AB22" s="194"/>
      <c r="AG22" s="96"/>
    </row>
    <row r="23" spans="1:33" s="93" customFormat="1" ht="136.5" customHeight="1" x14ac:dyDescent="0.35">
      <c r="A23" s="109"/>
      <c r="B23" s="148" t="s">
        <v>177</v>
      </c>
      <c r="C23" s="148" t="s">
        <v>114</v>
      </c>
      <c r="D23" s="213" t="s">
        <v>178</v>
      </c>
      <c r="E23" s="219">
        <v>43632</v>
      </c>
      <c r="F23" s="150" t="s">
        <v>162</v>
      </c>
      <c r="G23" s="151">
        <v>15</v>
      </c>
      <c r="H23" s="152"/>
      <c r="I23" s="153">
        <v>8552</v>
      </c>
      <c r="J23" s="154">
        <v>0</v>
      </c>
      <c r="K23" s="155">
        <f t="shared" ref="K23" si="71">SUM(I23:J23)</f>
        <v>8552</v>
      </c>
      <c r="L23" s="156">
        <f t="shared" ref="L23:L27" si="72">IF(I23/15&lt;=SMG,0,J23/2)</f>
        <v>0</v>
      </c>
      <c r="M23" s="156">
        <f t="shared" ref="M23:M28" si="73">I23+L23</f>
        <v>8552</v>
      </c>
      <c r="N23" s="156">
        <f t="shared" si="59"/>
        <v>7641.91</v>
      </c>
      <c r="O23" s="156">
        <f t="shared" ref="O23:O28" si="74">M23-N23</f>
        <v>910.09000000000015</v>
      </c>
      <c r="P23" s="157">
        <f t="shared" si="61"/>
        <v>0.21360000000000001</v>
      </c>
      <c r="Q23" s="156">
        <f t="shared" ref="Q23:Q28" si="75">O23*P23</f>
        <v>194.39522400000004</v>
      </c>
      <c r="R23" s="158">
        <f t="shared" si="63"/>
        <v>809.25</v>
      </c>
      <c r="S23" s="156">
        <f t="shared" ref="S23:S28" si="76">Q23+R23</f>
        <v>1003.6452240000001</v>
      </c>
      <c r="T23" s="156">
        <f t="shared" si="65"/>
        <v>0</v>
      </c>
      <c r="U23" s="156">
        <f t="shared" ref="U23:U28" si="77">ROUND(S23-T23,2)</f>
        <v>1003.65</v>
      </c>
      <c r="V23" s="155">
        <f t="shared" si="67"/>
        <v>0</v>
      </c>
      <c r="W23" s="155">
        <f t="shared" si="68"/>
        <v>1003.65</v>
      </c>
      <c r="X23" s="159">
        <v>0</v>
      </c>
      <c r="Y23" s="155">
        <f t="shared" ref="Y23:Y28" si="78">SUM(W23:X23)</f>
        <v>1003.65</v>
      </c>
      <c r="Z23" s="155">
        <f t="shared" ref="Z23" si="79">K23+V23-Y23</f>
        <v>7548.35</v>
      </c>
      <c r="AA23" s="110"/>
      <c r="AG23" s="96"/>
    </row>
    <row r="24" spans="1:33" s="93" customFormat="1" ht="136.5" customHeight="1" x14ac:dyDescent="0.35">
      <c r="A24" s="109"/>
      <c r="B24" s="148" t="s">
        <v>265</v>
      </c>
      <c r="C24" s="148" t="s">
        <v>114</v>
      </c>
      <c r="D24" s="213" t="s">
        <v>266</v>
      </c>
      <c r="E24" s="219">
        <v>44728</v>
      </c>
      <c r="F24" s="150" t="s">
        <v>162</v>
      </c>
      <c r="G24" s="151"/>
      <c r="H24" s="152"/>
      <c r="I24" s="153">
        <v>8552</v>
      </c>
      <c r="J24" s="154">
        <v>0</v>
      </c>
      <c r="K24" s="155">
        <f>SUM(I24:J24)</f>
        <v>8552</v>
      </c>
      <c r="L24" s="156">
        <f t="shared" si="72"/>
        <v>0</v>
      </c>
      <c r="M24" s="156">
        <f t="shared" si="73"/>
        <v>8552</v>
      </c>
      <c r="N24" s="156">
        <f t="shared" si="59"/>
        <v>7641.91</v>
      </c>
      <c r="O24" s="156">
        <f t="shared" si="74"/>
        <v>910.09000000000015</v>
      </c>
      <c r="P24" s="157">
        <f t="shared" si="61"/>
        <v>0.21360000000000001</v>
      </c>
      <c r="Q24" s="156">
        <f t="shared" si="75"/>
        <v>194.39522400000004</v>
      </c>
      <c r="R24" s="158">
        <f t="shared" si="63"/>
        <v>809.25</v>
      </c>
      <c r="S24" s="156">
        <f t="shared" si="76"/>
        <v>1003.6452240000001</v>
      </c>
      <c r="T24" s="156">
        <f t="shared" si="65"/>
        <v>0</v>
      </c>
      <c r="U24" s="156">
        <f t="shared" si="77"/>
        <v>1003.65</v>
      </c>
      <c r="V24" s="155">
        <f t="shared" si="67"/>
        <v>0</v>
      </c>
      <c r="W24" s="155">
        <f t="shared" si="68"/>
        <v>1003.65</v>
      </c>
      <c r="X24" s="159">
        <v>0</v>
      </c>
      <c r="Y24" s="155">
        <f t="shared" ref="Y24:Y25" si="80">SUM(W24:X24)</f>
        <v>1003.65</v>
      </c>
      <c r="Z24" s="155">
        <f>K24+V24-Y24</f>
        <v>7548.35</v>
      </c>
      <c r="AA24" s="110"/>
      <c r="AG24" s="96"/>
    </row>
    <row r="25" spans="1:33" s="93" customFormat="1" ht="136.5" customHeight="1" x14ac:dyDescent="0.35">
      <c r="A25" s="109"/>
      <c r="B25" s="148" t="s">
        <v>192</v>
      </c>
      <c r="C25" s="148" t="s">
        <v>114</v>
      </c>
      <c r="D25" s="215" t="s">
        <v>193</v>
      </c>
      <c r="E25" s="220">
        <v>43967</v>
      </c>
      <c r="F25" s="150" t="s">
        <v>162</v>
      </c>
      <c r="G25" s="151"/>
      <c r="H25" s="152"/>
      <c r="I25" s="153">
        <v>6843</v>
      </c>
      <c r="J25" s="154">
        <v>456.2</v>
      </c>
      <c r="K25" s="155">
        <f>SUM(I25:J25)</f>
        <v>7299.2</v>
      </c>
      <c r="L25" s="156">
        <f t="shared" si="72"/>
        <v>228.1</v>
      </c>
      <c r="M25" s="156">
        <f t="shared" si="73"/>
        <v>7071.1</v>
      </c>
      <c r="N25" s="156">
        <f t="shared" si="59"/>
        <v>6382.81</v>
      </c>
      <c r="O25" s="156">
        <f t="shared" si="74"/>
        <v>688.29</v>
      </c>
      <c r="P25" s="157">
        <f t="shared" si="61"/>
        <v>0.1792</v>
      </c>
      <c r="Q25" s="156">
        <f t="shared" si="75"/>
        <v>123.341568</v>
      </c>
      <c r="R25" s="158">
        <f t="shared" si="63"/>
        <v>583.65</v>
      </c>
      <c r="S25" s="156">
        <f t="shared" si="76"/>
        <v>706.99156799999992</v>
      </c>
      <c r="T25" s="156">
        <f t="shared" si="65"/>
        <v>0</v>
      </c>
      <c r="U25" s="156">
        <f t="shared" si="77"/>
        <v>706.99</v>
      </c>
      <c r="V25" s="155">
        <f t="shared" si="67"/>
        <v>0</v>
      </c>
      <c r="W25" s="155">
        <f t="shared" si="68"/>
        <v>706.99</v>
      </c>
      <c r="X25" s="159">
        <v>500</v>
      </c>
      <c r="Y25" s="155">
        <f t="shared" si="80"/>
        <v>1206.99</v>
      </c>
      <c r="Z25" s="155">
        <f>K25+V25-Y25</f>
        <v>6092.21</v>
      </c>
      <c r="AA25" s="110"/>
      <c r="AG25" s="96"/>
    </row>
    <row r="26" spans="1:33" s="93" customFormat="1" ht="136.5" customHeight="1" x14ac:dyDescent="0.35">
      <c r="A26" s="109"/>
      <c r="B26" s="148" t="s">
        <v>315</v>
      </c>
      <c r="C26" s="148" t="s">
        <v>114</v>
      </c>
      <c r="D26" s="215" t="s">
        <v>318</v>
      </c>
      <c r="E26" s="220">
        <v>45033</v>
      </c>
      <c r="F26" s="150" t="s">
        <v>162</v>
      </c>
      <c r="G26" s="151"/>
      <c r="H26" s="152"/>
      <c r="I26" s="153">
        <v>6843</v>
      </c>
      <c r="J26" s="154">
        <v>0</v>
      </c>
      <c r="K26" s="155">
        <f>SUM(I26:J26)</f>
        <v>6843</v>
      </c>
      <c r="L26" s="156">
        <f t="shared" ref="L26" si="81">IF(I26/15&lt;=SMG,0,J26/2)</f>
        <v>0</v>
      </c>
      <c r="M26" s="156">
        <f t="shared" ref="M26" si="82">I26+L26</f>
        <v>6843</v>
      </c>
      <c r="N26" s="156">
        <f t="shared" ref="N26" si="83">VLOOKUP(M26,Tarifa1,1)</f>
        <v>6382.81</v>
      </c>
      <c r="O26" s="156">
        <f t="shared" ref="O26" si="84">M26-N26</f>
        <v>460.1899999999996</v>
      </c>
      <c r="P26" s="157">
        <f t="shared" ref="P26" si="85">VLOOKUP(M26,Tarifa1,3)</f>
        <v>0.1792</v>
      </c>
      <c r="Q26" s="156">
        <f t="shared" ref="Q26" si="86">O26*P26</f>
        <v>82.46604799999993</v>
      </c>
      <c r="R26" s="158">
        <f t="shared" ref="R26" si="87">VLOOKUP(M26,Tarifa1,2)</f>
        <v>583.65</v>
      </c>
      <c r="S26" s="156">
        <f t="shared" ref="S26" si="88">Q26+R26</f>
        <v>666.11604799999986</v>
      </c>
      <c r="T26" s="156">
        <f t="shared" ref="T26" si="89">VLOOKUP(M26,Credito1,2)</f>
        <v>0</v>
      </c>
      <c r="U26" s="156">
        <f t="shared" ref="U26" si="90">ROUND(S26-T26,2)</f>
        <v>666.12</v>
      </c>
      <c r="V26" s="155">
        <f t="shared" ref="V26" si="91">-IF(U26&gt;0,0,U26)</f>
        <v>0</v>
      </c>
      <c r="W26" s="155">
        <f t="shared" ref="W26" si="92">IF(I26/15&lt;=SMG,0,IF(U26&lt;0,0,U26))</f>
        <v>666.12</v>
      </c>
      <c r="X26" s="159">
        <v>0</v>
      </c>
      <c r="Y26" s="155">
        <f t="shared" ref="Y26" si="93">SUM(W26:X26)</f>
        <v>666.12</v>
      </c>
      <c r="Z26" s="155">
        <f>K26+V26-Y26</f>
        <v>6176.88</v>
      </c>
      <c r="AA26" s="110"/>
      <c r="AG26" s="96"/>
    </row>
    <row r="27" spans="1:33" s="93" customFormat="1" ht="136.5" customHeight="1" x14ac:dyDescent="0.35">
      <c r="A27" s="109"/>
      <c r="B27" s="148" t="s">
        <v>269</v>
      </c>
      <c r="C27" s="148" t="s">
        <v>114</v>
      </c>
      <c r="D27" s="213" t="s">
        <v>267</v>
      </c>
      <c r="E27" s="220">
        <v>44728</v>
      </c>
      <c r="F27" s="150" t="s">
        <v>268</v>
      </c>
      <c r="G27" s="151"/>
      <c r="H27" s="152"/>
      <c r="I27" s="153">
        <v>6253</v>
      </c>
      <c r="J27" s="154">
        <v>416.87</v>
      </c>
      <c r="K27" s="153">
        <f>I27</f>
        <v>6253</v>
      </c>
      <c r="L27" s="156">
        <f t="shared" si="72"/>
        <v>208.435</v>
      </c>
      <c r="M27" s="156">
        <f t="shared" si="73"/>
        <v>6461.4350000000004</v>
      </c>
      <c r="N27" s="156">
        <f t="shared" si="59"/>
        <v>6382.81</v>
      </c>
      <c r="O27" s="156">
        <f t="shared" si="74"/>
        <v>78.625</v>
      </c>
      <c r="P27" s="157">
        <f t="shared" si="61"/>
        <v>0.1792</v>
      </c>
      <c r="Q27" s="156">
        <f t="shared" si="75"/>
        <v>14.089599999999999</v>
      </c>
      <c r="R27" s="158">
        <f t="shared" si="63"/>
        <v>583.65</v>
      </c>
      <c r="S27" s="156">
        <f t="shared" si="76"/>
        <v>597.7396</v>
      </c>
      <c r="T27" s="156">
        <f t="shared" si="65"/>
        <v>0</v>
      </c>
      <c r="U27" s="156">
        <f t="shared" si="77"/>
        <v>597.74</v>
      </c>
      <c r="V27" s="155">
        <f t="shared" si="67"/>
        <v>0</v>
      </c>
      <c r="W27" s="155">
        <f t="shared" si="68"/>
        <v>597.74</v>
      </c>
      <c r="X27" s="159">
        <v>0</v>
      </c>
      <c r="Y27" s="155">
        <f>SUM(W27:X27)</f>
        <v>597.74</v>
      </c>
      <c r="Z27" s="155">
        <f>K27+V27-Y27+J27</f>
        <v>6072.13</v>
      </c>
      <c r="AA27" s="110"/>
      <c r="AG27" s="96"/>
    </row>
    <row r="28" spans="1:33" s="93" customFormat="1" ht="136.5" customHeight="1" x14ac:dyDescent="0.35">
      <c r="A28" s="109"/>
      <c r="B28" s="148" t="s">
        <v>173</v>
      </c>
      <c r="C28" s="148" t="s">
        <v>114</v>
      </c>
      <c r="D28" s="213" t="s">
        <v>163</v>
      </c>
      <c r="E28" s="219">
        <v>43512</v>
      </c>
      <c r="F28" s="150" t="s">
        <v>263</v>
      </c>
      <c r="G28" s="151">
        <v>15</v>
      </c>
      <c r="H28" s="152">
        <f t="shared" ref="H28" si="94">I28/G28</f>
        <v>310.2</v>
      </c>
      <c r="I28" s="153">
        <v>4653</v>
      </c>
      <c r="J28" s="154">
        <v>0</v>
      </c>
      <c r="K28" s="155">
        <f t="shared" ref="K28" si="95">SUM(I28:J28)</f>
        <v>4653</v>
      </c>
      <c r="L28" s="156">
        <f t="shared" ref="L28" si="96">IF(I28/15&lt;=SMG,0,J28/2)</f>
        <v>0</v>
      </c>
      <c r="M28" s="156">
        <f t="shared" si="73"/>
        <v>4653</v>
      </c>
      <c r="N28" s="156">
        <f t="shared" si="59"/>
        <v>3124.36</v>
      </c>
      <c r="O28" s="156">
        <f t="shared" si="74"/>
        <v>1528.6399999999999</v>
      </c>
      <c r="P28" s="157">
        <f t="shared" si="61"/>
        <v>0.10879999999999999</v>
      </c>
      <c r="Q28" s="156">
        <f t="shared" si="75"/>
        <v>166.31603199999998</v>
      </c>
      <c r="R28" s="158">
        <f t="shared" si="63"/>
        <v>183.45</v>
      </c>
      <c r="S28" s="156">
        <f t="shared" si="76"/>
        <v>349.766032</v>
      </c>
      <c r="T28" s="156">
        <f t="shared" si="65"/>
        <v>0</v>
      </c>
      <c r="U28" s="156">
        <f t="shared" si="77"/>
        <v>349.77</v>
      </c>
      <c r="V28" s="155">
        <f t="shared" si="67"/>
        <v>0</v>
      </c>
      <c r="W28" s="155">
        <f t="shared" si="68"/>
        <v>349.77</v>
      </c>
      <c r="X28" s="159">
        <v>0</v>
      </c>
      <c r="Y28" s="155">
        <f t="shared" si="78"/>
        <v>349.77</v>
      </c>
      <c r="Z28" s="155">
        <f>K28+V28-Y28</f>
        <v>4303.2299999999996</v>
      </c>
      <c r="AA28" s="110"/>
      <c r="AG28" s="96"/>
    </row>
    <row r="29" spans="1:33" s="51" customFormat="1" ht="39" customHeight="1" thickBot="1" x14ac:dyDescent="0.35">
      <c r="A29" s="284" t="s">
        <v>44</v>
      </c>
      <c r="B29" s="285"/>
      <c r="C29" s="285"/>
      <c r="D29" s="285"/>
      <c r="E29" s="285"/>
      <c r="F29" s="285"/>
      <c r="G29" s="285"/>
      <c r="H29" s="286"/>
      <c r="I29" s="160">
        <f t="shared" ref="I29:Z29" si="97">SUM(I9:I28)</f>
        <v>112161.32</v>
      </c>
      <c r="J29" s="160">
        <f t="shared" si="97"/>
        <v>1706.81</v>
      </c>
      <c r="K29" s="160">
        <f t="shared" si="97"/>
        <v>112617.52</v>
      </c>
      <c r="L29" s="161">
        <f t="shared" si="97"/>
        <v>853.40499999999997</v>
      </c>
      <c r="M29" s="161">
        <f t="shared" si="97"/>
        <v>113014.72500000001</v>
      </c>
      <c r="N29" s="161">
        <f t="shared" si="97"/>
        <v>95887.8</v>
      </c>
      <c r="O29" s="161">
        <f t="shared" si="97"/>
        <v>17126.924999999999</v>
      </c>
      <c r="P29" s="161">
        <f t="shared" si="97"/>
        <v>2.7343999999999995</v>
      </c>
      <c r="Q29" s="161">
        <f t="shared" si="97"/>
        <v>3253.092623999999</v>
      </c>
      <c r="R29" s="161">
        <f t="shared" si="97"/>
        <v>9165.2999999999993</v>
      </c>
      <c r="S29" s="161">
        <f t="shared" si="97"/>
        <v>12418.392624</v>
      </c>
      <c r="T29" s="161">
        <f t="shared" si="97"/>
        <v>0</v>
      </c>
      <c r="U29" s="161">
        <f t="shared" si="97"/>
        <v>12418.42</v>
      </c>
      <c r="V29" s="160">
        <f t="shared" si="97"/>
        <v>0</v>
      </c>
      <c r="W29" s="160">
        <f t="shared" si="97"/>
        <v>12418.42</v>
      </c>
      <c r="X29" s="160">
        <f t="shared" si="97"/>
        <v>1258.6799999999998</v>
      </c>
      <c r="Y29" s="160">
        <f t="shared" si="97"/>
        <v>13677.1</v>
      </c>
      <c r="Z29" s="160">
        <f t="shared" si="97"/>
        <v>100191.03000000001</v>
      </c>
      <c r="AA29" s="111"/>
    </row>
    <row r="30" spans="1:33" s="51" customFormat="1" ht="39" customHeight="1" thickTop="1" x14ac:dyDescent="0.25">
      <c r="A30" s="105"/>
      <c r="B30" s="105"/>
      <c r="C30" s="105"/>
      <c r="D30" s="105"/>
      <c r="E30" s="105"/>
      <c r="F30" s="105"/>
      <c r="G30" s="105"/>
      <c r="H30" s="105"/>
      <c r="I30" s="106"/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6"/>
      <c r="W30" s="106"/>
      <c r="X30" s="106"/>
      <c r="Y30" s="106"/>
      <c r="Z30" s="106"/>
    </row>
  </sheetData>
  <mergeCells count="11">
    <mergeCell ref="A29:H29"/>
    <mergeCell ref="C5:C7"/>
    <mergeCell ref="A1:AA1"/>
    <mergeCell ref="A2:AA2"/>
    <mergeCell ref="A3:AA3"/>
    <mergeCell ref="I5:K5"/>
    <mergeCell ref="N5:S5"/>
    <mergeCell ref="W5:Y5"/>
    <mergeCell ref="B17:AB17"/>
    <mergeCell ref="B18:AB18"/>
    <mergeCell ref="B19:AB19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28 E22:E26 D21:D28 D16:E16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opLeftCell="B32" zoomScale="69" zoomScaleNormal="69" workbookViewId="0">
      <selection activeCell="J59" sqref="J59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.109375" customWidth="1"/>
    <col min="25" max="25" width="13" customWidth="1"/>
    <col min="26" max="26" width="13.5546875" customWidth="1"/>
    <col min="27" max="27" width="47.3320312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11" t="s">
        <v>1</v>
      </c>
      <c r="J5" s="312"/>
      <c r="K5" s="313"/>
      <c r="L5" s="49" t="s">
        <v>25</v>
      </c>
      <c r="M5" s="50"/>
      <c r="N5" s="314" t="s">
        <v>8</v>
      </c>
      <c r="O5" s="315"/>
      <c r="P5" s="315"/>
      <c r="Q5" s="315"/>
      <c r="R5" s="315"/>
      <c r="S5" s="316"/>
      <c r="T5" s="49" t="s">
        <v>29</v>
      </c>
      <c r="U5" s="49" t="s">
        <v>9</v>
      </c>
      <c r="V5" s="48" t="s">
        <v>52</v>
      </c>
      <c r="W5" s="317" t="s">
        <v>2</v>
      </c>
      <c r="X5" s="318"/>
      <c r="Y5" s="319"/>
      <c r="Z5" s="48" t="s">
        <v>0</v>
      </c>
      <c r="AA5" s="47"/>
    </row>
    <row r="6" spans="1:27" s="51" customFormat="1" ht="24" x14ac:dyDescent="0.25">
      <c r="A6" s="52" t="s">
        <v>106</v>
      </c>
      <c r="B6" s="46" t="s">
        <v>101</v>
      </c>
      <c r="C6" s="46" t="s">
        <v>123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56</v>
      </c>
      <c r="Y6" s="48" t="s">
        <v>6</v>
      </c>
      <c r="Z6" s="52" t="s">
        <v>3</v>
      </c>
      <c r="AA6" s="52" t="s">
        <v>57</v>
      </c>
    </row>
    <row r="7" spans="1:27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59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124</v>
      </c>
      <c r="V7" s="52" t="s">
        <v>51</v>
      </c>
      <c r="W7" s="52"/>
      <c r="X7" s="52"/>
      <c r="Y7" s="52" t="s">
        <v>43</v>
      </c>
      <c r="Z7" s="52" t="s">
        <v>4</v>
      </c>
      <c r="AA7" s="56"/>
    </row>
    <row r="8" spans="1:27" s="4" customFormat="1" ht="39.75" customHeight="1" x14ac:dyDescent="0.3">
      <c r="A8" s="97"/>
      <c r="B8" s="116"/>
      <c r="C8" s="116"/>
      <c r="D8" s="116" t="s">
        <v>69</v>
      </c>
      <c r="E8" s="135" t="s">
        <v>310</v>
      </c>
      <c r="F8" s="116" t="s">
        <v>61</v>
      </c>
      <c r="G8" s="116"/>
      <c r="H8" s="116"/>
      <c r="I8" s="117">
        <f>SUM(I9:I20)</f>
        <v>49070.619999999995</v>
      </c>
      <c r="J8" s="117">
        <f>SUM(J9:J20)</f>
        <v>297.8</v>
      </c>
      <c r="K8" s="117">
        <f>SUM(K9:K20)</f>
        <v>49368.42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24.99</v>
      </c>
      <c r="W8" s="117">
        <f>SUM(W9:W20)</f>
        <v>2997.02</v>
      </c>
      <c r="X8" s="117">
        <f>SUM(X9:X20)</f>
        <v>800</v>
      </c>
      <c r="Y8" s="117">
        <f>SUM(Y9:Y20)</f>
        <v>3797.02</v>
      </c>
      <c r="Z8" s="117">
        <f>SUM(Z9:Z20)</f>
        <v>45596.389999999992</v>
      </c>
      <c r="AA8" s="98"/>
    </row>
    <row r="9" spans="1:27" s="4" customFormat="1" ht="77.25" customHeight="1" x14ac:dyDescent="0.35">
      <c r="A9" s="43"/>
      <c r="B9" s="148" t="s">
        <v>174</v>
      </c>
      <c r="C9" s="148" t="s">
        <v>114</v>
      </c>
      <c r="D9" s="215" t="s">
        <v>169</v>
      </c>
      <c r="E9" s="220">
        <v>43512</v>
      </c>
      <c r="F9" s="150" t="s">
        <v>168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9">
        <v>0</v>
      </c>
      <c r="Y9" s="155">
        <f>SUM(W9:X9)</f>
        <v>319.82</v>
      </c>
      <c r="Z9" s="155">
        <f>K9+V9-Y9</f>
        <v>4057.9099999999994</v>
      </c>
      <c r="AA9" s="89"/>
    </row>
    <row r="10" spans="1:27" s="4" customFormat="1" ht="77.25" customHeight="1" x14ac:dyDescent="0.35">
      <c r="A10" s="43"/>
      <c r="B10" s="148" t="s">
        <v>103</v>
      </c>
      <c r="C10" s="148" t="s">
        <v>114</v>
      </c>
      <c r="D10" s="215" t="s">
        <v>70</v>
      </c>
      <c r="E10" s="220">
        <v>39448</v>
      </c>
      <c r="F10" s="150" t="s">
        <v>71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9">
        <v>0</v>
      </c>
      <c r="Y10" s="155">
        <f>SUM(W10:X10)</f>
        <v>319.82</v>
      </c>
      <c r="Z10" s="155">
        <f>K10+V10-Y10</f>
        <v>4057.9099999999994</v>
      </c>
      <c r="AA10" s="89"/>
    </row>
    <row r="11" spans="1:27" s="4" customFormat="1" ht="77.25" customHeight="1" x14ac:dyDescent="0.35">
      <c r="A11" s="43"/>
      <c r="B11" s="148" t="s">
        <v>271</v>
      </c>
      <c r="C11" s="148" t="s">
        <v>114</v>
      </c>
      <c r="D11" s="215" t="s">
        <v>275</v>
      </c>
      <c r="E11" s="226">
        <v>44743</v>
      </c>
      <c r="F11" s="150" t="s">
        <v>168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6">I11+L11</f>
        <v>4489.93</v>
      </c>
      <c r="N11" s="156">
        <f>VLOOKUP(M11,Tarifa1,1)</f>
        <v>3124.36</v>
      </c>
      <c r="O11" s="156">
        <f t="shared" ref="O11:O20" si="7">M11-N11</f>
        <v>1365.5700000000002</v>
      </c>
      <c r="P11" s="157">
        <f>VLOOKUP(M11,Tarifa1,3)</f>
        <v>0.10879999999999999</v>
      </c>
      <c r="Q11" s="156">
        <f t="shared" ref="Q11:Q20" si="8">O11*P11</f>
        <v>148.574016</v>
      </c>
      <c r="R11" s="158">
        <f>VLOOKUP(M11,Tarifa1,2)</f>
        <v>183.45</v>
      </c>
      <c r="S11" s="156">
        <f t="shared" ref="S11:S20" si="9">Q11+R11</f>
        <v>332.02401599999996</v>
      </c>
      <c r="T11" s="156">
        <f>VLOOKUP(M11,Credito1,2)</f>
        <v>0</v>
      </c>
      <c r="U11" s="156">
        <f t="shared" ref="U11:U20" si="10">ROUND(S11-T11,2)</f>
        <v>332.02</v>
      </c>
      <c r="V11" s="155">
        <f t="shared" ref="V11:V20" si="11">-IF(U11&gt;0,0,U11)</f>
        <v>0</v>
      </c>
      <c r="W11" s="155">
        <f>IF(I11/15&lt;=SMG,0,IF(U11&lt;0,0,U11))</f>
        <v>332.02</v>
      </c>
      <c r="X11" s="159">
        <v>0</v>
      </c>
      <c r="Y11" s="155">
        <f>SUM(W11:X11)</f>
        <v>332.02</v>
      </c>
      <c r="Z11" s="155">
        <f>K11+V11-Y11</f>
        <v>4157.91</v>
      </c>
      <c r="AA11" s="89"/>
    </row>
    <row r="12" spans="1:27" s="4" customFormat="1" ht="77.25" customHeight="1" x14ac:dyDescent="0.35">
      <c r="A12" s="43"/>
      <c r="B12" s="148" t="s">
        <v>131</v>
      </c>
      <c r="C12" s="148" t="s">
        <v>114</v>
      </c>
      <c r="D12" s="217" t="s">
        <v>130</v>
      </c>
      <c r="E12" s="224">
        <v>42948</v>
      </c>
      <c r="F12" s="150" t="s">
        <v>319</v>
      </c>
      <c r="G12" s="151">
        <v>15</v>
      </c>
      <c r="H12" s="152">
        <f>I12/G12</f>
        <v>297.8</v>
      </c>
      <c r="I12" s="153">
        <v>4467</v>
      </c>
      <c r="J12" s="154">
        <v>297.8</v>
      </c>
      <c r="K12" s="155">
        <f>SUM(I12:J12)</f>
        <v>4764.8</v>
      </c>
      <c r="L12" s="156">
        <f t="shared" ref="L12:L14" si="12">IF(I12/15&lt;=SMG,0,J12/2)</f>
        <v>148.9</v>
      </c>
      <c r="M12" s="156">
        <f t="shared" si="6"/>
        <v>4615.8999999999996</v>
      </c>
      <c r="N12" s="156">
        <f t="shared" ref="N12:N20" si="13">VLOOKUP(M12,Tarifa1,1)</f>
        <v>3124.36</v>
      </c>
      <c r="O12" s="156">
        <f t="shared" si="7"/>
        <v>1491.5399999999995</v>
      </c>
      <c r="P12" s="157">
        <f t="shared" ref="P12:P20" si="14">VLOOKUP(M12,Tarifa1,3)</f>
        <v>0.10879999999999999</v>
      </c>
      <c r="Q12" s="156">
        <f t="shared" si="8"/>
        <v>162.27955199999994</v>
      </c>
      <c r="R12" s="158">
        <f t="shared" ref="R12:R20" si="15">VLOOKUP(M12,Tarifa1,2)</f>
        <v>183.45</v>
      </c>
      <c r="S12" s="156">
        <f t="shared" si="9"/>
        <v>345.7295519999999</v>
      </c>
      <c r="T12" s="156">
        <f t="shared" ref="T12:T20" si="16">VLOOKUP(M12,Credito1,2)</f>
        <v>0</v>
      </c>
      <c r="U12" s="156">
        <f t="shared" si="10"/>
        <v>345.73</v>
      </c>
      <c r="V12" s="155">
        <f t="shared" si="11"/>
        <v>0</v>
      </c>
      <c r="W12" s="155">
        <f t="shared" ref="W12:W20" si="17">IF(I12/15&lt;=SMG,0,IF(U12&lt;0,0,U12))</f>
        <v>345.73</v>
      </c>
      <c r="X12" s="159">
        <v>0</v>
      </c>
      <c r="Y12" s="155">
        <f>SUM(W12:X12)</f>
        <v>345.73</v>
      </c>
      <c r="Z12" s="155">
        <f>K12+V12-Y12</f>
        <v>4419.07</v>
      </c>
      <c r="AA12" s="89"/>
    </row>
    <row r="13" spans="1:27" s="4" customFormat="1" ht="77.25" customHeight="1" x14ac:dyDescent="0.35">
      <c r="A13" s="43"/>
      <c r="B13" s="148" t="s">
        <v>329</v>
      </c>
      <c r="C13" s="148" t="s">
        <v>114</v>
      </c>
      <c r="D13" s="217" t="s">
        <v>330</v>
      </c>
      <c r="E13" s="224">
        <v>45078</v>
      </c>
      <c r="F13" s="150" t="s">
        <v>102</v>
      </c>
      <c r="G13" s="151"/>
      <c r="H13" s="152"/>
      <c r="I13" s="153">
        <v>4032.23</v>
      </c>
      <c r="J13" s="154">
        <v>0</v>
      </c>
      <c r="K13" s="155">
        <f t="shared" ref="K13" si="18">SUM(I13:J13)</f>
        <v>4032.23</v>
      </c>
      <c r="L13" s="156">
        <f t="shared" ref="L13" si="19">IF(I13/15&lt;=SMG,0,J13/2)</f>
        <v>0</v>
      </c>
      <c r="M13" s="156">
        <f t="shared" ref="M13" si="20">I13+L13</f>
        <v>4032.23</v>
      </c>
      <c r="N13" s="156">
        <f t="shared" ref="N13" si="21">VLOOKUP(M13,Tarifa1,1)</f>
        <v>3124.36</v>
      </c>
      <c r="O13" s="156">
        <f t="shared" ref="O13" si="22">M13-N13</f>
        <v>907.86999999999989</v>
      </c>
      <c r="P13" s="157">
        <f t="shared" ref="P13" si="23">VLOOKUP(M13,Tarifa1,3)</f>
        <v>0.10879999999999999</v>
      </c>
      <c r="Q13" s="156">
        <f t="shared" ref="Q13" si="24">O13*P13</f>
        <v>98.776255999999989</v>
      </c>
      <c r="R13" s="158">
        <f t="shared" ref="R13" si="25">VLOOKUP(M13,Tarifa1,2)</f>
        <v>183.45</v>
      </c>
      <c r="S13" s="156">
        <f t="shared" ref="S13" si="26">Q13+R13</f>
        <v>282.22625599999998</v>
      </c>
      <c r="T13" s="156">
        <f t="shared" ref="T13" si="27">VLOOKUP(M13,Credito1,2)</f>
        <v>0</v>
      </c>
      <c r="U13" s="156">
        <f t="shared" ref="U13" si="28">ROUND(S13-T13,2)</f>
        <v>282.23</v>
      </c>
      <c r="V13" s="155">
        <f t="shared" ref="V13" si="29">-IF(U13&gt;0,0,U13)</f>
        <v>0</v>
      </c>
      <c r="W13" s="155">
        <f t="shared" ref="W13" si="30">IF(I13/15&lt;=SMG,0,IF(U13&lt;0,0,U13))</f>
        <v>282.23</v>
      </c>
      <c r="X13" s="159">
        <v>0</v>
      </c>
      <c r="Y13" s="155">
        <f t="shared" ref="Y13" si="31">SUM(W13:X13)</f>
        <v>282.23</v>
      </c>
      <c r="Z13" s="155">
        <f t="shared" ref="Z13" si="32">K13+V13-Y13</f>
        <v>3750</v>
      </c>
      <c r="AA13" s="89"/>
    </row>
    <row r="14" spans="1:27" s="4" customFormat="1" ht="77.25" customHeight="1" x14ac:dyDescent="0.35">
      <c r="A14" s="43"/>
      <c r="B14" s="148" t="s">
        <v>183</v>
      </c>
      <c r="C14" s="148" t="s">
        <v>114</v>
      </c>
      <c r="D14" s="217" t="s">
        <v>184</v>
      </c>
      <c r="E14" s="224">
        <v>43709</v>
      </c>
      <c r="F14" s="150" t="s">
        <v>246</v>
      </c>
      <c r="G14" s="151">
        <v>15</v>
      </c>
      <c r="H14" s="152"/>
      <c r="I14" s="153">
        <v>3403</v>
      </c>
      <c r="J14" s="154">
        <v>0</v>
      </c>
      <c r="K14" s="155">
        <f t="shared" ref="K14" si="33">SUM(I14:J14)</f>
        <v>3403</v>
      </c>
      <c r="L14" s="156">
        <f t="shared" si="12"/>
        <v>0</v>
      </c>
      <c r="M14" s="156">
        <f t="shared" si="6"/>
        <v>3403</v>
      </c>
      <c r="N14" s="156">
        <f t="shared" si="13"/>
        <v>3124.36</v>
      </c>
      <c r="O14" s="156">
        <f t="shared" si="7"/>
        <v>278.63999999999987</v>
      </c>
      <c r="P14" s="157">
        <f t="shared" si="14"/>
        <v>0.10879999999999999</v>
      </c>
      <c r="Q14" s="156">
        <f t="shared" si="8"/>
        <v>30.316031999999986</v>
      </c>
      <c r="R14" s="158">
        <f t="shared" si="15"/>
        <v>183.45</v>
      </c>
      <c r="S14" s="156">
        <f t="shared" si="9"/>
        <v>213.76603199999997</v>
      </c>
      <c r="T14" s="156">
        <f t="shared" si="16"/>
        <v>125.1</v>
      </c>
      <c r="U14" s="156">
        <f t="shared" si="10"/>
        <v>88.67</v>
      </c>
      <c r="V14" s="155">
        <f t="shared" si="11"/>
        <v>0</v>
      </c>
      <c r="W14" s="155">
        <f t="shared" si="17"/>
        <v>88.67</v>
      </c>
      <c r="X14" s="159">
        <v>0</v>
      </c>
      <c r="Y14" s="155">
        <f t="shared" ref="Y14:Y18" si="34">SUM(W14:X14)</f>
        <v>88.67</v>
      </c>
      <c r="Z14" s="155">
        <f t="shared" ref="Z14" si="35">K14+V14-Y14</f>
        <v>3314.33</v>
      </c>
      <c r="AA14" s="89"/>
    </row>
    <row r="15" spans="1:27" s="4" customFormat="1" ht="77.25" customHeight="1" x14ac:dyDescent="0.35">
      <c r="A15" s="43"/>
      <c r="B15" s="148" t="s">
        <v>247</v>
      </c>
      <c r="C15" s="148" t="s">
        <v>114</v>
      </c>
      <c r="D15" s="217" t="s">
        <v>249</v>
      </c>
      <c r="E15" s="224">
        <v>44470</v>
      </c>
      <c r="F15" s="150" t="s">
        <v>248</v>
      </c>
      <c r="G15" s="151">
        <v>15</v>
      </c>
      <c r="H15" s="152"/>
      <c r="I15" s="153">
        <v>2373</v>
      </c>
      <c r="J15" s="154">
        <v>0</v>
      </c>
      <c r="K15" s="155">
        <f>SUM(I15:J15)</f>
        <v>2373</v>
      </c>
      <c r="L15" s="156">
        <f>IF(I15/15&lt;=SMG,0,J15/2)</f>
        <v>0</v>
      </c>
      <c r="M15" s="156">
        <f t="shared" si="6"/>
        <v>2373</v>
      </c>
      <c r="N15" s="156">
        <f t="shared" si="13"/>
        <v>368.11</v>
      </c>
      <c r="O15" s="156">
        <f t="shared" si="7"/>
        <v>2004.8899999999999</v>
      </c>
      <c r="P15" s="157">
        <f t="shared" si="14"/>
        <v>6.4000000000000001E-2</v>
      </c>
      <c r="Q15" s="156">
        <f t="shared" si="8"/>
        <v>128.31296</v>
      </c>
      <c r="R15" s="158">
        <f t="shared" si="15"/>
        <v>7.05</v>
      </c>
      <c r="S15" s="156">
        <f t="shared" si="9"/>
        <v>135.36296000000002</v>
      </c>
      <c r="T15" s="156">
        <f t="shared" si="16"/>
        <v>160.35</v>
      </c>
      <c r="U15" s="156">
        <f t="shared" si="10"/>
        <v>-24.99</v>
      </c>
      <c r="V15" s="155">
        <f t="shared" si="11"/>
        <v>24.99</v>
      </c>
      <c r="W15" s="155">
        <f t="shared" si="17"/>
        <v>0</v>
      </c>
      <c r="X15" s="210">
        <v>0</v>
      </c>
      <c r="Y15" s="155">
        <f t="shared" si="34"/>
        <v>0</v>
      </c>
      <c r="Z15" s="155">
        <f>K15+V15-Y15</f>
        <v>2397.9899999999998</v>
      </c>
      <c r="AA15" s="89"/>
    </row>
    <row r="16" spans="1:27" s="4" customFormat="1" ht="77.25" customHeight="1" x14ac:dyDescent="0.35">
      <c r="A16" s="43"/>
      <c r="B16" s="148" t="s">
        <v>296</v>
      </c>
      <c r="C16" s="148" t="s">
        <v>114</v>
      </c>
      <c r="D16" s="217" t="s">
        <v>297</v>
      </c>
      <c r="E16" s="224">
        <v>44973</v>
      </c>
      <c r="F16" s="150" t="s">
        <v>298</v>
      </c>
      <c r="G16" s="151"/>
      <c r="H16" s="152"/>
      <c r="I16" s="153">
        <v>3403</v>
      </c>
      <c r="J16" s="154">
        <v>0</v>
      </c>
      <c r="K16" s="155">
        <f t="shared" ref="K16" si="36">SUM(I16:J16)</f>
        <v>3403</v>
      </c>
      <c r="L16" s="156">
        <f t="shared" ref="L16" si="37">IF(I16/15&lt;=SMG,0,J16/2)</f>
        <v>0</v>
      </c>
      <c r="M16" s="156">
        <f t="shared" ref="M16:M17" si="38">I16+L16</f>
        <v>3403</v>
      </c>
      <c r="N16" s="156">
        <f t="shared" ref="N16:N17" si="39">VLOOKUP(M16,Tarifa1,1)</f>
        <v>3124.36</v>
      </c>
      <c r="O16" s="156">
        <f t="shared" ref="O16:O17" si="40">M16-N16</f>
        <v>278.63999999999987</v>
      </c>
      <c r="P16" s="157">
        <f t="shared" ref="P16:P17" si="41">VLOOKUP(M16,Tarifa1,3)</f>
        <v>0.10879999999999999</v>
      </c>
      <c r="Q16" s="156">
        <f t="shared" ref="Q16:Q17" si="42">O16*P16</f>
        <v>30.316031999999986</v>
      </c>
      <c r="R16" s="158">
        <f t="shared" ref="R16:R17" si="43">VLOOKUP(M16,Tarifa1,2)</f>
        <v>183.45</v>
      </c>
      <c r="S16" s="156">
        <f t="shared" ref="S16:S17" si="44">Q16+R16</f>
        <v>213.76603199999997</v>
      </c>
      <c r="T16" s="156">
        <f t="shared" ref="T16:T17" si="45">VLOOKUP(M16,Credito1,2)</f>
        <v>125.1</v>
      </c>
      <c r="U16" s="156">
        <f t="shared" ref="U16:U17" si="46">ROUND(S16-T16,2)</f>
        <v>88.67</v>
      </c>
      <c r="V16" s="155">
        <f t="shared" ref="V16:V17" si="47">-IF(U16&gt;0,0,U16)</f>
        <v>0</v>
      </c>
      <c r="W16" s="155">
        <f t="shared" ref="W16:W17" si="48">IF(I16/15&lt;=SMG,0,IF(U16&lt;0,0,U16))</f>
        <v>88.67</v>
      </c>
      <c r="X16" s="159">
        <v>0</v>
      </c>
      <c r="Y16" s="155">
        <f t="shared" ref="Y16" si="49">SUM(W16:X16)</f>
        <v>88.67</v>
      </c>
      <c r="Z16" s="155">
        <f t="shared" ref="Z16" si="50">K16+V16-Y16</f>
        <v>3314.33</v>
      </c>
      <c r="AA16" s="89"/>
    </row>
    <row r="17" spans="1:33" s="4" customFormat="1" ht="77.25" customHeight="1" x14ac:dyDescent="0.35">
      <c r="A17" s="43"/>
      <c r="B17" s="148" t="s">
        <v>326</v>
      </c>
      <c r="C17" s="148" t="s">
        <v>114</v>
      </c>
      <c r="D17" s="217" t="s">
        <v>327</v>
      </c>
      <c r="E17" s="224">
        <v>45078</v>
      </c>
      <c r="F17" s="150" t="s">
        <v>328</v>
      </c>
      <c r="G17" s="151"/>
      <c r="H17" s="152"/>
      <c r="I17" s="153">
        <v>3221</v>
      </c>
      <c r="J17" s="154">
        <v>0</v>
      </c>
      <c r="K17" s="155">
        <f>SUM(I17:J17)</f>
        <v>3221</v>
      </c>
      <c r="L17" s="156">
        <f>IF(I17/15&lt;=SMG,0,J17/2)</f>
        <v>0</v>
      </c>
      <c r="M17" s="156">
        <f t="shared" si="38"/>
        <v>3221</v>
      </c>
      <c r="N17" s="156">
        <f t="shared" si="39"/>
        <v>3124.36</v>
      </c>
      <c r="O17" s="156">
        <f t="shared" si="40"/>
        <v>96.639999999999873</v>
      </c>
      <c r="P17" s="157">
        <f t="shared" si="41"/>
        <v>0.10879999999999999</v>
      </c>
      <c r="Q17" s="156">
        <f t="shared" si="42"/>
        <v>10.514431999999985</v>
      </c>
      <c r="R17" s="158">
        <f t="shared" si="43"/>
        <v>183.45</v>
      </c>
      <c r="S17" s="156">
        <f t="shared" si="44"/>
        <v>193.96443199999999</v>
      </c>
      <c r="T17" s="156">
        <f t="shared" si="45"/>
        <v>125.1</v>
      </c>
      <c r="U17" s="156">
        <f t="shared" si="46"/>
        <v>68.86</v>
      </c>
      <c r="V17" s="155">
        <f t="shared" si="47"/>
        <v>0</v>
      </c>
      <c r="W17" s="155">
        <f t="shared" si="48"/>
        <v>68.86</v>
      </c>
      <c r="X17" s="159">
        <v>0</v>
      </c>
      <c r="Y17" s="155">
        <f>SUM(W17:X17)</f>
        <v>68.86</v>
      </c>
      <c r="Z17" s="155">
        <f>K17+V17-Y17</f>
        <v>3152.14</v>
      </c>
      <c r="AA17" s="89"/>
    </row>
    <row r="18" spans="1:33" s="4" customFormat="1" ht="77.25" customHeight="1" x14ac:dyDescent="0.35">
      <c r="A18" s="43"/>
      <c r="B18" s="147" t="s">
        <v>216</v>
      </c>
      <c r="C18" s="148" t="s">
        <v>114</v>
      </c>
      <c r="D18" s="215" t="s">
        <v>235</v>
      </c>
      <c r="E18" s="220">
        <v>44470</v>
      </c>
      <c r="F18" s="149" t="s">
        <v>72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51">SUM(I18:J18)</f>
        <v>7464</v>
      </c>
      <c r="L18" s="156">
        <f t="shared" ref="L18" si="52">IF(I18/15&lt;=SMG,0,J18/2)</f>
        <v>0</v>
      </c>
      <c r="M18" s="156">
        <f t="shared" si="6"/>
        <v>7464</v>
      </c>
      <c r="N18" s="156">
        <f t="shared" si="13"/>
        <v>6382.81</v>
      </c>
      <c r="O18" s="156">
        <f t="shared" si="7"/>
        <v>1081.1899999999996</v>
      </c>
      <c r="P18" s="157">
        <f t="shared" si="14"/>
        <v>0.1792</v>
      </c>
      <c r="Q18" s="156">
        <f t="shared" si="8"/>
        <v>193.74924799999994</v>
      </c>
      <c r="R18" s="158">
        <f t="shared" si="15"/>
        <v>583.65</v>
      </c>
      <c r="S18" s="156">
        <f t="shared" si="9"/>
        <v>777.39924799999994</v>
      </c>
      <c r="T18" s="156">
        <f t="shared" si="16"/>
        <v>0</v>
      </c>
      <c r="U18" s="156">
        <f t="shared" si="10"/>
        <v>777.4</v>
      </c>
      <c r="V18" s="155">
        <f t="shared" si="11"/>
        <v>0</v>
      </c>
      <c r="W18" s="155">
        <f t="shared" si="17"/>
        <v>777.4</v>
      </c>
      <c r="X18" s="159">
        <v>0</v>
      </c>
      <c r="Y18" s="155">
        <f t="shared" si="34"/>
        <v>777.4</v>
      </c>
      <c r="Z18" s="155">
        <f t="shared" ref="Z18" si="53">K18+V18-Y18</f>
        <v>6686.6</v>
      </c>
      <c r="AA18" s="89"/>
    </row>
    <row r="19" spans="1:33" s="4" customFormat="1" ht="77.25" customHeight="1" x14ac:dyDescent="0.35">
      <c r="A19" s="43"/>
      <c r="B19" s="147" t="s">
        <v>217</v>
      </c>
      <c r="C19" s="148" t="s">
        <v>114</v>
      </c>
      <c r="D19" s="215" t="s">
        <v>234</v>
      </c>
      <c r="E19" s="220">
        <v>44473</v>
      </c>
      <c r="F19" s="150" t="s">
        <v>167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6"/>
        <v>4241</v>
      </c>
      <c r="N19" s="156">
        <f t="shared" si="13"/>
        <v>3124.36</v>
      </c>
      <c r="O19" s="156">
        <f t="shared" si="7"/>
        <v>1116.6399999999999</v>
      </c>
      <c r="P19" s="157">
        <f t="shared" si="14"/>
        <v>0.10879999999999999</v>
      </c>
      <c r="Q19" s="156">
        <f t="shared" si="8"/>
        <v>121.49043199999998</v>
      </c>
      <c r="R19" s="158">
        <f t="shared" si="15"/>
        <v>183.45</v>
      </c>
      <c r="S19" s="156">
        <f t="shared" si="9"/>
        <v>304.94043199999999</v>
      </c>
      <c r="T19" s="156">
        <f t="shared" si="16"/>
        <v>0</v>
      </c>
      <c r="U19" s="156">
        <f t="shared" si="10"/>
        <v>304.94</v>
      </c>
      <c r="V19" s="155">
        <f t="shared" si="11"/>
        <v>0</v>
      </c>
      <c r="W19" s="155">
        <f t="shared" si="17"/>
        <v>304.94</v>
      </c>
      <c r="X19" s="159">
        <v>800</v>
      </c>
      <c r="Y19" s="155">
        <f>SUM(W19:X19)</f>
        <v>1104.94</v>
      </c>
      <c r="Z19" s="155">
        <f>K19+V19-Y19</f>
        <v>3136.06</v>
      </c>
      <c r="AA19" s="89"/>
    </row>
    <row r="20" spans="1:33" s="4" customFormat="1" ht="77.25" customHeight="1" x14ac:dyDescent="0.35">
      <c r="A20" s="112"/>
      <c r="B20" s="147" t="s">
        <v>190</v>
      </c>
      <c r="C20" s="148" t="s">
        <v>114</v>
      </c>
      <c r="D20" s="215" t="s">
        <v>81</v>
      </c>
      <c r="E20" s="220">
        <v>41410</v>
      </c>
      <c r="F20" s="150" t="s">
        <v>179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6"/>
        <v>3221</v>
      </c>
      <c r="N20" s="156">
        <f t="shared" si="13"/>
        <v>3124.36</v>
      </c>
      <c r="O20" s="156">
        <f t="shared" si="7"/>
        <v>96.639999999999873</v>
      </c>
      <c r="P20" s="157">
        <f t="shared" si="14"/>
        <v>0.10879999999999999</v>
      </c>
      <c r="Q20" s="156">
        <f t="shared" si="8"/>
        <v>10.514431999999985</v>
      </c>
      <c r="R20" s="158">
        <f t="shared" si="15"/>
        <v>183.45</v>
      </c>
      <c r="S20" s="156">
        <f t="shared" si="9"/>
        <v>193.96443199999999</v>
      </c>
      <c r="T20" s="156">
        <f t="shared" si="16"/>
        <v>125.1</v>
      </c>
      <c r="U20" s="156">
        <f t="shared" si="10"/>
        <v>68.86</v>
      </c>
      <c r="V20" s="155">
        <f t="shared" si="11"/>
        <v>0</v>
      </c>
      <c r="W20" s="155">
        <f t="shared" si="17"/>
        <v>68.86</v>
      </c>
      <c r="X20" s="159">
        <v>0</v>
      </c>
      <c r="Y20" s="155">
        <f>SUM(W20:X20)</f>
        <v>68.86</v>
      </c>
      <c r="Z20" s="155">
        <f>K20+V20-Y20</f>
        <v>3152.14</v>
      </c>
      <c r="AA20" s="89"/>
      <c r="AB20" s="87"/>
    </row>
    <row r="21" spans="1:33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B21" s="87"/>
    </row>
    <row r="22" spans="1:33" s="4" customFormat="1" ht="24" customHeight="1" x14ac:dyDescent="0.3">
      <c r="A22" s="112"/>
      <c r="B22" s="298" t="s">
        <v>78</v>
      </c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</row>
    <row r="23" spans="1:33" s="4" customFormat="1" ht="24" customHeight="1" x14ac:dyDescent="0.3">
      <c r="A23" s="112"/>
      <c r="B23" s="298" t="s">
        <v>64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</row>
    <row r="24" spans="1:33" s="4" customFormat="1" ht="25.5" customHeight="1" x14ac:dyDescent="0.3">
      <c r="A24" s="112"/>
      <c r="B24" s="288" t="s">
        <v>338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</row>
    <row r="25" spans="1:33" s="4" customFormat="1" ht="25.5" customHeight="1" x14ac:dyDescent="0.3">
      <c r="A25" s="112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</row>
    <row r="26" spans="1:33" s="4" customFormat="1" ht="57.75" customHeight="1" x14ac:dyDescent="0.3">
      <c r="A26" s="112"/>
      <c r="B26" s="115" t="s">
        <v>101</v>
      </c>
      <c r="C26" s="115" t="s">
        <v>123</v>
      </c>
      <c r="D26" s="116" t="s">
        <v>69</v>
      </c>
      <c r="E26" s="135" t="s">
        <v>310</v>
      </c>
      <c r="F26" s="116" t="s">
        <v>61</v>
      </c>
      <c r="G26" s="116"/>
      <c r="H26" s="116"/>
      <c r="I26" s="117">
        <f>SUM(I27:I28)</f>
        <v>7238</v>
      </c>
      <c r="J26" s="117">
        <f>SUM(J27:J28)</f>
        <v>0</v>
      </c>
      <c r="K26" s="117">
        <f>SUM(K27:K28)</f>
        <v>7238</v>
      </c>
      <c r="L26" s="116"/>
      <c r="M26" s="116"/>
      <c r="N26" s="116"/>
      <c r="O26" s="116"/>
      <c r="P26" s="116"/>
      <c r="Q26" s="116"/>
      <c r="R26" s="118"/>
      <c r="S26" s="116"/>
      <c r="T26" s="116"/>
      <c r="U26" s="116"/>
      <c r="V26" s="117">
        <f>SUM(V27:V28)</f>
        <v>0</v>
      </c>
      <c r="W26" s="117">
        <f>SUM(W27:W28)</f>
        <v>259.74</v>
      </c>
      <c r="X26" s="117">
        <f>SUM(X27:X28)</f>
        <v>0</v>
      </c>
      <c r="Y26" s="117">
        <f>SUM(Y27:Y28)</f>
        <v>259.74</v>
      </c>
      <c r="Z26" s="117">
        <f>SUM(Z27:Z28)</f>
        <v>6978.26</v>
      </c>
      <c r="AA26" s="98"/>
      <c r="AB26" s="194"/>
    </row>
    <row r="27" spans="1:33" s="4" customFormat="1" ht="99.75" customHeight="1" x14ac:dyDescent="0.35">
      <c r="A27" s="112"/>
      <c r="B27" s="147" t="s">
        <v>218</v>
      </c>
      <c r="C27" s="148" t="s">
        <v>114</v>
      </c>
      <c r="D27" s="215" t="s">
        <v>230</v>
      </c>
      <c r="E27" s="220">
        <v>44470</v>
      </c>
      <c r="F27" s="150" t="s">
        <v>141</v>
      </c>
      <c r="G27" s="151">
        <v>15</v>
      </c>
      <c r="H27" s="152"/>
      <c r="I27" s="153">
        <v>3619</v>
      </c>
      <c r="J27" s="154">
        <v>0</v>
      </c>
      <c r="K27" s="155">
        <f t="shared" ref="K27" si="54">SUM(I27:J27)</f>
        <v>3619</v>
      </c>
      <c r="L27" s="156">
        <f t="shared" ref="L27" si="55">IF(I27/15&lt;=SMG,0,J27/2)</f>
        <v>0</v>
      </c>
      <c r="M27" s="156">
        <f t="shared" ref="M27:M28" si="56">I27+L27</f>
        <v>3619</v>
      </c>
      <c r="N27" s="156">
        <f t="shared" ref="N27:N28" si="57">VLOOKUP(M27,Tarifa1,1)</f>
        <v>3124.36</v>
      </c>
      <c r="O27" s="156">
        <f t="shared" ref="O27:O28" si="58">M27-N27</f>
        <v>494.63999999999987</v>
      </c>
      <c r="P27" s="157">
        <f t="shared" ref="P27:P28" si="59">VLOOKUP(M27,Tarifa1,3)</f>
        <v>0.10879999999999999</v>
      </c>
      <c r="Q27" s="156">
        <f t="shared" ref="Q27:Q28" si="60">O27*P27</f>
        <v>53.816831999999984</v>
      </c>
      <c r="R27" s="158">
        <f t="shared" ref="R27:R28" si="61">VLOOKUP(M27,Tarifa1,2)</f>
        <v>183.45</v>
      </c>
      <c r="S27" s="156">
        <f t="shared" ref="S27:S28" si="62">Q27+R27</f>
        <v>237.26683199999997</v>
      </c>
      <c r="T27" s="156">
        <f t="shared" ref="T27:T28" si="63">VLOOKUP(M27,Credito1,2)</f>
        <v>107.4</v>
      </c>
      <c r="U27" s="156">
        <f t="shared" ref="U27:U28" si="64">ROUND(S27-T27,2)</f>
        <v>129.87</v>
      </c>
      <c r="V27" s="155">
        <f t="shared" ref="V27:V28" si="65">-IF(U27&gt;0,0,U27)</f>
        <v>0</v>
      </c>
      <c r="W27" s="155">
        <f t="shared" ref="W27:W28" si="66">IF(I27/15&lt;=SMG,0,IF(U27&lt;0,0,U27))</f>
        <v>129.87</v>
      </c>
      <c r="X27" s="159">
        <v>0</v>
      </c>
      <c r="Y27" s="155">
        <f t="shared" ref="Y27" si="67">SUM(W27:X27)</f>
        <v>129.87</v>
      </c>
      <c r="Z27" s="155">
        <f t="shared" ref="Z27" si="68">K27+V27-Y27</f>
        <v>3489.13</v>
      </c>
      <c r="AA27" s="89"/>
      <c r="AB27" s="87"/>
    </row>
    <row r="28" spans="1:33" s="4" customFormat="1" ht="99.75" customHeight="1" x14ac:dyDescent="0.35">
      <c r="A28" s="112"/>
      <c r="B28" s="147" t="s">
        <v>251</v>
      </c>
      <c r="C28" s="148" t="s">
        <v>114</v>
      </c>
      <c r="D28" s="215" t="s">
        <v>232</v>
      </c>
      <c r="E28" s="220">
        <v>44473</v>
      </c>
      <c r="F28" s="150" t="s">
        <v>141</v>
      </c>
      <c r="G28" s="151">
        <v>15</v>
      </c>
      <c r="H28" s="152"/>
      <c r="I28" s="153">
        <v>3619</v>
      </c>
      <c r="J28" s="154">
        <v>0</v>
      </c>
      <c r="K28" s="155">
        <f>SUM(I28:J28)</f>
        <v>3619</v>
      </c>
      <c r="L28" s="156">
        <f>IF(I28/15&lt;=SMG,0,J28/2)</f>
        <v>0</v>
      </c>
      <c r="M28" s="156">
        <f t="shared" si="56"/>
        <v>3619</v>
      </c>
      <c r="N28" s="156">
        <f t="shared" si="57"/>
        <v>3124.36</v>
      </c>
      <c r="O28" s="156">
        <f t="shared" si="58"/>
        <v>494.63999999999987</v>
      </c>
      <c r="P28" s="157">
        <f t="shared" si="59"/>
        <v>0.10879999999999999</v>
      </c>
      <c r="Q28" s="156">
        <f t="shared" si="60"/>
        <v>53.816831999999984</v>
      </c>
      <c r="R28" s="158">
        <f t="shared" si="61"/>
        <v>183.45</v>
      </c>
      <c r="S28" s="156">
        <f t="shared" si="62"/>
        <v>237.26683199999997</v>
      </c>
      <c r="T28" s="156">
        <f t="shared" si="63"/>
        <v>107.4</v>
      </c>
      <c r="U28" s="156">
        <f t="shared" si="64"/>
        <v>129.87</v>
      </c>
      <c r="V28" s="155">
        <f t="shared" si="65"/>
        <v>0</v>
      </c>
      <c r="W28" s="155">
        <f t="shared" si="66"/>
        <v>129.87</v>
      </c>
      <c r="X28" s="159">
        <v>0</v>
      </c>
      <c r="Y28" s="155">
        <f>SUM(W28:X28)</f>
        <v>129.87</v>
      </c>
      <c r="Z28" s="155">
        <f>K28+V28-Y28</f>
        <v>3489.13</v>
      </c>
      <c r="AA28" s="89"/>
      <c r="AB28" s="87"/>
    </row>
    <row r="29" spans="1:33" s="4" customFormat="1" ht="57.75" customHeight="1" x14ac:dyDescent="0.3">
      <c r="A29" s="108"/>
      <c r="B29" s="115" t="s">
        <v>101</v>
      </c>
      <c r="C29" s="115" t="s">
        <v>123</v>
      </c>
      <c r="D29" s="116" t="s">
        <v>122</v>
      </c>
      <c r="E29" s="135" t="s">
        <v>310</v>
      </c>
      <c r="F29" s="116" t="s">
        <v>61</v>
      </c>
      <c r="G29" s="116"/>
      <c r="H29" s="116"/>
      <c r="I29" s="117">
        <f>SUM(I30:I32)</f>
        <v>15246.26</v>
      </c>
      <c r="J29" s="117">
        <f>SUM(J30:J32)</f>
        <v>829.22</v>
      </c>
      <c r="K29" s="117">
        <f>SUM(K30:K32)</f>
        <v>16075.480000000001</v>
      </c>
      <c r="L29" s="116"/>
      <c r="M29" s="116"/>
      <c r="N29" s="116"/>
      <c r="O29" s="116"/>
      <c r="P29" s="116"/>
      <c r="Q29" s="116"/>
      <c r="R29" s="118"/>
      <c r="S29" s="116"/>
      <c r="T29" s="116"/>
      <c r="U29" s="116"/>
      <c r="V29" s="117">
        <f>SUM(V30:V32)</f>
        <v>0</v>
      </c>
      <c r="W29" s="117">
        <f>SUM(W30:W32)</f>
        <v>1250</v>
      </c>
      <c r="X29" s="117">
        <f>SUM(X30:X32)</f>
        <v>0</v>
      </c>
      <c r="Y29" s="117">
        <f>SUM(Y30:Y32)</f>
        <v>1250</v>
      </c>
      <c r="Z29" s="117">
        <f>SUM(Z30:Z32)</f>
        <v>14825.480000000001</v>
      </c>
      <c r="AA29" s="98"/>
    </row>
    <row r="30" spans="1:33" s="4" customFormat="1" ht="99.75" customHeight="1" x14ac:dyDescent="0.35">
      <c r="A30" s="109" t="s">
        <v>84</v>
      </c>
      <c r="B30" s="147" t="s">
        <v>156</v>
      </c>
      <c r="C30" s="148" t="s">
        <v>114</v>
      </c>
      <c r="D30" s="215" t="s">
        <v>143</v>
      </c>
      <c r="E30" s="220">
        <v>43374</v>
      </c>
      <c r="F30" s="150" t="s">
        <v>142</v>
      </c>
      <c r="G30" s="151">
        <v>15</v>
      </c>
      <c r="H30" s="152">
        <f>I30/G30</f>
        <v>342.73333333333335</v>
      </c>
      <c r="I30" s="153">
        <v>5141</v>
      </c>
      <c r="J30" s="154">
        <v>685.46</v>
      </c>
      <c r="K30" s="155">
        <f>SUM(I30:J30)</f>
        <v>5826.46</v>
      </c>
      <c r="L30" s="156">
        <f>IF(I30/15&lt;=SMG,0,J30/2)</f>
        <v>342.73</v>
      </c>
      <c r="M30" s="156">
        <f t="shared" ref="M30" si="69">I30+L30</f>
        <v>5483.73</v>
      </c>
      <c r="N30" s="156">
        <f>VLOOKUP(M30,Tarifa1,1)</f>
        <v>3124.36</v>
      </c>
      <c r="O30" s="156">
        <f t="shared" ref="O30" si="70">M30-N30</f>
        <v>2359.3699999999994</v>
      </c>
      <c r="P30" s="157">
        <f>VLOOKUP(M30,Tarifa1,3)</f>
        <v>0.10879999999999999</v>
      </c>
      <c r="Q30" s="156">
        <f t="shared" ref="Q30" si="71">O30*P30</f>
        <v>256.69945599999994</v>
      </c>
      <c r="R30" s="158">
        <f>VLOOKUP(M30,Tarifa1,2)</f>
        <v>183.45</v>
      </c>
      <c r="S30" s="156">
        <f t="shared" ref="S30" si="72">Q30+R30</f>
        <v>440.14945599999993</v>
      </c>
      <c r="T30" s="156">
        <f>VLOOKUP(M30,Credito1,2)</f>
        <v>0</v>
      </c>
      <c r="U30" s="156">
        <f t="shared" ref="U30" si="73">ROUND(S30-T30,2)</f>
        <v>440.15</v>
      </c>
      <c r="V30" s="155">
        <f t="shared" ref="V30" si="74">-IF(U30&gt;0,0,U30)</f>
        <v>0</v>
      </c>
      <c r="W30" s="155">
        <f>IF(I30/15&lt;=SMG,0,IF(U30&lt;0,0,U30))</f>
        <v>440.15</v>
      </c>
      <c r="X30" s="159">
        <v>0</v>
      </c>
      <c r="Y30" s="155">
        <f>SUM(W30:X30)</f>
        <v>440.15</v>
      </c>
      <c r="Z30" s="155">
        <f>K30+V30-Y30</f>
        <v>5386.31</v>
      </c>
      <c r="AA30" s="89"/>
      <c r="AG30" s="94"/>
    </row>
    <row r="31" spans="1:33" s="4" customFormat="1" ht="99.75" customHeight="1" x14ac:dyDescent="0.35">
      <c r="A31" s="109"/>
      <c r="B31" s="147" t="s">
        <v>175</v>
      </c>
      <c r="C31" s="148" t="s">
        <v>114</v>
      </c>
      <c r="D31" s="215" t="s">
        <v>165</v>
      </c>
      <c r="E31" s="220">
        <v>43512</v>
      </c>
      <c r="F31" s="150" t="s">
        <v>166</v>
      </c>
      <c r="G31" s="151">
        <v>15</v>
      </c>
      <c r="H31" s="152"/>
      <c r="I31" s="153">
        <v>5792.51</v>
      </c>
      <c r="J31" s="154">
        <v>0</v>
      </c>
      <c r="K31" s="153">
        <f>I31</f>
        <v>5792.51</v>
      </c>
      <c r="L31" s="156">
        <f t="shared" ref="L31:L32" si="75">IF(I31/15&lt;=SMG,0,J31/2)</f>
        <v>0</v>
      </c>
      <c r="M31" s="156">
        <f t="shared" ref="M31:M32" si="76">I31+L31</f>
        <v>5792.51</v>
      </c>
      <c r="N31" s="156">
        <f t="shared" ref="N31:N32" si="77">VLOOKUP(M31,Tarifa1,1)</f>
        <v>5490.76</v>
      </c>
      <c r="O31" s="156">
        <f t="shared" ref="O31:O32" si="78">M31-N31</f>
        <v>301.75</v>
      </c>
      <c r="P31" s="157">
        <f t="shared" ref="P31:P32" si="79">VLOOKUP(M31,Tarifa1,3)</f>
        <v>0.16</v>
      </c>
      <c r="Q31" s="156">
        <f t="shared" ref="Q31:Q32" si="80">O31*P31</f>
        <v>48.28</v>
      </c>
      <c r="R31" s="158">
        <f t="shared" ref="R31:R32" si="81">VLOOKUP(M31,Tarifa1,2)</f>
        <v>441</v>
      </c>
      <c r="S31" s="156">
        <f t="shared" ref="S31:S32" si="82">Q31+R31</f>
        <v>489.28</v>
      </c>
      <c r="T31" s="156">
        <f t="shared" ref="T31:T32" si="83">VLOOKUP(M31,Credito1,2)</f>
        <v>0</v>
      </c>
      <c r="U31" s="156">
        <f t="shared" ref="U31:U32" si="84">ROUND(S31-T31,2)</f>
        <v>489.28</v>
      </c>
      <c r="V31" s="155">
        <f t="shared" ref="V31:V32" si="85">-IF(U31&gt;0,0,U31)</f>
        <v>0</v>
      </c>
      <c r="W31" s="155">
        <f t="shared" ref="W31:W32" si="86">IF(I31/15&lt;=SMG,0,IF(U31&lt;0,0,U31))</f>
        <v>489.28</v>
      </c>
      <c r="X31" s="159">
        <v>0</v>
      </c>
      <c r="Y31" s="155">
        <f>SUM(W31:X31)</f>
        <v>489.28</v>
      </c>
      <c r="Z31" s="155">
        <f>K31+V31-Y31+J31</f>
        <v>5303.2300000000005</v>
      </c>
      <c r="AA31" s="89"/>
      <c r="AG31" s="94"/>
    </row>
    <row r="32" spans="1:33" s="4" customFormat="1" ht="99.75" customHeight="1" x14ac:dyDescent="0.35">
      <c r="A32" s="109"/>
      <c r="B32" s="147" t="s">
        <v>320</v>
      </c>
      <c r="C32" s="148" t="s">
        <v>114</v>
      </c>
      <c r="D32" s="215" t="s">
        <v>321</v>
      </c>
      <c r="E32" s="220">
        <v>45078</v>
      </c>
      <c r="F32" s="150" t="s">
        <v>166</v>
      </c>
      <c r="G32" s="151">
        <v>15</v>
      </c>
      <c r="H32" s="152"/>
      <c r="I32" s="153">
        <v>4312.75</v>
      </c>
      <c r="J32" s="154">
        <v>143.76</v>
      </c>
      <c r="K32" s="155">
        <f>SUM(I32:J32)</f>
        <v>4456.51</v>
      </c>
      <c r="L32" s="156">
        <f t="shared" si="75"/>
        <v>71.88</v>
      </c>
      <c r="M32" s="156">
        <f t="shared" si="76"/>
        <v>4384.63</v>
      </c>
      <c r="N32" s="156">
        <f t="shared" si="77"/>
        <v>3124.36</v>
      </c>
      <c r="O32" s="156">
        <f t="shared" si="78"/>
        <v>1260.27</v>
      </c>
      <c r="P32" s="157">
        <f t="shared" si="79"/>
        <v>0.10879999999999999</v>
      </c>
      <c r="Q32" s="156">
        <f t="shared" si="80"/>
        <v>137.11737599999998</v>
      </c>
      <c r="R32" s="158">
        <f t="shared" si="81"/>
        <v>183.45</v>
      </c>
      <c r="S32" s="156">
        <f t="shared" si="82"/>
        <v>320.56737599999997</v>
      </c>
      <c r="T32" s="156">
        <f t="shared" si="83"/>
        <v>0</v>
      </c>
      <c r="U32" s="156">
        <f t="shared" si="84"/>
        <v>320.57</v>
      </c>
      <c r="V32" s="155">
        <f t="shared" si="85"/>
        <v>0</v>
      </c>
      <c r="W32" s="155">
        <f t="shared" si="86"/>
        <v>320.57</v>
      </c>
      <c r="X32" s="159">
        <v>0</v>
      </c>
      <c r="Y32" s="155">
        <f>SUM(W32:X32)</f>
        <v>320.57</v>
      </c>
      <c r="Z32" s="155">
        <f>K32+V32-Y32</f>
        <v>4135.9400000000005</v>
      </c>
      <c r="AA32" s="89"/>
      <c r="AG32" s="94"/>
    </row>
    <row r="33" spans="1:26" s="4" customFormat="1" ht="27.75" customHeight="1" x14ac:dyDescent="0.3">
      <c r="A33" s="173"/>
      <c r="B33" s="173"/>
      <c r="C33" s="173"/>
      <c r="D33" s="173"/>
      <c r="E33" s="173"/>
      <c r="F33" s="173"/>
      <c r="G33" s="173"/>
      <c r="H33" s="173"/>
      <c r="I33" s="179"/>
      <c r="J33" s="179"/>
      <c r="K33" s="179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</row>
    <row r="34" spans="1:26" s="4" customFormat="1" ht="75" customHeight="1" thickBot="1" x14ac:dyDescent="0.35">
      <c r="A34" s="284" t="s">
        <v>44</v>
      </c>
      <c r="B34" s="285"/>
      <c r="C34" s="285"/>
      <c r="D34" s="285"/>
      <c r="E34" s="285"/>
      <c r="F34" s="285"/>
      <c r="G34" s="285"/>
      <c r="H34" s="286"/>
      <c r="I34" s="160">
        <f>I8+I29+I26</f>
        <v>71554.880000000005</v>
      </c>
      <c r="J34" s="160">
        <f>J8+J29+J26</f>
        <v>1127.02</v>
      </c>
      <c r="K34" s="160">
        <f>K8+K29+K26</f>
        <v>72681.899999999994</v>
      </c>
      <c r="L34" s="161">
        <f t="shared" ref="L34:U34" si="87">SUM(L9:L33)</f>
        <v>563.51</v>
      </c>
      <c r="M34" s="161">
        <f t="shared" si="87"/>
        <v>72118.39</v>
      </c>
      <c r="N34" s="161">
        <f t="shared" si="87"/>
        <v>55982.720000000008</v>
      </c>
      <c r="O34" s="161">
        <f t="shared" si="87"/>
        <v>16135.669999999995</v>
      </c>
      <c r="P34" s="161">
        <f t="shared" si="87"/>
        <v>1.9263999999999999</v>
      </c>
      <c r="Q34" s="161">
        <f t="shared" si="87"/>
        <v>1757.3071999999993</v>
      </c>
      <c r="R34" s="161">
        <f t="shared" si="87"/>
        <v>3599.9999999999991</v>
      </c>
      <c r="S34" s="161">
        <f t="shared" si="87"/>
        <v>5357.3071999999984</v>
      </c>
      <c r="T34" s="161">
        <f t="shared" si="87"/>
        <v>875.55</v>
      </c>
      <c r="U34" s="161">
        <f t="shared" si="87"/>
        <v>4481.7699999999995</v>
      </c>
      <c r="V34" s="160">
        <f>V8+V29+V26</f>
        <v>24.99</v>
      </c>
      <c r="W34" s="160">
        <f>W8+W29+W26</f>
        <v>4506.76</v>
      </c>
      <c r="X34" s="160">
        <f>X8+X29+X26</f>
        <v>800</v>
      </c>
      <c r="Y34" s="160">
        <f>Y8+Y29+Y26</f>
        <v>5306.76</v>
      </c>
      <c r="Z34" s="160">
        <f>Z8+Z29+Z26</f>
        <v>67400.12999999999</v>
      </c>
    </row>
    <row r="35" spans="1:26" s="4" customFormat="1" ht="18" customHeight="1" thickTop="1" x14ac:dyDescent="0.3">
      <c r="A35" s="144"/>
      <c r="B35" s="144"/>
      <c r="C35" s="144"/>
      <c r="D35" s="144"/>
      <c r="E35" s="144"/>
      <c r="F35" s="144"/>
      <c r="G35" s="144"/>
      <c r="H35" s="144"/>
      <c r="I35" s="145"/>
      <c r="J35" s="145"/>
      <c r="K35" s="145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5"/>
      <c r="W35" s="145"/>
      <c r="X35" s="145"/>
      <c r="Y35" s="145"/>
      <c r="Z35" s="145"/>
    </row>
    <row r="36" spans="1:26" s="4" customFormat="1" ht="18" customHeight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  <c r="Z36" s="145"/>
    </row>
    <row r="37" spans="1:26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  <c r="Z37" s="145"/>
    </row>
    <row r="38" spans="1:26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  <c r="Z38" s="145"/>
    </row>
  </sheetData>
  <mergeCells count="10">
    <mergeCell ref="A34:H34"/>
    <mergeCell ref="A1:AA1"/>
    <mergeCell ref="A2:AA2"/>
    <mergeCell ref="A3:AA3"/>
    <mergeCell ref="I5:K5"/>
    <mergeCell ref="N5:S5"/>
    <mergeCell ref="W5:Y5"/>
    <mergeCell ref="B22:AB22"/>
    <mergeCell ref="B23:AB23"/>
    <mergeCell ref="B24:AB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opLeftCell="B34" zoomScale="55" zoomScaleNormal="55" workbookViewId="0">
      <selection activeCell="B44" sqref="A44:XFD54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6.88671875" customWidth="1"/>
    <col min="25" max="25" width="16.109375" customWidth="1"/>
    <col min="26" max="26" width="17.44140625" customWidth="1"/>
    <col min="27" max="27" width="65.33203125" customWidth="1"/>
    <col min="28" max="28" width="1.33203125" customWidth="1"/>
  </cols>
  <sheetData>
    <row r="1" spans="1:33" ht="19.8" x14ac:dyDescent="0.3">
      <c r="A1" s="287" t="s">
        <v>78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</row>
    <row r="2" spans="1:33" ht="19.8" x14ac:dyDescent="0.3">
      <c r="A2" s="287" t="s">
        <v>64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</row>
    <row r="3" spans="1:33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33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33" s="51" customFormat="1" ht="21" customHeight="1" x14ac:dyDescent="0.3">
      <c r="A5" s="47"/>
      <c r="B5" s="47"/>
      <c r="C5" s="321" t="s">
        <v>123</v>
      </c>
      <c r="D5" s="47"/>
      <c r="E5" s="47"/>
      <c r="F5" s="47"/>
      <c r="G5" s="48" t="s">
        <v>22</v>
      </c>
      <c r="H5" s="48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29</v>
      </c>
      <c r="U5" s="121" t="s">
        <v>9</v>
      </c>
      <c r="V5" s="120" t="s">
        <v>52</v>
      </c>
      <c r="W5" s="295" t="s">
        <v>2</v>
      </c>
      <c r="X5" s="296"/>
      <c r="Y5" s="297"/>
      <c r="Z5" s="120" t="s">
        <v>0</v>
      </c>
      <c r="AA5" s="47"/>
    </row>
    <row r="6" spans="1:33" s="51" customFormat="1" ht="31.2" x14ac:dyDescent="0.3">
      <c r="A6" s="52" t="s">
        <v>20</v>
      </c>
      <c r="B6" s="123" t="s">
        <v>101</v>
      </c>
      <c r="C6" s="322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56</v>
      </c>
      <c r="Y6" s="120" t="s">
        <v>6</v>
      </c>
      <c r="Z6" s="124" t="s">
        <v>3</v>
      </c>
      <c r="AA6" s="124" t="s">
        <v>57</v>
      </c>
    </row>
    <row r="7" spans="1:33" s="51" customFormat="1" ht="15.6" x14ac:dyDescent="0.3">
      <c r="A7" s="52"/>
      <c r="B7" s="52"/>
      <c r="C7" s="323"/>
      <c r="D7" s="52"/>
      <c r="E7" s="52"/>
      <c r="F7" s="52"/>
      <c r="G7" s="52"/>
      <c r="H7" s="52"/>
      <c r="I7" s="124" t="s">
        <v>46</v>
      </c>
      <c r="J7" s="124" t="s">
        <v>59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5" t="s">
        <v>14</v>
      </c>
      <c r="S7" s="121" t="s">
        <v>38</v>
      </c>
      <c r="T7" s="125" t="s">
        <v>18</v>
      </c>
      <c r="U7" s="129" t="s">
        <v>211</v>
      </c>
      <c r="V7" s="124" t="s">
        <v>51</v>
      </c>
      <c r="W7" s="124"/>
      <c r="X7" s="124"/>
      <c r="Y7" s="124" t="s">
        <v>43</v>
      </c>
      <c r="Z7" s="124" t="s">
        <v>4</v>
      </c>
      <c r="AA7" s="56"/>
    </row>
    <row r="8" spans="1:33" s="51" customFormat="1" ht="84.9" customHeight="1" x14ac:dyDescent="0.3">
      <c r="A8" s="37"/>
      <c r="B8" s="193" t="s">
        <v>101</v>
      </c>
      <c r="C8" s="193" t="s">
        <v>123</v>
      </c>
      <c r="D8" s="193" t="s">
        <v>146</v>
      </c>
      <c r="E8" s="193" t="s">
        <v>310</v>
      </c>
      <c r="F8" s="247" t="s">
        <v>61</v>
      </c>
      <c r="G8" s="247"/>
      <c r="H8" s="247"/>
      <c r="I8" s="248">
        <f>SUM(I9:I9)</f>
        <v>7013</v>
      </c>
      <c r="J8" s="248">
        <f>SUM(J9:J9)</f>
        <v>0</v>
      </c>
      <c r="K8" s="248">
        <f>SUM(K9:K9)</f>
        <v>7013</v>
      </c>
      <c r="L8" s="247"/>
      <c r="M8" s="247"/>
      <c r="N8" s="247"/>
      <c r="O8" s="247"/>
      <c r="P8" s="247"/>
      <c r="Q8" s="247"/>
      <c r="R8" s="250"/>
      <c r="S8" s="247"/>
      <c r="T8" s="247"/>
      <c r="U8" s="247"/>
      <c r="V8" s="248">
        <f>SUM(V9:V9)</f>
        <v>0</v>
      </c>
      <c r="W8" s="248">
        <f>SUM(W9:W9)</f>
        <v>696.58</v>
      </c>
      <c r="X8" s="248">
        <f>SUM(X9:X9)</f>
        <v>0</v>
      </c>
      <c r="Y8" s="248">
        <f>SUM(Y9:Y9)</f>
        <v>696.58</v>
      </c>
      <c r="Z8" s="248">
        <f>SUM(Z9:Z9)</f>
        <v>6316.42</v>
      </c>
      <c r="AA8" s="99"/>
    </row>
    <row r="9" spans="1:33" s="51" customFormat="1" ht="150" customHeight="1" x14ac:dyDescent="0.35">
      <c r="A9" s="37"/>
      <c r="B9" s="180">
        <v>275</v>
      </c>
      <c r="C9" s="181" t="s">
        <v>114</v>
      </c>
      <c r="D9" s="262" t="s">
        <v>245</v>
      </c>
      <c r="E9" s="225">
        <v>44476</v>
      </c>
      <c r="F9" s="182" t="s">
        <v>214</v>
      </c>
      <c r="G9" s="167">
        <v>15</v>
      </c>
      <c r="H9" s="167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9">
        <v>0</v>
      </c>
      <c r="Y9" s="155">
        <f>SUM(W9:X9)</f>
        <v>696.58</v>
      </c>
      <c r="Z9" s="155">
        <f>K9+V9-Y9</f>
        <v>6316.42</v>
      </c>
      <c r="AA9" s="142"/>
    </row>
    <row r="10" spans="1:33" s="51" customFormat="1" ht="150" customHeight="1" x14ac:dyDescent="0.3">
      <c r="A10" s="37"/>
      <c r="B10" s="147" t="s">
        <v>154</v>
      </c>
      <c r="C10" s="148" t="s">
        <v>114</v>
      </c>
      <c r="D10" s="263" t="s">
        <v>139</v>
      </c>
      <c r="E10" s="220">
        <v>43374</v>
      </c>
      <c r="F10" s="150" t="s">
        <v>272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9">
        <v>0</v>
      </c>
      <c r="Y10" s="155">
        <f>SUM(W10:X10)</f>
        <v>367.28</v>
      </c>
      <c r="Z10" s="155">
        <f>K10+V10-Y10</f>
        <v>4446.72</v>
      </c>
      <c r="AA10" s="142"/>
    </row>
    <row r="11" spans="1:33" s="51" customFormat="1" ht="84.9" customHeight="1" x14ac:dyDescent="0.3">
      <c r="A11" s="45"/>
      <c r="B11" s="193" t="s">
        <v>101</v>
      </c>
      <c r="C11" s="193" t="s">
        <v>123</v>
      </c>
      <c r="D11" s="247" t="s">
        <v>126</v>
      </c>
      <c r="E11" s="193" t="s">
        <v>310</v>
      </c>
      <c r="F11" s="247" t="s">
        <v>61</v>
      </c>
      <c r="G11" s="247"/>
      <c r="H11" s="247"/>
      <c r="I11" s="248">
        <f>SUM(I12:I12)</f>
        <v>6873</v>
      </c>
      <c r="J11" s="248">
        <f>SUM(J12:J12)</f>
        <v>0</v>
      </c>
      <c r="K11" s="248">
        <f>SUM(K12:K12)</f>
        <v>6873</v>
      </c>
      <c r="L11" s="247"/>
      <c r="M11" s="247"/>
      <c r="N11" s="247"/>
      <c r="O11" s="247"/>
      <c r="P11" s="247"/>
      <c r="Q11" s="247"/>
      <c r="R11" s="250"/>
      <c r="S11" s="247"/>
      <c r="T11" s="247"/>
      <c r="U11" s="247"/>
      <c r="V11" s="248">
        <f>SUM(V12:V12)</f>
        <v>0</v>
      </c>
      <c r="W11" s="248">
        <f>SUM(W12:W12)</f>
        <v>671.49</v>
      </c>
      <c r="X11" s="248">
        <f>SUM(X12:X12)</f>
        <v>0</v>
      </c>
      <c r="Y11" s="248">
        <f>SUM(Y12:Y12)</f>
        <v>671.49</v>
      </c>
      <c r="Z11" s="248">
        <f>SUM(Z12:Z12)</f>
        <v>6201.51</v>
      </c>
      <c r="AA11" s="99"/>
      <c r="AG11" s="59"/>
    </row>
    <row r="12" spans="1:33" s="51" customFormat="1" ht="149.25" customHeight="1" x14ac:dyDescent="0.3">
      <c r="A12" s="45" t="s">
        <v>87</v>
      </c>
      <c r="B12" s="148" t="s">
        <v>113</v>
      </c>
      <c r="C12" s="148" t="s">
        <v>114</v>
      </c>
      <c r="D12" s="263" t="s">
        <v>93</v>
      </c>
      <c r="E12" s="223">
        <v>42278</v>
      </c>
      <c r="F12" s="150" t="s">
        <v>94</v>
      </c>
      <c r="G12" s="151">
        <v>15</v>
      </c>
      <c r="H12" s="152">
        <f t="shared" ref="H12:H32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9">
        <v>0</v>
      </c>
      <c r="Y12" s="155">
        <f>SUM(W12:X12)</f>
        <v>671.49</v>
      </c>
      <c r="Z12" s="155">
        <f>K12+V12-Y12</f>
        <v>6201.51</v>
      </c>
      <c r="AA12" s="92"/>
      <c r="AG12" s="64"/>
    </row>
    <row r="13" spans="1:33" s="51" customFormat="1" ht="51.75" customHeight="1" x14ac:dyDescent="0.3">
      <c r="A13" s="45"/>
      <c r="B13" s="193" t="s">
        <v>101</v>
      </c>
      <c r="C13" s="193" t="s">
        <v>123</v>
      </c>
      <c r="D13" s="193" t="s">
        <v>127</v>
      </c>
      <c r="E13" s="193" t="s">
        <v>310</v>
      </c>
      <c r="F13" s="247" t="s">
        <v>61</v>
      </c>
      <c r="G13" s="247"/>
      <c r="H13" s="247"/>
      <c r="I13" s="248">
        <f>SUM(I14:I16)</f>
        <v>17332.93</v>
      </c>
      <c r="J13" s="248">
        <f>SUM(J14:J16)</f>
        <v>0</v>
      </c>
      <c r="K13" s="248">
        <f>SUM(K14:K16)</f>
        <v>17332.93</v>
      </c>
      <c r="L13" s="247"/>
      <c r="M13" s="247"/>
      <c r="N13" s="247"/>
      <c r="O13" s="247"/>
      <c r="P13" s="247"/>
      <c r="Q13" s="247"/>
      <c r="R13" s="250"/>
      <c r="S13" s="247"/>
      <c r="T13" s="247"/>
      <c r="U13" s="247"/>
      <c r="V13" s="248">
        <f>SUM(V14:V16)</f>
        <v>0</v>
      </c>
      <c r="W13" s="248">
        <f>SUM(W14:W16)</f>
        <v>1538.17</v>
      </c>
      <c r="X13" s="248">
        <f>SUM(X14:X16)</f>
        <v>2500</v>
      </c>
      <c r="Y13" s="248">
        <f>SUM(Y14:Y16)</f>
        <v>4038.17</v>
      </c>
      <c r="Z13" s="248">
        <f>SUM(Z14:Z16)</f>
        <v>13294.76</v>
      </c>
      <c r="AA13" s="99"/>
      <c r="AG13" s="64"/>
    </row>
    <row r="14" spans="1:33" s="51" customFormat="1" ht="149.25" customHeight="1" x14ac:dyDescent="0.35">
      <c r="A14" s="45" t="s">
        <v>88</v>
      </c>
      <c r="B14" s="183">
        <v>185</v>
      </c>
      <c r="C14" s="148" t="s">
        <v>114</v>
      </c>
      <c r="D14" s="264" t="s">
        <v>151</v>
      </c>
      <c r="E14" s="222">
        <v>43374</v>
      </c>
      <c r="F14" s="150" t="s">
        <v>95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9">
        <v>1000</v>
      </c>
      <c r="Y14" s="155">
        <f t="shared" ref="Y14" si="2">SUM(W14:X14)</f>
        <v>1777.4</v>
      </c>
      <c r="Z14" s="155">
        <f t="shared" ref="Z14" si="3">K14+V14-Y14</f>
        <v>5686.6</v>
      </c>
      <c r="AA14" s="92"/>
      <c r="AG14" s="64"/>
    </row>
    <row r="15" spans="1:33" s="51" customFormat="1" ht="149.25" customHeight="1" x14ac:dyDescent="0.35">
      <c r="A15" s="45"/>
      <c r="B15" s="147" t="s">
        <v>295</v>
      </c>
      <c r="C15" s="148" t="s">
        <v>114</v>
      </c>
      <c r="D15" s="217" t="s">
        <v>294</v>
      </c>
      <c r="E15" s="224">
        <v>44958</v>
      </c>
      <c r="F15" s="150" t="s">
        <v>144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4">I15+L15</f>
        <v>5379</v>
      </c>
      <c r="N15" s="156">
        <f>VLOOKUP(M15,Tarifa1,1)</f>
        <v>3124.36</v>
      </c>
      <c r="O15" s="156">
        <f t="shared" ref="O15:O16" si="5">M15-N15</f>
        <v>2254.64</v>
      </c>
      <c r="P15" s="157">
        <f>VLOOKUP(M15,Tarifa1,3)</f>
        <v>0.10879999999999999</v>
      </c>
      <c r="Q15" s="156">
        <f t="shared" ref="Q15:Q16" si="6">O15*P15</f>
        <v>245.30483199999998</v>
      </c>
      <c r="R15" s="158">
        <f>VLOOKUP(M15,Tarifa1,2)</f>
        <v>183.45</v>
      </c>
      <c r="S15" s="156">
        <f t="shared" ref="S15:S16" si="7">Q15+R15</f>
        <v>428.75483199999996</v>
      </c>
      <c r="T15" s="156">
        <f>VLOOKUP(M15,Credito1,2)</f>
        <v>0</v>
      </c>
      <c r="U15" s="156">
        <f t="shared" ref="U15:U16" si="8">ROUND(S15-T15,2)</f>
        <v>428.75</v>
      </c>
      <c r="V15" s="155">
        <f t="shared" ref="V15:V16" si="9">-IF(U15&gt;0,0,U15)</f>
        <v>0</v>
      </c>
      <c r="W15" s="155">
        <f>IF(I15/15&lt;=SMG,0,IF(U15&lt;0,0,U15))</f>
        <v>428.75</v>
      </c>
      <c r="X15" s="159">
        <v>0</v>
      </c>
      <c r="Y15" s="155">
        <f>SUM(W15:X15)</f>
        <v>428.75</v>
      </c>
      <c r="Z15" s="155">
        <f>K15+V15-Y15</f>
        <v>4950.25</v>
      </c>
      <c r="AA15" s="92"/>
      <c r="AG15" s="64"/>
    </row>
    <row r="16" spans="1:33" s="51" customFormat="1" ht="149.25" customHeight="1" x14ac:dyDescent="0.35">
      <c r="A16" s="45"/>
      <c r="B16" s="147" t="s">
        <v>182</v>
      </c>
      <c r="C16" s="148" t="s">
        <v>114</v>
      </c>
      <c r="D16" s="265" t="s">
        <v>180</v>
      </c>
      <c r="E16" s="224">
        <v>43617</v>
      </c>
      <c r="F16" s="150" t="s">
        <v>181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4"/>
        <v>4489.93</v>
      </c>
      <c r="N16" s="156">
        <f>VLOOKUP(M16,Tarifa1,1)</f>
        <v>3124.36</v>
      </c>
      <c r="O16" s="156">
        <f t="shared" si="5"/>
        <v>1365.5700000000002</v>
      </c>
      <c r="P16" s="157">
        <f>VLOOKUP(M16,Tarifa1,3)</f>
        <v>0.10879999999999999</v>
      </c>
      <c r="Q16" s="156">
        <f t="shared" si="6"/>
        <v>148.574016</v>
      </c>
      <c r="R16" s="158">
        <f>VLOOKUP(M16,Tarifa1,2)</f>
        <v>183.45</v>
      </c>
      <c r="S16" s="156">
        <f t="shared" si="7"/>
        <v>332.02401599999996</v>
      </c>
      <c r="T16" s="156">
        <f>VLOOKUP(M16,Credito1,2)</f>
        <v>0</v>
      </c>
      <c r="U16" s="156">
        <f t="shared" si="8"/>
        <v>332.02</v>
      </c>
      <c r="V16" s="155">
        <f t="shared" si="9"/>
        <v>0</v>
      </c>
      <c r="W16" s="155">
        <f>IF(I16/15&lt;=SMG,0,IF(U16&lt;0,0,U16))</f>
        <v>332.02</v>
      </c>
      <c r="X16" s="159">
        <v>1500</v>
      </c>
      <c r="Y16" s="155">
        <f>SUM(W16:X16)</f>
        <v>1832.02</v>
      </c>
      <c r="Z16" s="155">
        <f>K16+V16-Y16</f>
        <v>2657.9100000000003</v>
      </c>
      <c r="AA16" s="92"/>
      <c r="AG16" s="64"/>
    </row>
    <row r="17" spans="1:33" s="51" customFormat="1" ht="24" customHeight="1" x14ac:dyDescent="0.3">
      <c r="A17" s="45"/>
      <c r="B17" s="205"/>
      <c r="C17" s="190"/>
      <c r="D17" s="206"/>
      <c r="E17" s="206"/>
      <c r="F17" s="197"/>
      <c r="G17" s="198"/>
      <c r="H17" s="199"/>
      <c r="I17" s="200"/>
      <c r="J17" s="201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3"/>
      <c r="Y17" s="202"/>
      <c r="Z17" s="202"/>
      <c r="AA17" s="93"/>
      <c r="AG17" s="64"/>
    </row>
    <row r="18" spans="1:33" s="51" customFormat="1" ht="24" customHeight="1" x14ac:dyDescent="0.3">
      <c r="A18" s="45"/>
      <c r="B18" s="205"/>
      <c r="C18" s="190"/>
      <c r="D18" s="206"/>
      <c r="E18" s="206"/>
      <c r="F18" s="197"/>
      <c r="G18" s="198"/>
      <c r="H18" s="199"/>
      <c r="I18" s="20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3"/>
      <c r="Y18" s="202"/>
      <c r="Z18" s="202"/>
      <c r="AA18" s="93"/>
      <c r="AG18" s="64"/>
    </row>
    <row r="19" spans="1:33" s="51" customFormat="1" ht="24" customHeight="1" x14ac:dyDescent="0.3">
      <c r="A19" s="45"/>
      <c r="B19" s="205"/>
      <c r="C19" s="190"/>
      <c r="D19" s="206"/>
      <c r="E19" s="206"/>
      <c r="F19" s="197"/>
      <c r="G19" s="198"/>
      <c r="H19" s="199"/>
      <c r="I19" s="200"/>
      <c r="J19" s="201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3"/>
      <c r="Y19" s="202"/>
      <c r="Z19" s="202"/>
      <c r="AA19" s="93"/>
      <c r="AG19" s="64"/>
    </row>
    <row r="20" spans="1:33" s="51" customFormat="1" ht="24" customHeight="1" x14ac:dyDescent="0.3">
      <c r="A20" s="45"/>
      <c r="B20" s="205"/>
      <c r="C20" s="190"/>
      <c r="D20" s="206"/>
      <c r="E20" s="206"/>
      <c r="F20" s="197"/>
      <c r="G20" s="198"/>
      <c r="H20" s="199"/>
      <c r="I20" s="200"/>
      <c r="J20" s="201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3"/>
      <c r="Y20" s="202"/>
      <c r="Z20" s="202"/>
      <c r="AA20" s="93"/>
      <c r="AG20" s="64"/>
    </row>
    <row r="21" spans="1:33" s="51" customFormat="1" ht="24" customHeight="1" x14ac:dyDescent="0.3">
      <c r="A21" s="45"/>
      <c r="B21" s="205"/>
      <c r="C21" s="190"/>
      <c r="D21" s="206"/>
      <c r="E21" s="206"/>
      <c r="F21" s="197"/>
      <c r="G21" s="198"/>
      <c r="H21" s="199"/>
      <c r="I21" s="200"/>
      <c r="J21" s="201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3"/>
      <c r="Y21" s="202"/>
      <c r="Z21" s="202"/>
      <c r="AA21" s="93"/>
      <c r="AG21" s="64"/>
    </row>
    <row r="22" spans="1:33" s="51" customFormat="1" ht="24" customHeight="1" x14ac:dyDescent="0.3">
      <c r="A22" s="45"/>
      <c r="B22" s="205"/>
      <c r="C22" s="190"/>
      <c r="D22" s="206"/>
      <c r="E22" s="206"/>
      <c r="F22" s="197"/>
      <c r="G22" s="198"/>
      <c r="H22" s="199"/>
      <c r="I22" s="200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3"/>
      <c r="Y22" s="202"/>
      <c r="Z22" s="202"/>
      <c r="AA22" s="93"/>
      <c r="AG22" s="64"/>
    </row>
    <row r="23" spans="1:33" s="51" customFormat="1" ht="24" customHeight="1" x14ac:dyDescent="0.3">
      <c r="A23" s="45"/>
      <c r="B23" s="205"/>
      <c r="C23" s="190"/>
      <c r="D23" s="206"/>
      <c r="E23" s="206"/>
      <c r="F23" s="197"/>
      <c r="G23" s="198"/>
      <c r="H23" s="199"/>
      <c r="I23" s="200"/>
      <c r="J23" s="201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3"/>
      <c r="Y23" s="202"/>
      <c r="Z23" s="202"/>
      <c r="AA23" s="93"/>
      <c r="AG23" s="64"/>
    </row>
    <row r="24" spans="1:33" s="51" customFormat="1" ht="26.25" customHeight="1" x14ac:dyDescent="0.3">
      <c r="A24" s="45"/>
      <c r="B24" s="298" t="s">
        <v>78</v>
      </c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G24" s="64"/>
    </row>
    <row r="25" spans="1:33" s="51" customFormat="1" ht="21.75" customHeight="1" x14ac:dyDescent="0.3">
      <c r="A25" s="45"/>
      <c r="B25" s="298" t="s">
        <v>64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G25" s="64"/>
    </row>
    <row r="26" spans="1:33" s="51" customFormat="1" ht="25.5" customHeight="1" x14ac:dyDescent="0.3">
      <c r="A26" s="45"/>
      <c r="B26" s="288" t="s">
        <v>338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G26" s="64"/>
    </row>
    <row r="27" spans="1:33" s="51" customFormat="1" ht="25.5" customHeight="1" x14ac:dyDescent="0.3">
      <c r="A27" s="20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G27" s="64"/>
    </row>
    <row r="28" spans="1:33" s="51" customFormat="1" ht="25.5" customHeight="1" x14ac:dyDescent="0.3">
      <c r="A28" s="20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G28" s="64"/>
    </row>
    <row r="29" spans="1:33" s="51" customFormat="1" ht="72.75" customHeight="1" x14ac:dyDescent="0.3">
      <c r="A29" s="204"/>
      <c r="B29" s="193" t="s">
        <v>101</v>
      </c>
      <c r="C29" s="193" t="s">
        <v>123</v>
      </c>
      <c r="D29" s="247" t="s">
        <v>284</v>
      </c>
      <c r="E29" s="193" t="s">
        <v>310</v>
      </c>
      <c r="F29" s="247" t="s">
        <v>61</v>
      </c>
      <c r="G29" s="247"/>
      <c r="H29" s="247"/>
      <c r="I29" s="248">
        <f>SUM(I30:I31)</f>
        <v>12448</v>
      </c>
      <c r="J29" s="248">
        <f>SUM(J30:J31)</f>
        <v>0</v>
      </c>
      <c r="K29" s="248">
        <f>SUM(K30:K31)</f>
        <v>12448</v>
      </c>
      <c r="L29" s="247"/>
      <c r="M29" s="247"/>
      <c r="N29" s="247"/>
      <c r="O29" s="247"/>
      <c r="P29" s="247"/>
      <c r="Q29" s="247"/>
      <c r="R29" s="250"/>
      <c r="S29" s="247"/>
      <c r="T29" s="247"/>
      <c r="U29" s="247"/>
      <c r="V29" s="248">
        <f>SUM(V30:V31)</f>
        <v>0</v>
      </c>
      <c r="W29" s="248">
        <f>SUM(W30:W31)</f>
        <v>1131.43</v>
      </c>
      <c r="X29" s="248">
        <f>SUM(X30:X31)</f>
        <v>0</v>
      </c>
      <c r="Y29" s="248">
        <f>SUM(Y30:Y31)</f>
        <v>1131.43</v>
      </c>
      <c r="Z29" s="248">
        <f>SUM(Z30:Z31)</f>
        <v>11316.57</v>
      </c>
      <c r="AA29" s="99"/>
      <c r="AB29" s="194"/>
      <c r="AG29" s="64"/>
    </row>
    <row r="30" spans="1:33" s="51" customFormat="1" ht="149.25" customHeight="1" x14ac:dyDescent="0.35">
      <c r="A30" s="204"/>
      <c r="B30" s="147" t="s">
        <v>281</v>
      </c>
      <c r="C30" s="148" t="s">
        <v>114</v>
      </c>
      <c r="D30" s="217" t="s">
        <v>282</v>
      </c>
      <c r="E30" s="224">
        <v>44805</v>
      </c>
      <c r="F30" s="150" t="s">
        <v>283</v>
      </c>
      <c r="G30" s="151"/>
      <c r="H30" s="152"/>
      <c r="I30" s="153">
        <v>7013</v>
      </c>
      <c r="J30" s="154">
        <v>0</v>
      </c>
      <c r="K30" s="155">
        <f>SUM(I30:J30)</f>
        <v>7013</v>
      </c>
      <c r="L30" s="156">
        <f>IF(I30/15&lt;=SMG,0,J30/2)</f>
        <v>0</v>
      </c>
      <c r="M30" s="156">
        <f t="shared" ref="M30" si="10">I30+L30</f>
        <v>7013</v>
      </c>
      <c r="N30" s="156">
        <f>VLOOKUP(M30,Tarifa1,1)</f>
        <v>6382.81</v>
      </c>
      <c r="O30" s="156">
        <f t="shared" ref="O30" si="11">M30-N30</f>
        <v>630.1899999999996</v>
      </c>
      <c r="P30" s="157">
        <f>VLOOKUP(M30,Tarifa1,3)</f>
        <v>0.1792</v>
      </c>
      <c r="Q30" s="156">
        <f t="shared" ref="Q30" si="12">O30*P30</f>
        <v>112.93004799999993</v>
      </c>
      <c r="R30" s="158">
        <f>VLOOKUP(M30,Tarifa1,2)</f>
        <v>583.65</v>
      </c>
      <c r="S30" s="156">
        <f t="shared" ref="S30" si="13">Q30+R30</f>
        <v>696.58004799999992</v>
      </c>
      <c r="T30" s="156">
        <f>VLOOKUP(M30,Credito1,2)</f>
        <v>0</v>
      </c>
      <c r="U30" s="156">
        <f t="shared" ref="U30" si="14">ROUND(S30-T30,2)</f>
        <v>696.58</v>
      </c>
      <c r="V30" s="155">
        <f t="shared" ref="V30" si="15">-IF(U30&gt;0,0,U30)</f>
        <v>0</v>
      </c>
      <c r="W30" s="155">
        <f>IF(I30/15&lt;=SMG,0,IF(U30&lt;0,0,U30))</f>
        <v>696.58</v>
      </c>
      <c r="X30" s="159">
        <v>0</v>
      </c>
      <c r="Y30" s="155">
        <f>SUM(W30:X30)</f>
        <v>696.58</v>
      </c>
      <c r="Z30" s="155">
        <f>K30+V30-Y30</f>
        <v>6316.42</v>
      </c>
      <c r="AA30" s="92"/>
      <c r="AB30" s="194"/>
      <c r="AG30" s="64"/>
    </row>
    <row r="31" spans="1:33" s="111" customFormat="1" ht="84.9" customHeight="1" x14ac:dyDescent="0.3">
      <c r="A31" s="148"/>
      <c r="B31" s="193" t="s">
        <v>101</v>
      </c>
      <c r="C31" s="193" t="s">
        <v>123</v>
      </c>
      <c r="D31" s="193" t="s">
        <v>128</v>
      </c>
      <c r="E31" s="193" t="s">
        <v>310</v>
      </c>
      <c r="F31" s="247" t="s">
        <v>61</v>
      </c>
      <c r="G31" s="247"/>
      <c r="H31" s="247"/>
      <c r="I31" s="248">
        <f>SUM(I32)</f>
        <v>5435</v>
      </c>
      <c r="J31" s="248">
        <f>SUM(J32)</f>
        <v>0</v>
      </c>
      <c r="K31" s="248">
        <f>SUM(K32)</f>
        <v>5435</v>
      </c>
      <c r="L31" s="247"/>
      <c r="M31" s="247"/>
      <c r="N31" s="247"/>
      <c r="O31" s="247"/>
      <c r="P31" s="247"/>
      <c r="Q31" s="247"/>
      <c r="R31" s="250"/>
      <c r="S31" s="247"/>
      <c r="T31" s="247"/>
      <c r="U31" s="247"/>
      <c r="V31" s="248">
        <f>SUM(V32)</f>
        <v>0</v>
      </c>
      <c r="W31" s="248">
        <f>SUM(W32)</f>
        <v>434.85</v>
      </c>
      <c r="X31" s="248">
        <f>SUM(X32)</f>
        <v>0</v>
      </c>
      <c r="Y31" s="248">
        <f>SUM(Y32)</f>
        <v>434.85</v>
      </c>
      <c r="Z31" s="248">
        <f>SUM(Z32)</f>
        <v>5000.1499999999996</v>
      </c>
      <c r="AA31" s="251"/>
      <c r="AG31" s="252"/>
    </row>
    <row r="32" spans="1:33" s="111" customFormat="1" ht="150" customHeight="1" x14ac:dyDescent="0.35">
      <c r="A32" s="148" t="s">
        <v>89</v>
      </c>
      <c r="B32" s="147" t="s">
        <v>158</v>
      </c>
      <c r="C32" s="148" t="s">
        <v>114</v>
      </c>
      <c r="D32" s="215" t="s">
        <v>210</v>
      </c>
      <c r="E32" s="220">
        <v>43374</v>
      </c>
      <c r="F32" s="150" t="s">
        <v>100</v>
      </c>
      <c r="G32" s="151">
        <v>15</v>
      </c>
      <c r="H32" s="152">
        <f t="shared" si="0"/>
        <v>362.33333333333331</v>
      </c>
      <c r="I32" s="153">
        <v>5435</v>
      </c>
      <c r="J32" s="154">
        <v>0</v>
      </c>
      <c r="K32" s="155">
        <f>SUM(I32:J32)</f>
        <v>5435</v>
      </c>
      <c r="L32" s="156">
        <f>IF(I32/15&lt;=SMG,0,J32/2)</f>
        <v>0</v>
      </c>
      <c r="M32" s="156">
        <f t="shared" ref="M32" si="16">I32+L32</f>
        <v>5435</v>
      </c>
      <c r="N32" s="156">
        <f>VLOOKUP(M32,Tarifa1,1)</f>
        <v>3124.36</v>
      </c>
      <c r="O32" s="156">
        <f t="shared" ref="O32" si="17">M32-N32</f>
        <v>2310.64</v>
      </c>
      <c r="P32" s="157">
        <f>VLOOKUP(M32,Tarifa1,3)</f>
        <v>0.10879999999999999</v>
      </c>
      <c r="Q32" s="156">
        <f t="shared" ref="Q32" si="18">O32*P32</f>
        <v>251.39763199999996</v>
      </c>
      <c r="R32" s="158">
        <f>VLOOKUP(M32,Tarifa1,2)</f>
        <v>183.45</v>
      </c>
      <c r="S32" s="156">
        <f t="shared" ref="S32" si="19">Q32+R32</f>
        <v>434.84763199999998</v>
      </c>
      <c r="T32" s="156">
        <f>VLOOKUP(M32,Credito1,2)</f>
        <v>0</v>
      </c>
      <c r="U32" s="156">
        <f t="shared" ref="U32" si="20">ROUND(S32-T32,2)</f>
        <v>434.85</v>
      </c>
      <c r="V32" s="155">
        <f>-IF(U32&gt;0,0,U32)</f>
        <v>0</v>
      </c>
      <c r="W32" s="155">
        <f>IF(I32/15&lt;=SMG,0,IF(U32&lt;0,0,U32))</f>
        <v>434.85</v>
      </c>
      <c r="X32" s="159">
        <v>0</v>
      </c>
      <c r="Y32" s="155">
        <f>SUM(W32:X32)</f>
        <v>434.85</v>
      </c>
      <c r="Z32" s="155">
        <f>K32+V32-Y32</f>
        <v>5000.1499999999996</v>
      </c>
      <c r="AA32" s="110"/>
      <c r="AG32" s="252"/>
    </row>
    <row r="33" spans="1:33" s="111" customFormat="1" ht="84.9" customHeight="1" x14ac:dyDescent="0.3">
      <c r="A33" s="148"/>
      <c r="B33" s="193" t="s">
        <v>101</v>
      </c>
      <c r="C33" s="193" t="s">
        <v>123</v>
      </c>
      <c r="D33" s="193" t="s">
        <v>273</v>
      </c>
      <c r="E33" s="193" t="s">
        <v>310</v>
      </c>
      <c r="F33" s="247" t="s">
        <v>61</v>
      </c>
      <c r="G33" s="247"/>
      <c r="H33" s="247"/>
      <c r="I33" s="248">
        <f>SUM(I34)</f>
        <v>5043</v>
      </c>
      <c r="J33" s="248">
        <f>SUM(J34)</f>
        <v>0</v>
      </c>
      <c r="K33" s="248">
        <f>SUM(K34)</f>
        <v>5043</v>
      </c>
      <c r="L33" s="247"/>
      <c r="M33" s="247"/>
      <c r="N33" s="247"/>
      <c r="O33" s="247"/>
      <c r="P33" s="247"/>
      <c r="Q33" s="247"/>
      <c r="R33" s="250"/>
      <c r="S33" s="247"/>
      <c r="T33" s="247"/>
      <c r="U33" s="247"/>
      <c r="V33" s="248">
        <f>SUM(V34)</f>
        <v>0</v>
      </c>
      <c r="W33" s="248">
        <f>SUM(W34)</f>
        <v>392.2</v>
      </c>
      <c r="X33" s="248">
        <f>SUM(X34)</f>
        <v>0</v>
      </c>
      <c r="Y33" s="248">
        <f>SUM(Y34)</f>
        <v>392.2</v>
      </c>
      <c r="Z33" s="248">
        <f>SUM(Z34)</f>
        <v>4650.8</v>
      </c>
      <c r="AA33" s="251"/>
      <c r="AG33" s="252"/>
    </row>
    <row r="34" spans="1:33" s="111" customFormat="1" ht="149.25" customHeight="1" x14ac:dyDescent="0.35">
      <c r="A34" s="148"/>
      <c r="B34" s="148" t="s">
        <v>108</v>
      </c>
      <c r="C34" s="148" t="s">
        <v>114</v>
      </c>
      <c r="D34" s="215" t="s">
        <v>98</v>
      </c>
      <c r="E34" s="220">
        <v>40102</v>
      </c>
      <c r="F34" s="150" t="s">
        <v>277</v>
      </c>
      <c r="G34" s="151">
        <v>15</v>
      </c>
      <c r="H34" s="152">
        <v>305.35000000000002</v>
      </c>
      <c r="I34" s="153">
        <v>5043</v>
      </c>
      <c r="J34" s="154">
        <v>0</v>
      </c>
      <c r="K34" s="155">
        <f>SUM(I34:J34)</f>
        <v>5043</v>
      </c>
      <c r="L34" s="156">
        <f>IF(I34/15&lt;=SMG,0,J34/2)</f>
        <v>0</v>
      </c>
      <c r="M34" s="156">
        <f t="shared" ref="M34" si="21">I34+L34</f>
        <v>5043</v>
      </c>
      <c r="N34" s="156">
        <f>VLOOKUP(M34,Tarifa1,1)</f>
        <v>3124.36</v>
      </c>
      <c r="O34" s="156">
        <f t="shared" ref="O34" si="22">M34-N34</f>
        <v>1918.6399999999999</v>
      </c>
      <c r="P34" s="157">
        <f>VLOOKUP(M34,Tarifa1,3)</f>
        <v>0.10879999999999999</v>
      </c>
      <c r="Q34" s="156">
        <f t="shared" ref="Q34" si="23">O34*P34</f>
        <v>208.74803199999997</v>
      </c>
      <c r="R34" s="158">
        <f>VLOOKUP(M34,Tarifa1,2)</f>
        <v>183.45</v>
      </c>
      <c r="S34" s="156">
        <f t="shared" ref="S34" si="24">Q34+R34</f>
        <v>392.19803199999996</v>
      </c>
      <c r="T34" s="156">
        <f>VLOOKUP(M34,Credito1,2)</f>
        <v>0</v>
      </c>
      <c r="U34" s="156">
        <f t="shared" ref="U34" si="25">ROUND(S34-T34,2)</f>
        <v>392.2</v>
      </c>
      <c r="V34" s="155">
        <f t="shared" ref="V34" si="26">-IF(U34&gt;0,0,U34)</f>
        <v>0</v>
      </c>
      <c r="W34" s="155">
        <f>IF(I34/15&lt;=SMG,0,IF(U34&lt;0,0,U34))</f>
        <v>392.2</v>
      </c>
      <c r="X34" s="159">
        <v>0</v>
      </c>
      <c r="Y34" s="155">
        <f>SUM(W34:X34)</f>
        <v>392.2</v>
      </c>
      <c r="Z34" s="155">
        <f>K34+V34-Y34</f>
        <v>4650.8</v>
      </c>
      <c r="AA34" s="110"/>
      <c r="AG34" s="252"/>
    </row>
    <row r="35" spans="1:33" s="111" customFormat="1" ht="84.9" customHeight="1" x14ac:dyDescent="0.3">
      <c r="A35" s="227"/>
      <c r="B35" s="193" t="s">
        <v>101</v>
      </c>
      <c r="C35" s="193" t="s">
        <v>123</v>
      </c>
      <c r="D35" s="247" t="s">
        <v>145</v>
      </c>
      <c r="E35" s="193" t="s">
        <v>310</v>
      </c>
      <c r="F35" s="247" t="s">
        <v>61</v>
      </c>
      <c r="G35" s="247"/>
      <c r="H35" s="247"/>
      <c r="I35" s="248">
        <f>SUM(I36)</f>
        <v>7013</v>
      </c>
      <c r="J35" s="248">
        <f>SUM(J36)</f>
        <v>0</v>
      </c>
      <c r="K35" s="248">
        <f>SUM(K36)</f>
        <v>7013</v>
      </c>
      <c r="L35" s="247"/>
      <c r="M35" s="247"/>
      <c r="N35" s="247"/>
      <c r="O35" s="247"/>
      <c r="P35" s="247"/>
      <c r="Q35" s="247"/>
      <c r="R35" s="250"/>
      <c r="S35" s="247"/>
      <c r="T35" s="247"/>
      <c r="U35" s="247"/>
      <c r="V35" s="248">
        <f>SUM(V36)</f>
        <v>0</v>
      </c>
      <c r="W35" s="248">
        <f>SUM(W36)</f>
        <v>696.58</v>
      </c>
      <c r="X35" s="248">
        <f>SUM(X36)</f>
        <v>0</v>
      </c>
      <c r="Y35" s="248">
        <f>SUM(Y36)</f>
        <v>696.58</v>
      </c>
      <c r="Z35" s="248">
        <f>SUM(Z36)</f>
        <v>6316.42</v>
      </c>
      <c r="AA35" s="251"/>
    </row>
    <row r="36" spans="1:33" s="111" customFormat="1" ht="150.75" customHeight="1" x14ac:dyDescent="0.35">
      <c r="A36" s="227"/>
      <c r="B36" s="147" t="s">
        <v>157</v>
      </c>
      <c r="C36" s="148" t="s">
        <v>114</v>
      </c>
      <c r="D36" s="215" t="s">
        <v>148</v>
      </c>
      <c r="E36" s="224">
        <v>43101</v>
      </c>
      <c r="F36" s="150" t="s">
        <v>149</v>
      </c>
      <c r="G36" s="151">
        <v>15</v>
      </c>
      <c r="H36" s="152">
        <f>I36/G36</f>
        <v>467.53333333333336</v>
      </c>
      <c r="I36" s="153">
        <v>7013</v>
      </c>
      <c r="J36" s="154">
        <v>0</v>
      </c>
      <c r="K36" s="155">
        <f>SUM(I36:J36)</f>
        <v>7013</v>
      </c>
      <c r="L36" s="156">
        <f>IF(I36/15&lt;=SMG,0,J36/2)</f>
        <v>0</v>
      </c>
      <c r="M36" s="156">
        <f t="shared" ref="M36" si="27">I36+L36</f>
        <v>7013</v>
      </c>
      <c r="N36" s="156">
        <f>VLOOKUP(M36,Tarifa1,1)</f>
        <v>6382.81</v>
      </c>
      <c r="O36" s="156">
        <f t="shared" ref="O36" si="28">M36-N36</f>
        <v>630.1899999999996</v>
      </c>
      <c r="P36" s="157">
        <f>VLOOKUP(M36,Tarifa1,3)</f>
        <v>0.1792</v>
      </c>
      <c r="Q36" s="156">
        <f t="shared" ref="Q36" si="29">O36*P36</f>
        <v>112.93004799999993</v>
      </c>
      <c r="R36" s="158">
        <f>VLOOKUP(M36,Tarifa1,2)</f>
        <v>583.65</v>
      </c>
      <c r="S36" s="156">
        <f t="shared" ref="S36" si="30">Q36+R36</f>
        <v>696.58004799999992</v>
      </c>
      <c r="T36" s="156">
        <f>VLOOKUP(M36,Credito1,2)</f>
        <v>0</v>
      </c>
      <c r="U36" s="156">
        <f t="shared" ref="U36" si="31">ROUND(S36-T36,2)</f>
        <v>696.58</v>
      </c>
      <c r="V36" s="155">
        <f t="shared" ref="V36" si="32">-IF(U36&gt;0,0,U36)</f>
        <v>0</v>
      </c>
      <c r="W36" s="155">
        <f>IF(I36/15&lt;=SMG,0,IF(U36&lt;0,0,U36))</f>
        <v>696.58</v>
      </c>
      <c r="X36" s="159">
        <v>0</v>
      </c>
      <c r="Y36" s="155">
        <f>SUM(W36:X36)</f>
        <v>696.58</v>
      </c>
      <c r="Z36" s="155">
        <f>K36+V36-Y36</f>
        <v>6316.42</v>
      </c>
      <c r="AA36" s="110"/>
    </row>
    <row r="37" spans="1:33" s="111" customFormat="1" ht="17.399999999999999" x14ac:dyDescent="0.3">
      <c r="A37" s="227"/>
      <c r="B37" s="227"/>
      <c r="C37" s="227"/>
      <c r="D37" s="227"/>
      <c r="E37" s="227"/>
      <c r="F37" s="227"/>
      <c r="G37" s="227"/>
      <c r="H37" s="227"/>
      <c r="I37" s="253"/>
      <c r="J37" s="253"/>
      <c r="K37" s="253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110"/>
    </row>
    <row r="38" spans="1:33" s="111" customFormat="1" ht="39" customHeight="1" x14ac:dyDescent="0.3">
      <c r="A38" s="320" t="s">
        <v>44</v>
      </c>
      <c r="B38" s="320"/>
      <c r="C38" s="320"/>
      <c r="D38" s="320"/>
      <c r="E38" s="320"/>
      <c r="F38" s="320"/>
      <c r="G38" s="320"/>
      <c r="H38" s="320"/>
      <c r="I38" s="184">
        <f>SUM(I8+I11+I13+I29+I31+I33+I35)</f>
        <v>61157.93</v>
      </c>
      <c r="J38" s="184">
        <f>SUM(J8+J11+J13+J29+J31+J33+J35)</f>
        <v>0</v>
      </c>
      <c r="K38" s="184">
        <f>SUM(K8+K11+K13+K29+K31+K33+K35)</f>
        <v>61157.93</v>
      </c>
      <c r="L38" s="185">
        <f t="shared" ref="L38:U38" si="33">SUM(L11:L37)</f>
        <v>0</v>
      </c>
      <c r="M38" s="185">
        <f t="shared" si="33"/>
        <v>48709.93</v>
      </c>
      <c r="N38" s="185">
        <f t="shared" si="33"/>
        <v>38028.68</v>
      </c>
      <c r="O38" s="185">
        <f t="shared" si="33"/>
        <v>10681.249999999996</v>
      </c>
      <c r="P38" s="185">
        <f t="shared" si="33"/>
        <v>1.1519999999999999</v>
      </c>
      <c r="Q38" s="185">
        <f t="shared" si="33"/>
        <v>1361.4759039999997</v>
      </c>
      <c r="R38" s="185">
        <f t="shared" si="33"/>
        <v>3068.3999999999996</v>
      </c>
      <c r="S38" s="185">
        <f t="shared" si="33"/>
        <v>4429.8759039999995</v>
      </c>
      <c r="T38" s="185">
        <f t="shared" si="33"/>
        <v>0</v>
      </c>
      <c r="U38" s="185">
        <f t="shared" si="33"/>
        <v>4429.87</v>
      </c>
      <c r="V38" s="184">
        <f>SUM(V8+V11+V13+V29+V31+V33+V35)</f>
        <v>0</v>
      </c>
      <c r="W38" s="184">
        <f>SUM(W8+W11+W13+W29+W31+W33+W35)</f>
        <v>5561.3</v>
      </c>
      <c r="X38" s="184">
        <f>SUM(X8+X11+X13+X29+X31+X33+X35)</f>
        <v>2500</v>
      </c>
      <c r="Y38" s="184">
        <f>SUM(Y8+Y11+Y13+Y29+Y31+Y33+Y35)</f>
        <v>8061.3</v>
      </c>
      <c r="Z38" s="184">
        <f>SUM(Z8+Z11+Z13+Z29+Z31+Z33+Z35)</f>
        <v>53096.630000000005</v>
      </c>
      <c r="AA38" s="110"/>
    </row>
    <row r="39" spans="1:33" s="51" customFormat="1" ht="11.4" x14ac:dyDescent="0.2"/>
    <row r="40" spans="1:33" s="51" customFormat="1" ht="11.4" x14ac:dyDescent="0.2"/>
    <row r="41" spans="1:33" s="51" customFormat="1" ht="11.4" x14ac:dyDescent="0.2"/>
    <row r="42" spans="1:33" s="51" customFormat="1" ht="11.4" x14ac:dyDescent="0.2"/>
    <row r="43" spans="1:33" s="51" customFormat="1" ht="11.4" x14ac:dyDescent="0.2"/>
    <row r="44" spans="1:33" s="51" customFormat="1" ht="11.4" x14ac:dyDescent="0.2"/>
  </sheetData>
  <mergeCells count="11">
    <mergeCell ref="A38:H38"/>
    <mergeCell ref="A1:AA1"/>
    <mergeCell ref="A2:AA2"/>
    <mergeCell ref="A3:AA3"/>
    <mergeCell ref="I5:K5"/>
    <mergeCell ref="N5:S5"/>
    <mergeCell ref="W5:Y5"/>
    <mergeCell ref="C5:C7"/>
    <mergeCell ref="B24:AB24"/>
    <mergeCell ref="B25:AB25"/>
    <mergeCell ref="B26:AB26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6692913385826772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B14" zoomScale="77" zoomScaleNormal="77" workbookViewId="0">
      <selection activeCell="B18" sqref="A18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2.88671875" customWidth="1"/>
    <col min="25" max="25" width="14.33203125" customWidth="1"/>
    <col min="26" max="26" width="14.5546875" customWidth="1"/>
    <col min="27" max="27" width="64.10937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307"/>
      <c r="Z6" s="23" t="s">
        <v>0</v>
      </c>
      <c r="AA6" s="34"/>
    </row>
    <row r="7" spans="1:27" ht="21" x14ac:dyDescent="0.25">
      <c r="A7" s="26" t="s">
        <v>20</v>
      </c>
      <c r="B7" s="44" t="s">
        <v>101</v>
      </c>
      <c r="C7" s="44" t="s">
        <v>115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/>
      <c r="Y8" s="29" t="s">
        <v>43</v>
      </c>
      <c r="Z8" s="29" t="s">
        <v>4</v>
      </c>
      <c r="AA8" s="35"/>
    </row>
    <row r="9" spans="1:27" s="4" customFormat="1" ht="54.75" customHeight="1" x14ac:dyDescent="0.3">
      <c r="A9" s="132"/>
      <c r="B9" s="132"/>
      <c r="C9" s="132"/>
      <c r="D9" s="131" t="s">
        <v>112</v>
      </c>
      <c r="E9" s="132" t="s">
        <v>310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32"/>
      <c r="AA9" s="101"/>
    </row>
    <row r="10" spans="1:27" s="4" customFormat="1" ht="131.25" customHeight="1" x14ac:dyDescent="0.35">
      <c r="A10" s="109" t="s">
        <v>83</v>
      </c>
      <c r="B10" s="148" t="s">
        <v>110</v>
      </c>
      <c r="C10" s="148" t="s">
        <v>114</v>
      </c>
      <c r="D10" s="215" t="s">
        <v>99</v>
      </c>
      <c r="E10" s="218">
        <v>42278</v>
      </c>
      <c r="F10" s="150" t="s">
        <v>212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9">
        <v>0</v>
      </c>
      <c r="Y10" s="155">
        <f>SUM(W10:X10)</f>
        <v>2760.37</v>
      </c>
      <c r="Z10" s="155">
        <f>K10+V10-Y10</f>
        <v>13890.630000000001</v>
      </c>
      <c r="AA10" s="89"/>
    </row>
    <row r="11" spans="1:27" s="4" customFormat="1" ht="131.25" customHeight="1" x14ac:dyDescent="0.35">
      <c r="A11" s="109" t="s">
        <v>85</v>
      </c>
      <c r="B11" s="148" t="s">
        <v>104</v>
      </c>
      <c r="C11" s="148" t="s">
        <v>114</v>
      </c>
      <c r="D11" s="215" t="s">
        <v>73</v>
      </c>
      <c r="E11" s="218">
        <v>39462</v>
      </c>
      <c r="F11" s="150" t="s">
        <v>213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9">
        <v>2000</v>
      </c>
      <c r="Y11" s="155">
        <f>SUM(W11:X11)</f>
        <v>3435.33</v>
      </c>
      <c r="Z11" s="155">
        <f>K11+V11-Y11</f>
        <v>7137.67</v>
      </c>
      <c r="AA11" s="89"/>
    </row>
    <row r="12" spans="1:27" s="4" customFormat="1" ht="131.25" customHeight="1" x14ac:dyDescent="0.35">
      <c r="A12" s="109" t="s">
        <v>86</v>
      </c>
      <c r="B12" s="148" t="s">
        <v>111</v>
      </c>
      <c r="C12" s="148" t="s">
        <v>114</v>
      </c>
      <c r="D12" s="215" t="s">
        <v>96</v>
      </c>
      <c r="E12" s="218">
        <v>42278</v>
      </c>
      <c r="F12" s="150" t="s">
        <v>213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9">
        <v>0</v>
      </c>
      <c r="Y12" s="155">
        <f>SUM(W12:X12)</f>
        <v>566.48</v>
      </c>
      <c r="Z12" s="155">
        <f>K12+V12-Y12</f>
        <v>5708.52</v>
      </c>
      <c r="AA12" s="89"/>
    </row>
    <row r="13" spans="1:27" s="4" customFormat="1" ht="36" customHeight="1" x14ac:dyDescent="0.3">
      <c r="A13" s="173"/>
      <c r="B13" s="173"/>
      <c r="C13" s="173"/>
      <c r="D13" s="173"/>
      <c r="E13" s="173"/>
      <c r="F13" s="173"/>
      <c r="G13" s="173"/>
      <c r="H13" s="173"/>
      <c r="I13" s="179"/>
      <c r="J13" s="179"/>
      <c r="K13" s="179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</row>
    <row r="14" spans="1:27" s="4" customFormat="1" ht="60" customHeight="1" thickBot="1" x14ac:dyDescent="0.35">
      <c r="A14" s="284" t="s">
        <v>44</v>
      </c>
      <c r="B14" s="285"/>
      <c r="C14" s="285"/>
      <c r="D14" s="285"/>
      <c r="E14" s="285"/>
      <c r="F14" s="285"/>
      <c r="G14" s="285"/>
      <c r="H14" s="286"/>
      <c r="I14" s="160">
        <f>SUM(I10:I13)</f>
        <v>33499</v>
      </c>
      <c r="J14" s="160">
        <f>SUM(J10:J13)</f>
        <v>0</v>
      </c>
      <c r="K14" s="160">
        <f>SUM(K10:K13)</f>
        <v>33499</v>
      </c>
      <c r="L14" s="161">
        <f t="shared" ref="L14:U14" si="6">SUM(L10:L13)</f>
        <v>0</v>
      </c>
      <c r="M14" s="161">
        <f t="shared" si="6"/>
        <v>33499</v>
      </c>
      <c r="N14" s="161">
        <f t="shared" si="6"/>
        <v>28545.480000000003</v>
      </c>
      <c r="O14" s="161">
        <f t="shared" si="6"/>
        <v>4953.5200000000004</v>
      </c>
      <c r="P14" s="161">
        <f t="shared" si="6"/>
        <v>0.60880000000000001</v>
      </c>
      <c r="Q14" s="161">
        <f t="shared" si="6"/>
        <v>1042.7815120000002</v>
      </c>
      <c r="R14" s="161">
        <f t="shared" si="6"/>
        <v>3719.4</v>
      </c>
      <c r="S14" s="161">
        <f t="shared" si="6"/>
        <v>4762.1815120000001</v>
      </c>
      <c r="T14" s="161">
        <f t="shared" si="6"/>
        <v>0</v>
      </c>
      <c r="U14" s="161">
        <f t="shared" si="6"/>
        <v>4762.18</v>
      </c>
      <c r="V14" s="160">
        <f>SUM(V10:V13)</f>
        <v>0</v>
      </c>
      <c r="W14" s="160">
        <f>SUM(W10:W13)</f>
        <v>4762.18</v>
      </c>
      <c r="X14" s="160">
        <f>SUM(X10:X13)</f>
        <v>2000</v>
      </c>
      <c r="Y14" s="160">
        <f>SUM(Y10:Y13)</f>
        <v>6762.18</v>
      </c>
      <c r="Z14" s="160">
        <f>SUM(Z10:Z12)</f>
        <v>26736.820000000003</v>
      </c>
    </row>
    <row r="15" spans="1:27" ht="35.1" customHeight="1" thickTop="1" x14ac:dyDescent="0.25"/>
    <row r="16" spans="1:27" ht="35.1" customHeight="1" x14ac:dyDescent="0.25"/>
  </sheetData>
  <mergeCells count="7">
    <mergeCell ref="A14:H14"/>
    <mergeCell ref="A1:AA1"/>
    <mergeCell ref="A3:AA3"/>
    <mergeCell ref="I6:K6"/>
    <mergeCell ref="N6:S6"/>
    <mergeCell ref="W6:Y6"/>
    <mergeCell ref="A2:AA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B18" zoomScale="87" zoomScaleNormal="87" workbookViewId="0">
      <selection activeCell="B26" sqref="A26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3" width="14.6640625" customWidth="1"/>
    <col min="24" max="24" width="14.5546875" customWidth="1"/>
    <col min="25" max="25" width="15.44140625" customWidth="1"/>
    <col min="26" max="26" width="71.109375" customWidth="1"/>
    <col min="27" max="27" width="0.8867187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1"/>
      <c r="K6" s="24" t="s">
        <v>25</v>
      </c>
      <c r="L6" s="25"/>
      <c r="M6" s="302" t="s">
        <v>8</v>
      </c>
      <c r="N6" s="303"/>
      <c r="O6" s="303"/>
      <c r="P6" s="303"/>
      <c r="Q6" s="303"/>
      <c r="R6" s="304"/>
      <c r="S6" s="24" t="s">
        <v>29</v>
      </c>
      <c r="T6" s="24" t="s">
        <v>9</v>
      </c>
      <c r="U6" s="23" t="s">
        <v>52</v>
      </c>
      <c r="V6" s="305" t="s">
        <v>2</v>
      </c>
      <c r="W6" s="306"/>
      <c r="X6" s="307"/>
      <c r="Y6" s="23" t="s">
        <v>0</v>
      </c>
      <c r="Z6" s="34"/>
    </row>
    <row r="7" spans="1:27" ht="33.75" customHeight="1" x14ac:dyDescent="0.25">
      <c r="A7" s="26" t="s">
        <v>20</v>
      </c>
      <c r="B7" s="44" t="s">
        <v>101</v>
      </c>
      <c r="C7" s="44" t="s">
        <v>115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290</v>
      </c>
      <c r="W7" s="23" t="s">
        <v>56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/>
      <c r="X8" s="29" t="s">
        <v>43</v>
      </c>
      <c r="Y8" s="29" t="s">
        <v>4</v>
      </c>
      <c r="Z8" s="35"/>
    </row>
    <row r="9" spans="1:27" ht="13.8" x14ac:dyDescent="0.25">
      <c r="A9" s="39"/>
      <c r="B9" s="39"/>
      <c r="C9" s="39"/>
      <c r="D9" s="90" t="s">
        <v>60</v>
      </c>
      <c r="E9" s="38" t="s">
        <v>310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39"/>
      <c r="Z9" s="91"/>
    </row>
    <row r="10" spans="1:27" ht="93.75" customHeight="1" x14ac:dyDescent="0.35">
      <c r="A10" s="109" t="s">
        <v>83</v>
      </c>
      <c r="B10" s="147" t="s">
        <v>238</v>
      </c>
      <c r="C10" s="148" t="s">
        <v>114</v>
      </c>
      <c r="D10" s="215" t="s">
        <v>221</v>
      </c>
      <c r="E10" s="218">
        <v>44470</v>
      </c>
      <c r="F10" s="149" t="s">
        <v>75</v>
      </c>
      <c r="G10" s="151">
        <v>15</v>
      </c>
      <c r="H10" s="186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9">
        <v>0</v>
      </c>
      <c r="X10" s="155">
        <f t="shared" ref="X10:X17" si="7">SUM(V10:W10)</f>
        <v>1067.3</v>
      </c>
      <c r="Y10" s="155">
        <f t="shared" ref="Y10:Y18" si="8">J10+U10-X10</f>
        <v>7782.7</v>
      </c>
      <c r="Z10" s="33"/>
    </row>
    <row r="11" spans="1:27" ht="93.75" customHeight="1" x14ac:dyDescent="0.35">
      <c r="A11" s="109" t="s">
        <v>84</v>
      </c>
      <c r="B11" s="147" t="s">
        <v>219</v>
      </c>
      <c r="C11" s="148" t="s">
        <v>114</v>
      </c>
      <c r="D11" s="215" t="s">
        <v>222</v>
      </c>
      <c r="E11" s="218">
        <v>44470</v>
      </c>
      <c r="F11" s="149" t="s">
        <v>75</v>
      </c>
      <c r="G11" s="151">
        <v>15</v>
      </c>
      <c r="H11" s="186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9">
        <v>0</v>
      </c>
      <c r="X11" s="155">
        <f t="shared" si="7"/>
        <v>1067.3</v>
      </c>
      <c r="Y11" s="155">
        <f t="shared" si="8"/>
        <v>7782.7</v>
      </c>
      <c r="Z11" s="33"/>
    </row>
    <row r="12" spans="1:27" ht="93.75" customHeight="1" x14ac:dyDescent="0.35">
      <c r="A12" s="109" t="s">
        <v>85</v>
      </c>
      <c r="B12" s="147" t="s">
        <v>220</v>
      </c>
      <c r="C12" s="148" t="s">
        <v>114</v>
      </c>
      <c r="D12" s="215" t="s">
        <v>223</v>
      </c>
      <c r="E12" s="218">
        <v>44470</v>
      </c>
      <c r="F12" s="149" t="s">
        <v>75</v>
      </c>
      <c r="G12" s="151">
        <v>15</v>
      </c>
      <c r="H12" s="186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9">
        <v>0</v>
      </c>
      <c r="X12" s="155">
        <f t="shared" si="7"/>
        <v>1067.3</v>
      </c>
      <c r="Y12" s="155">
        <f t="shared" si="8"/>
        <v>7782.7</v>
      </c>
      <c r="Z12" s="33"/>
    </row>
    <row r="13" spans="1:27" ht="93.75" customHeight="1" x14ac:dyDescent="0.35">
      <c r="A13" s="109" t="s">
        <v>86</v>
      </c>
      <c r="B13" s="147" t="s">
        <v>239</v>
      </c>
      <c r="C13" s="148" t="s">
        <v>114</v>
      </c>
      <c r="D13" s="216" t="s">
        <v>224</v>
      </c>
      <c r="E13" s="218">
        <v>44470</v>
      </c>
      <c r="F13" s="149" t="s">
        <v>75</v>
      </c>
      <c r="G13" s="151">
        <v>10</v>
      </c>
      <c r="H13" s="186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9">
        <v>0</v>
      </c>
      <c r="X13" s="155">
        <f t="shared" si="7"/>
        <v>1067.3</v>
      </c>
      <c r="Y13" s="155">
        <f t="shared" si="8"/>
        <v>7782.7</v>
      </c>
      <c r="Z13" s="33"/>
    </row>
    <row r="14" spans="1:27" ht="93.75" customHeight="1" x14ac:dyDescent="0.35">
      <c r="A14" s="109" t="s">
        <v>87</v>
      </c>
      <c r="B14" s="147" t="s">
        <v>240</v>
      </c>
      <c r="C14" s="148" t="s">
        <v>114</v>
      </c>
      <c r="D14" s="217" t="s">
        <v>225</v>
      </c>
      <c r="E14" s="218">
        <v>44470</v>
      </c>
      <c r="F14" s="163" t="s">
        <v>75</v>
      </c>
      <c r="G14" s="164">
        <v>15</v>
      </c>
      <c r="H14" s="187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9">
        <v>0</v>
      </c>
      <c r="X14" s="155">
        <f t="shared" ref="X14" si="27">SUM(V14:W14)</f>
        <v>1067.3</v>
      </c>
      <c r="Y14" s="155">
        <f t="shared" ref="Y14" si="28">J14+U14-X14</f>
        <v>7782.7</v>
      </c>
      <c r="Z14" s="33"/>
    </row>
    <row r="15" spans="1:27" ht="93.75" customHeight="1" x14ac:dyDescent="0.35">
      <c r="A15" s="109" t="s">
        <v>88</v>
      </c>
      <c r="B15" s="147" t="s">
        <v>241</v>
      </c>
      <c r="C15" s="148" t="s">
        <v>114</v>
      </c>
      <c r="D15" s="215" t="s">
        <v>226</v>
      </c>
      <c r="E15" s="218">
        <v>44470</v>
      </c>
      <c r="F15" s="149" t="s">
        <v>75</v>
      </c>
      <c r="G15" s="151">
        <v>15</v>
      </c>
      <c r="H15" s="186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9">
        <v>0</v>
      </c>
      <c r="X15" s="155">
        <f t="shared" si="7"/>
        <v>1067.3</v>
      </c>
      <c r="Y15" s="155">
        <f t="shared" si="8"/>
        <v>7782.7</v>
      </c>
      <c r="Z15" s="33"/>
    </row>
    <row r="16" spans="1:27" ht="93.75" customHeight="1" x14ac:dyDescent="0.35">
      <c r="A16" s="109" t="s">
        <v>89</v>
      </c>
      <c r="B16" s="147" t="s">
        <v>227</v>
      </c>
      <c r="C16" s="148" t="s">
        <v>114</v>
      </c>
      <c r="D16" s="215" t="s">
        <v>228</v>
      </c>
      <c r="E16" s="218">
        <v>44470</v>
      </c>
      <c r="F16" s="149" t="s">
        <v>75</v>
      </c>
      <c r="G16" s="151">
        <v>15</v>
      </c>
      <c r="H16" s="186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9">
        <v>0</v>
      </c>
      <c r="X16" s="155">
        <f t="shared" si="7"/>
        <v>1067.3</v>
      </c>
      <c r="Y16" s="155">
        <f t="shared" si="8"/>
        <v>7782.7</v>
      </c>
      <c r="Z16" s="33"/>
    </row>
    <row r="17" spans="1:26" ht="93.75" customHeight="1" x14ac:dyDescent="0.35">
      <c r="A17" s="109" t="s">
        <v>90</v>
      </c>
      <c r="B17" s="147" t="s">
        <v>242</v>
      </c>
      <c r="C17" s="148" t="s">
        <v>114</v>
      </c>
      <c r="D17" s="215" t="s">
        <v>229</v>
      </c>
      <c r="E17" s="218">
        <v>44470</v>
      </c>
      <c r="F17" s="149" t="s">
        <v>75</v>
      </c>
      <c r="G17" s="151">
        <v>15</v>
      </c>
      <c r="H17" s="186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9">
        <v>0</v>
      </c>
      <c r="X17" s="155">
        <f t="shared" si="7"/>
        <v>1067.3</v>
      </c>
      <c r="Y17" s="155">
        <f t="shared" si="8"/>
        <v>7782.7</v>
      </c>
      <c r="Z17" s="33"/>
    </row>
    <row r="18" spans="1:26" ht="93.75" customHeight="1" x14ac:dyDescent="0.35">
      <c r="A18" s="109" t="s">
        <v>91</v>
      </c>
      <c r="B18" s="147" t="s">
        <v>243</v>
      </c>
      <c r="C18" s="148" t="s">
        <v>114</v>
      </c>
      <c r="D18" s="215" t="s">
        <v>250</v>
      </c>
      <c r="E18" s="218">
        <v>44470</v>
      </c>
      <c r="F18" s="149" t="s">
        <v>75</v>
      </c>
      <c r="G18" s="151">
        <v>15</v>
      </c>
      <c r="H18" s="186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9">
        <v>0</v>
      </c>
      <c r="X18" s="155">
        <f>SUM(V18:W18)</f>
        <v>1067.3</v>
      </c>
      <c r="Y18" s="155">
        <f t="shared" si="8"/>
        <v>7782.7</v>
      </c>
      <c r="Z18" s="33"/>
    </row>
    <row r="19" spans="1:26" ht="21.75" customHeight="1" x14ac:dyDescent="0.3">
      <c r="A19" s="173"/>
      <c r="B19" s="173"/>
      <c r="C19" s="173"/>
      <c r="D19" s="173"/>
      <c r="E19" s="173"/>
      <c r="F19" s="173"/>
      <c r="G19" s="173"/>
      <c r="H19" s="173"/>
      <c r="I19" s="179"/>
      <c r="J19" s="179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</row>
    <row r="20" spans="1:26" ht="40.5" customHeight="1" thickBot="1" x14ac:dyDescent="0.35">
      <c r="A20" s="284" t="s">
        <v>44</v>
      </c>
      <c r="B20" s="285"/>
      <c r="C20" s="285"/>
      <c r="D20" s="285"/>
      <c r="E20" s="285"/>
      <c r="F20" s="285"/>
      <c r="G20" s="285"/>
      <c r="H20" s="286"/>
      <c r="I20" s="160">
        <f>SUM(I10:I19)</f>
        <v>79650</v>
      </c>
      <c r="J20" s="160">
        <f>SUM(J10:J19)</f>
        <v>79650</v>
      </c>
      <c r="K20" s="161">
        <f t="shared" ref="K20:T20" si="29">SUM(K10:K19)</f>
        <v>0</v>
      </c>
      <c r="L20" s="161">
        <f t="shared" si="29"/>
        <v>79650</v>
      </c>
      <c r="M20" s="161">
        <f t="shared" si="29"/>
        <v>68777.190000000017</v>
      </c>
      <c r="N20" s="161">
        <f t="shared" si="29"/>
        <v>10872.810000000001</v>
      </c>
      <c r="O20" s="161">
        <f t="shared" si="29"/>
        <v>1.9224000000000001</v>
      </c>
      <c r="P20" s="161">
        <f t="shared" si="29"/>
        <v>2322.4322160000011</v>
      </c>
      <c r="Q20" s="161">
        <f t="shared" si="29"/>
        <v>7283.25</v>
      </c>
      <c r="R20" s="161">
        <f t="shared" si="29"/>
        <v>9605.6822159999992</v>
      </c>
      <c r="S20" s="161">
        <f t="shared" si="29"/>
        <v>0</v>
      </c>
      <c r="T20" s="161">
        <f t="shared" si="29"/>
        <v>9605.6999999999989</v>
      </c>
      <c r="U20" s="160">
        <f>SUM(U10:U19)</f>
        <v>0</v>
      </c>
      <c r="V20" s="160">
        <f>SUM(V10:V19)</f>
        <v>9605.6999999999989</v>
      </c>
      <c r="W20" s="160">
        <f>SUM(W10:W19)</f>
        <v>0</v>
      </c>
      <c r="X20" s="160">
        <f>SUM(X10:X19)</f>
        <v>9605.6999999999989</v>
      </c>
      <c r="Y20" s="160">
        <f>SUM(Y10:Y19)</f>
        <v>70044.299999999988</v>
      </c>
    </row>
    <row r="21" spans="1:26" ht="13.8" thickTop="1" x14ac:dyDescent="0.25"/>
  </sheetData>
  <sortState ref="D10:D18">
    <sortCondition ref="D10"/>
  </sortState>
  <mergeCells count="7">
    <mergeCell ref="A20:H20"/>
    <mergeCell ref="A1:Z1"/>
    <mergeCell ref="A2:Z2"/>
    <mergeCell ref="I6:J6"/>
    <mergeCell ref="M6:R6"/>
    <mergeCell ref="V6:X6"/>
    <mergeCell ref="A3:AA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opLeftCell="D20" workbookViewId="0">
      <selection activeCell="D23" sqref="A23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4" customWidth="1"/>
    <col min="24" max="24" width="13.109375" customWidth="1"/>
    <col min="25" max="25" width="14.44140625" bestFit="1" customWidth="1"/>
    <col min="26" max="26" width="54.5546875" customWidth="1"/>
  </cols>
  <sheetData>
    <row r="1" spans="1:27" ht="17.399999999999999" x14ac:dyDescent="0.3">
      <c r="A1" s="298" t="s">
        <v>78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399999999999999" x14ac:dyDescent="0.3">
      <c r="A2" s="298" t="s">
        <v>64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19.8" x14ac:dyDescent="0.3">
      <c r="A3" s="288" t="s">
        <v>338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7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9" t="s">
        <v>1</v>
      </c>
      <c r="I7" s="300"/>
      <c r="J7" s="301"/>
      <c r="K7" s="24" t="s">
        <v>25</v>
      </c>
      <c r="L7" s="25"/>
      <c r="M7" s="302" t="s">
        <v>8</v>
      </c>
      <c r="N7" s="303"/>
      <c r="O7" s="303"/>
      <c r="P7" s="303"/>
      <c r="Q7" s="303"/>
      <c r="R7" s="304"/>
      <c r="S7" s="24" t="s">
        <v>29</v>
      </c>
      <c r="T7" s="24" t="s">
        <v>9</v>
      </c>
      <c r="U7" s="23" t="s">
        <v>52</v>
      </c>
      <c r="V7" s="305" t="s">
        <v>2</v>
      </c>
      <c r="W7" s="306"/>
      <c r="X7" s="307"/>
      <c r="Y7" s="23" t="s">
        <v>0</v>
      </c>
      <c r="Z7" s="34"/>
    </row>
    <row r="8" spans="1:27" ht="21" x14ac:dyDescent="0.25">
      <c r="A8" s="44" t="s">
        <v>101</v>
      </c>
      <c r="B8" s="44" t="s">
        <v>115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290</v>
      </c>
      <c r="W8" s="23" t="s">
        <v>56</v>
      </c>
      <c r="X8" s="23" t="s">
        <v>6</v>
      </c>
      <c r="Y8" s="26" t="s">
        <v>3</v>
      </c>
      <c r="Z8" s="36" t="s">
        <v>57</v>
      </c>
    </row>
    <row r="9" spans="1:27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/>
      <c r="X9" s="29" t="s">
        <v>43</v>
      </c>
      <c r="Y9" s="29" t="s">
        <v>4</v>
      </c>
      <c r="Z9" s="35"/>
    </row>
    <row r="10" spans="1:27" ht="27.6" x14ac:dyDescent="0.25">
      <c r="A10" s="39"/>
      <c r="B10" s="39"/>
      <c r="C10" s="90" t="s">
        <v>74</v>
      </c>
      <c r="D10" s="274" t="s">
        <v>310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39"/>
      <c r="Z10" s="91"/>
    </row>
    <row r="11" spans="1:27" ht="139.5" customHeight="1" x14ac:dyDescent="0.35">
      <c r="A11" s="147" t="s">
        <v>208</v>
      </c>
      <c r="B11" s="148" t="s">
        <v>114</v>
      </c>
      <c r="C11" s="215" t="s">
        <v>209</v>
      </c>
      <c r="D11" s="218">
        <v>43374</v>
      </c>
      <c r="E11" s="150" t="s">
        <v>258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9">
        <v>2000</v>
      </c>
      <c r="X11" s="155">
        <f>SUM(V11:W11)</f>
        <v>4350.82</v>
      </c>
      <c r="Y11" s="155">
        <f>J11+U11-X11</f>
        <v>10508.18</v>
      </c>
      <c r="Z11" s="92"/>
    </row>
    <row r="12" spans="1:27" ht="17.399999999999999" x14ac:dyDescent="0.3">
      <c r="A12" s="173"/>
      <c r="B12" s="173"/>
      <c r="C12" s="173"/>
      <c r="D12" s="173"/>
      <c r="E12" s="173"/>
      <c r="F12" s="174"/>
      <c r="G12" s="173"/>
      <c r="H12" s="175"/>
      <c r="I12" s="175"/>
      <c r="J12" s="175"/>
      <c r="K12" s="176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</row>
    <row r="13" spans="1:27" ht="41.25" customHeight="1" thickBot="1" x14ac:dyDescent="0.35">
      <c r="A13" s="285"/>
      <c r="B13" s="285"/>
      <c r="C13" s="285"/>
      <c r="D13" s="285"/>
      <c r="E13" s="285"/>
      <c r="F13" s="285"/>
      <c r="G13" s="286"/>
      <c r="H13" s="160">
        <f t="shared" ref="H13:Y13" si="3">SUM(H11:H12)</f>
        <v>14859</v>
      </c>
      <c r="I13" s="160">
        <f t="shared" si="3"/>
        <v>0</v>
      </c>
      <c r="J13" s="160">
        <f t="shared" si="3"/>
        <v>14859</v>
      </c>
      <c r="K13" s="161">
        <f t="shared" si="3"/>
        <v>0</v>
      </c>
      <c r="L13" s="161">
        <f t="shared" si="3"/>
        <v>14859</v>
      </c>
      <c r="M13" s="161">
        <f t="shared" si="3"/>
        <v>7641.91</v>
      </c>
      <c r="N13" s="161">
        <f t="shared" si="3"/>
        <v>7217.09</v>
      </c>
      <c r="O13" s="161">
        <f t="shared" si="3"/>
        <v>0.21360000000000001</v>
      </c>
      <c r="P13" s="161">
        <f t="shared" si="3"/>
        <v>1541.5704240000002</v>
      </c>
      <c r="Q13" s="161">
        <f t="shared" si="3"/>
        <v>809.25</v>
      </c>
      <c r="R13" s="161">
        <f t="shared" si="3"/>
        <v>2350.8204240000005</v>
      </c>
      <c r="S13" s="161">
        <f t="shared" si="3"/>
        <v>0</v>
      </c>
      <c r="T13" s="161">
        <f t="shared" si="3"/>
        <v>2350.8200000000002</v>
      </c>
      <c r="U13" s="160">
        <f t="shared" si="3"/>
        <v>0</v>
      </c>
      <c r="V13" s="160">
        <f t="shared" si="3"/>
        <v>2350.8200000000002</v>
      </c>
      <c r="W13" s="160">
        <f t="shared" si="3"/>
        <v>2000</v>
      </c>
      <c r="X13" s="160">
        <f t="shared" si="3"/>
        <v>4350.82</v>
      </c>
      <c r="Y13" s="160">
        <f t="shared" si="3"/>
        <v>10508.18</v>
      </c>
    </row>
    <row r="14" spans="1:27" ht="13.8" thickTop="1" x14ac:dyDescent="0.25"/>
  </sheetData>
  <mergeCells count="7">
    <mergeCell ref="A13:G13"/>
    <mergeCell ref="A1:AA1"/>
    <mergeCell ref="A2:AA2"/>
    <mergeCell ref="A3:AA3"/>
    <mergeCell ref="H7:J7"/>
    <mergeCell ref="M7:R7"/>
    <mergeCell ref="V7:X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2023-06-30T16:26:24Z</cp:lastPrinted>
  <dcterms:created xsi:type="dcterms:W3CDTF">2000-05-05T04:08:27Z</dcterms:created>
  <dcterms:modified xsi:type="dcterms:W3CDTF">2024-11-15T17:49:21Z</dcterms:modified>
</cp:coreProperties>
</file>