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Quincenal\"/>
    </mc:Choice>
  </mc:AlternateContent>
  <bookViews>
    <workbookView xWindow="0" yWindow="0" windowWidth="23040" windowHeight="9072" tabRatio="772" firstSheet="4" activeTab="1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SINDICO!$1:$26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33" l="1"/>
  <c r="H36" i="135"/>
  <c r="J8" i="121"/>
  <c r="I8" i="121"/>
  <c r="J8" i="119"/>
  <c r="J16" i="119"/>
  <c r="I16" i="119"/>
  <c r="L37" i="120"/>
  <c r="M37" i="120" s="1"/>
  <c r="K37" i="120"/>
  <c r="L13" i="133"/>
  <c r="M13" i="133" s="1"/>
  <c r="K13" i="133"/>
  <c r="H13" i="133"/>
  <c r="J14" i="123"/>
  <c r="I14" i="123"/>
  <c r="J11" i="123"/>
  <c r="I11" i="123"/>
  <c r="L36" i="120"/>
  <c r="M36" i="120" s="1"/>
  <c r="K36" i="120"/>
  <c r="L12" i="133"/>
  <c r="M12" i="133" s="1"/>
  <c r="K12" i="133"/>
  <c r="L12" i="121"/>
  <c r="M12" i="121" s="1"/>
  <c r="K12" i="121"/>
  <c r="T37" i="120" l="1"/>
  <c r="R37" i="120"/>
  <c r="P37" i="120"/>
  <c r="N37" i="120"/>
  <c r="O37" i="120" s="1"/>
  <c r="T13" i="133"/>
  <c r="R13" i="133"/>
  <c r="P13" i="133"/>
  <c r="N13" i="133"/>
  <c r="O13" i="133" s="1"/>
  <c r="Q13" i="133" s="1"/>
  <c r="S13" i="133" s="1"/>
  <c r="U13" i="133" s="1"/>
  <c r="T36" i="120"/>
  <c r="R36" i="120"/>
  <c r="P36" i="120"/>
  <c r="N36" i="120"/>
  <c r="O36" i="120" s="1"/>
  <c r="T12" i="133"/>
  <c r="R12" i="133"/>
  <c r="P12" i="133"/>
  <c r="N12" i="133"/>
  <c r="O12" i="133" s="1"/>
  <c r="T12" i="121"/>
  <c r="P12" i="121"/>
  <c r="R12" i="121"/>
  <c r="N12" i="121"/>
  <c r="O12" i="121" s="1"/>
  <c r="J35" i="135"/>
  <c r="K35" i="135" s="1"/>
  <c r="I35" i="135"/>
  <c r="J34" i="135"/>
  <c r="K34" i="135" s="1"/>
  <c r="R34" i="135" s="1"/>
  <c r="I34" i="135"/>
  <c r="J33" i="135"/>
  <c r="K33" i="135" s="1"/>
  <c r="I33" i="135"/>
  <c r="J32" i="135"/>
  <c r="K32" i="135" s="1"/>
  <c r="I32" i="135"/>
  <c r="J31" i="135"/>
  <c r="K31" i="135" s="1"/>
  <c r="R31" i="135" s="1"/>
  <c r="I31" i="135"/>
  <c r="J30" i="135"/>
  <c r="K30" i="135" s="1"/>
  <c r="R30" i="135" s="1"/>
  <c r="I30" i="135"/>
  <c r="J29" i="135"/>
  <c r="K29" i="135" s="1"/>
  <c r="I29" i="135"/>
  <c r="J28" i="135"/>
  <c r="K28" i="135" s="1"/>
  <c r="I28" i="135"/>
  <c r="J27" i="135"/>
  <c r="K27" i="135" s="1"/>
  <c r="R27" i="135" s="1"/>
  <c r="I27" i="135"/>
  <c r="J26" i="135"/>
  <c r="K26" i="135" s="1"/>
  <c r="R26" i="135" s="1"/>
  <c r="I26" i="135"/>
  <c r="J18" i="135"/>
  <c r="K18" i="135" s="1"/>
  <c r="I18" i="135"/>
  <c r="J17" i="135"/>
  <c r="K17" i="135" s="1"/>
  <c r="I17" i="135"/>
  <c r="J16" i="135"/>
  <c r="K16" i="135" s="1"/>
  <c r="R16" i="135" s="1"/>
  <c r="I16" i="135"/>
  <c r="J15" i="135"/>
  <c r="K15" i="135" s="1"/>
  <c r="I15" i="135"/>
  <c r="J14" i="135"/>
  <c r="K14" i="135" s="1"/>
  <c r="I14" i="135"/>
  <c r="L18" i="123"/>
  <c r="M18" i="123" s="1"/>
  <c r="K18" i="123"/>
  <c r="L13" i="123"/>
  <c r="M13" i="123" s="1"/>
  <c r="K13" i="123"/>
  <c r="H13" i="123"/>
  <c r="J27" i="121"/>
  <c r="I27" i="121"/>
  <c r="W28" i="121"/>
  <c r="X28" i="121" s="1"/>
  <c r="L28" i="121"/>
  <c r="M28" i="121" s="1"/>
  <c r="K28" i="121"/>
  <c r="H28" i="121"/>
  <c r="L21" i="121"/>
  <c r="M21" i="121" s="1"/>
  <c r="K21" i="121"/>
  <c r="J20" i="121"/>
  <c r="I20" i="121"/>
  <c r="L33" i="121"/>
  <c r="M33" i="121" s="1"/>
  <c r="K33" i="121"/>
  <c r="A3" i="136"/>
  <c r="B24" i="123"/>
  <c r="W20" i="119"/>
  <c r="X20" i="119" s="1"/>
  <c r="X19" i="119" s="1"/>
  <c r="L20" i="119"/>
  <c r="M20" i="119" s="1"/>
  <c r="K20" i="119"/>
  <c r="J19" i="119"/>
  <c r="I19" i="119"/>
  <c r="L18" i="119"/>
  <c r="M18" i="119" s="1"/>
  <c r="K18" i="119"/>
  <c r="Q12" i="133" l="1"/>
  <c r="S12" i="133" s="1"/>
  <c r="U12" i="133" s="1"/>
  <c r="Q37" i="120"/>
  <c r="S37" i="120" s="1"/>
  <c r="U37" i="120" s="1"/>
  <c r="Q36" i="120"/>
  <c r="W37" i="120"/>
  <c r="X37" i="120" s="1"/>
  <c r="V37" i="120"/>
  <c r="S36" i="120"/>
  <c r="U36" i="120" s="1"/>
  <c r="W13" i="133"/>
  <c r="X13" i="133" s="1"/>
  <c r="V13" i="133"/>
  <c r="W36" i="120"/>
  <c r="X36" i="120" s="1"/>
  <c r="V36" i="120"/>
  <c r="W12" i="133"/>
  <c r="X12" i="133" s="1"/>
  <c r="V12" i="133"/>
  <c r="Q12" i="121"/>
  <c r="S12" i="121" s="1"/>
  <c r="U12" i="121" s="1"/>
  <c r="P31" i="135"/>
  <c r="L27" i="135"/>
  <c r="M27" i="135" s="1"/>
  <c r="L31" i="135"/>
  <c r="M31" i="135" s="1"/>
  <c r="P27" i="135"/>
  <c r="P28" i="135"/>
  <c r="L28" i="135"/>
  <c r="M28" i="135" s="1"/>
  <c r="R28" i="135"/>
  <c r="N28" i="135"/>
  <c r="P32" i="135"/>
  <c r="L32" i="135"/>
  <c r="M32" i="135" s="1"/>
  <c r="R32" i="135"/>
  <c r="N32" i="135"/>
  <c r="P29" i="135"/>
  <c r="L29" i="135"/>
  <c r="M29" i="135" s="1"/>
  <c r="R29" i="135"/>
  <c r="N29" i="135"/>
  <c r="P33" i="135"/>
  <c r="L33" i="135"/>
  <c r="M33" i="135" s="1"/>
  <c r="N33" i="135"/>
  <c r="R33" i="135"/>
  <c r="R35" i="135"/>
  <c r="N35" i="135"/>
  <c r="L35" i="135"/>
  <c r="M35" i="135" s="1"/>
  <c r="P35" i="135"/>
  <c r="L26" i="135"/>
  <c r="M26" i="135" s="1"/>
  <c r="P26" i="135"/>
  <c r="L30" i="135"/>
  <c r="M30" i="135" s="1"/>
  <c r="P30" i="135"/>
  <c r="L34" i="135"/>
  <c r="M34" i="135" s="1"/>
  <c r="P34" i="135"/>
  <c r="N27" i="135"/>
  <c r="N31" i="135"/>
  <c r="N26" i="135"/>
  <c r="N30" i="135"/>
  <c r="N34" i="135"/>
  <c r="R18" i="135"/>
  <c r="N18" i="135"/>
  <c r="L18" i="135"/>
  <c r="M18" i="135" s="1"/>
  <c r="O18" i="135" s="1"/>
  <c r="P18" i="135"/>
  <c r="P15" i="135"/>
  <c r="L15" i="135"/>
  <c r="M15" i="135" s="1"/>
  <c r="R15" i="135"/>
  <c r="N15" i="135"/>
  <c r="P14" i="135"/>
  <c r="L14" i="135"/>
  <c r="M14" i="135" s="1"/>
  <c r="R14" i="135"/>
  <c r="N14" i="135"/>
  <c r="P17" i="135"/>
  <c r="R17" i="135"/>
  <c r="N17" i="135"/>
  <c r="L17" i="135"/>
  <c r="M17" i="135" s="1"/>
  <c r="L16" i="135"/>
  <c r="M16" i="135" s="1"/>
  <c r="P16" i="135"/>
  <c r="N16" i="135"/>
  <c r="T18" i="123"/>
  <c r="P18" i="123"/>
  <c r="R18" i="123"/>
  <c r="N18" i="123"/>
  <c r="O18" i="123" s="1"/>
  <c r="R13" i="123"/>
  <c r="N13" i="123"/>
  <c r="O13" i="123" s="1"/>
  <c r="T13" i="123"/>
  <c r="P13" i="123"/>
  <c r="T28" i="121"/>
  <c r="P28" i="121"/>
  <c r="R28" i="121"/>
  <c r="N28" i="121"/>
  <c r="O28" i="121" s="1"/>
  <c r="Q28" i="121" s="1"/>
  <c r="T21" i="121"/>
  <c r="P21" i="121"/>
  <c r="R21" i="121"/>
  <c r="N21" i="121"/>
  <c r="O21" i="121" s="1"/>
  <c r="N33" i="121"/>
  <c r="O33" i="121" s="1"/>
  <c r="T33" i="121"/>
  <c r="P33" i="121"/>
  <c r="R33" i="121"/>
  <c r="W19" i="119"/>
  <c r="P20" i="119"/>
  <c r="R20" i="119"/>
  <c r="N20" i="119"/>
  <c r="O20" i="119" s="1"/>
  <c r="Q20" i="119" s="1"/>
  <c r="S20" i="119" s="1"/>
  <c r="T20" i="119"/>
  <c r="K19" i="119"/>
  <c r="T18" i="119"/>
  <c r="P18" i="119"/>
  <c r="R18" i="119"/>
  <c r="N18" i="119"/>
  <c r="O18" i="119" s="1"/>
  <c r="Y13" i="133" l="1"/>
  <c r="O34" i="135"/>
  <c r="Q34" i="135" s="1"/>
  <c r="S34" i="135" s="1"/>
  <c r="O17" i="135"/>
  <c r="Y37" i="120"/>
  <c r="Y12" i="133"/>
  <c r="Y36" i="120"/>
  <c r="Q17" i="135"/>
  <c r="S17" i="135" s="1"/>
  <c r="O35" i="135"/>
  <c r="O31" i="135"/>
  <c r="Q31" i="135" s="1"/>
  <c r="S31" i="135" s="1"/>
  <c r="U31" i="135" s="1"/>
  <c r="V31" i="135" s="1"/>
  <c r="W12" i="121"/>
  <c r="X12" i="121" s="1"/>
  <c r="V12" i="121"/>
  <c r="O14" i="135"/>
  <c r="Q14" i="135" s="1"/>
  <c r="S14" i="135" s="1"/>
  <c r="T14" i="135" s="1"/>
  <c r="O29" i="135"/>
  <c r="Q29" i="135" s="1"/>
  <c r="S29" i="135" s="1"/>
  <c r="U29" i="135" s="1"/>
  <c r="V29" i="135" s="1"/>
  <c r="O32" i="135"/>
  <c r="Q32" i="135" s="1"/>
  <c r="S32" i="135" s="1"/>
  <c r="T32" i="135" s="1"/>
  <c r="O28" i="135"/>
  <c r="Q28" i="135" s="1"/>
  <c r="S28" i="135" s="1"/>
  <c r="T28" i="135" s="1"/>
  <c r="Q18" i="135"/>
  <c r="S18" i="135" s="1"/>
  <c r="T18" i="135" s="1"/>
  <c r="Q35" i="135"/>
  <c r="S35" i="135" s="1"/>
  <c r="U35" i="135" s="1"/>
  <c r="V35" i="135" s="1"/>
  <c r="O16" i="135"/>
  <c r="Q16" i="135" s="1"/>
  <c r="S16" i="135" s="1"/>
  <c r="O15" i="135"/>
  <c r="Q15" i="135" s="1"/>
  <c r="S15" i="135" s="1"/>
  <c r="U15" i="135" s="1"/>
  <c r="V15" i="135" s="1"/>
  <c r="O33" i="135"/>
  <c r="Q33" i="135" s="1"/>
  <c r="S33" i="135" s="1"/>
  <c r="U33" i="135" s="1"/>
  <c r="V33" i="135" s="1"/>
  <c r="T35" i="135"/>
  <c r="O26" i="135"/>
  <c r="Q26" i="135" s="1"/>
  <c r="S26" i="135" s="1"/>
  <c r="U34" i="135"/>
  <c r="V34" i="135" s="1"/>
  <c r="T34" i="135"/>
  <c r="O30" i="135"/>
  <c r="Q30" i="135" s="1"/>
  <c r="S30" i="135" s="1"/>
  <c r="O27" i="135"/>
  <c r="Q27" i="135" s="1"/>
  <c r="S27" i="135" s="1"/>
  <c r="U17" i="135"/>
  <c r="V17" i="135" s="1"/>
  <c r="T17" i="135"/>
  <c r="U14" i="135"/>
  <c r="V14" i="135" s="1"/>
  <c r="Q13" i="123"/>
  <c r="S13" i="123" s="1"/>
  <c r="U13" i="123" s="1"/>
  <c r="W13" i="123" s="1"/>
  <c r="X13" i="123" s="1"/>
  <c r="Q18" i="123"/>
  <c r="S18" i="123" s="1"/>
  <c r="U18" i="123" s="1"/>
  <c r="V18" i="123" s="1"/>
  <c r="Q21" i="121"/>
  <c r="S21" i="121" s="1"/>
  <c r="U21" i="121" s="1"/>
  <c r="V21" i="121" s="1"/>
  <c r="S28" i="121"/>
  <c r="U28" i="121" s="1"/>
  <c r="V28" i="121" s="1"/>
  <c r="Q33" i="121"/>
  <c r="S33" i="121" s="1"/>
  <c r="U33" i="121" s="1"/>
  <c r="V33" i="121" s="1"/>
  <c r="U20" i="119"/>
  <c r="V19" i="119" s="1"/>
  <c r="Q18" i="119"/>
  <c r="S18" i="119"/>
  <c r="U18" i="119" s="1"/>
  <c r="W18" i="119" s="1"/>
  <c r="X18" i="119" s="1"/>
  <c r="T31" i="135" l="1"/>
  <c r="U32" i="135"/>
  <c r="V32" i="135" s="1"/>
  <c r="U28" i="135"/>
  <c r="V28" i="135" s="1"/>
  <c r="T29" i="135"/>
  <c r="W29" i="135" s="1"/>
  <c r="Y28" i="121"/>
  <c r="U18" i="135"/>
  <c r="V18" i="135" s="1"/>
  <c r="W18" i="135" s="1"/>
  <c r="T33" i="135"/>
  <c r="T15" i="135"/>
  <c r="W15" i="135" s="1"/>
  <c r="Y12" i="121"/>
  <c r="W34" i="135"/>
  <c r="W31" i="135"/>
  <c r="W33" i="135"/>
  <c r="U26" i="135"/>
  <c r="V26" i="135" s="1"/>
  <c r="T26" i="135"/>
  <c r="W28" i="135"/>
  <c r="U30" i="135"/>
  <c r="V30" i="135" s="1"/>
  <c r="T30" i="135"/>
  <c r="U27" i="135"/>
  <c r="V27" i="135" s="1"/>
  <c r="T27" i="135"/>
  <c r="W32" i="135"/>
  <c r="W35" i="135"/>
  <c r="W17" i="135"/>
  <c r="T16" i="135"/>
  <c r="U16" i="135"/>
  <c r="V16" i="135" s="1"/>
  <c r="W14" i="135"/>
  <c r="V13" i="123"/>
  <c r="W18" i="123"/>
  <c r="X18" i="123" s="1"/>
  <c r="Y18" i="123" s="1"/>
  <c r="Y13" i="123"/>
  <c r="W21" i="121"/>
  <c r="X21" i="121" s="1"/>
  <c r="Y21" i="121" s="1"/>
  <c r="W33" i="121"/>
  <c r="X33" i="121" s="1"/>
  <c r="Y33" i="121" s="1"/>
  <c r="Y20" i="119"/>
  <c r="Y19" i="119" s="1"/>
  <c r="V18" i="119"/>
  <c r="Y18" i="119" s="1"/>
  <c r="W27" i="135" l="1"/>
  <c r="W26" i="135"/>
  <c r="W30" i="135"/>
  <c r="W16" i="135"/>
  <c r="J13" i="135"/>
  <c r="K13" i="135" s="1"/>
  <c r="I13" i="135"/>
  <c r="J11" i="135"/>
  <c r="K11" i="135" s="1"/>
  <c r="I11" i="135"/>
  <c r="L17" i="123"/>
  <c r="M17" i="123" s="1"/>
  <c r="K17" i="123"/>
  <c r="L11" i="121"/>
  <c r="M11" i="121" s="1"/>
  <c r="K11" i="121"/>
  <c r="R13" i="135" l="1"/>
  <c r="N13" i="135"/>
  <c r="P13" i="135"/>
  <c r="L13" i="135"/>
  <c r="M13" i="135" s="1"/>
  <c r="R11" i="135"/>
  <c r="N11" i="135"/>
  <c r="P11" i="135"/>
  <c r="L11" i="135"/>
  <c r="M11" i="135" s="1"/>
  <c r="P17" i="123"/>
  <c r="R17" i="123"/>
  <c r="N17" i="123"/>
  <c r="O17" i="123" s="1"/>
  <c r="T17" i="123"/>
  <c r="T11" i="121"/>
  <c r="P11" i="121"/>
  <c r="R11" i="121"/>
  <c r="N11" i="121"/>
  <c r="O11" i="121" s="1"/>
  <c r="O13" i="135" l="1"/>
  <c r="Q13" i="135" s="1"/>
  <c r="S13" i="135" s="1"/>
  <c r="O11" i="135"/>
  <c r="Q11" i="135" s="1"/>
  <c r="S11" i="135" s="1"/>
  <c r="T11" i="135" s="1"/>
  <c r="Q11" i="121"/>
  <c r="S11" i="121" s="1"/>
  <c r="U11" i="121" s="1"/>
  <c r="W11" i="121" s="1"/>
  <c r="X11" i="121" s="1"/>
  <c r="Q17" i="123"/>
  <c r="S17" i="123" s="1"/>
  <c r="U17" i="123" s="1"/>
  <c r="T13" i="135" l="1"/>
  <c r="U13" i="135"/>
  <c r="V13" i="135" s="1"/>
  <c r="W13" i="135" s="1"/>
  <c r="U11" i="135"/>
  <c r="V11" i="135" s="1"/>
  <c r="W11" i="135" s="1"/>
  <c r="V11" i="121"/>
  <c r="Y11" i="121" s="1"/>
  <c r="V17" i="123"/>
  <c r="W17" i="123"/>
  <c r="X17" i="123" s="1"/>
  <c r="Y17" i="123" l="1"/>
  <c r="A3" i="132"/>
  <c r="A3" i="133" s="1"/>
  <c r="A3" i="131"/>
  <c r="A3" i="118"/>
  <c r="A3" i="123"/>
  <c r="A3" i="121"/>
  <c r="B25" i="121" s="1"/>
  <c r="B31" i="120"/>
  <c r="A3" i="120"/>
  <c r="B3" i="134"/>
  <c r="L14" i="132" l="1"/>
  <c r="M14" i="132" s="1"/>
  <c r="K14" i="132"/>
  <c r="W28" i="123"/>
  <c r="X28" i="123" s="1"/>
  <c r="L28" i="123"/>
  <c r="M28" i="123" s="1"/>
  <c r="K28" i="123"/>
  <c r="L13" i="132"/>
  <c r="M13" i="132" s="1"/>
  <c r="K13" i="132"/>
  <c r="L38" i="120"/>
  <c r="M38" i="120" s="1"/>
  <c r="K38" i="120"/>
  <c r="J26" i="123"/>
  <c r="I26" i="123"/>
  <c r="T14" i="132" l="1"/>
  <c r="P14" i="132"/>
  <c r="R14" i="132"/>
  <c r="N14" i="132"/>
  <c r="O14" i="132" s="1"/>
  <c r="R28" i="123"/>
  <c r="N28" i="123"/>
  <c r="O28" i="123" s="1"/>
  <c r="T28" i="123"/>
  <c r="P28" i="123"/>
  <c r="T13" i="132"/>
  <c r="P13" i="132"/>
  <c r="R13" i="132"/>
  <c r="N13" i="132"/>
  <c r="O13" i="132" s="1"/>
  <c r="T38" i="120"/>
  <c r="P38" i="120"/>
  <c r="R38" i="120"/>
  <c r="N38" i="120"/>
  <c r="O38" i="120" s="1"/>
  <c r="Q28" i="123" l="1"/>
  <c r="S28" i="123" s="1"/>
  <c r="U28" i="123" s="1"/>
  <c r="Q14" i="132"/>
  <c r="S14" i="132" s="1"/>
  <c r="U14" i="132" s="1"/>
  <c r="V14" i="132" s="1"/>
  <c r="Q38" i="120"/>
  <c r="S38" i="120" s="1"/>
  <c r="U38" i="120" s="1"/>
  <c r="V38" i="120" s="1"/>
  <c r="Q13" i="132"/>
  <c r="S13" i="132" s="1"/>
  <c r="U13" i="132" s="1"/>
  <c r="V13" i="132" s="1"/>
  <c r="V28" i="123" l="1"/>
  <c r="Y28" i="123" s="1"/>
  <c r="W14" i="132"/>
  <c r="X14" i="132" s="1"/>
  <c r="Y14" i="132" s="1"/>
  <c r="W38" i="120"/>
  <c r="X38" i="120" s="1"/>
  <c r="Y38" i="120" s="1"/>
  <c r="W13" i="132"/>
  <c r="X13" i="132" s="1"/>
  <c r="Y13" i="132" l="1"/>
  <c r="L32" i="123"/>
  <c r="M32" i="123" s="1"/>
  <c r="T32" i="123" s="1"/>
  <c r="K32" i="123"/>
  <c r="L14" i="121"/>
  <c r="M14" i="121" s="1"/>
  <c r="K14" i="121"/>
  <c r="I29" i="123"/>
  <c r="N32" i="123" l="1"/>
  <c r="O32" i="123" s="1"/>
  <c r="R32" i="123"/>
  <c r="P32" i="123"/>
  <c r="T14" i="121"/>
  <c r="P14" i="121"/>
  <c r="R14" i="121"/>
  <c r="N14" i="121"/>
  <c r="O14" i="121" s="1"/>
  <c r="J29" i="123"/>
  <c r="J8" i="123"/>
  <c r="I8" i="123"/>
  <c r="Q14" i="121" l="1"/>
  <c r="S14" i="121" s="1"/>
  <c r="U14" i="121" s="1"/>
  <c r="V14" i="121" s="1"/>
  <c r="Q32" i="123"/>
  <c r="S32" i="123" s="1"/>
  <c r="U32" i="123" s="1"/>
  <c r="V32" i="123" s="1"/>
  <c r="W14" i="121" l="1"/>
  <c r="X14" i="121" s="1"/>
  <c r="Y14" i="121" s="1"/>
  <c r="W32" i="123"/>
  <c r="X32" i="123" s="1"/>
  <c r="Y32" i="123" s="1"/>
  <c r="L30" i="123"/>
  <c r="K30" i="123"/>
  <c r="L40" i="120"/>
  <c r="M40" i="120" s="1"/>
  <c r="K40" i="120"/>
  <c r="M30" i="123" l="1"/>
  <c r="T30" i="123" s="1"/>
  <c r="T40" i="120"/>
  <c r="P40" i="120"/>
  <c r="R40" i="120"/>
  <c r="N40" i="120"/>
  <c r="O40" i="120" s="1"/>
  <c r="R30" i="123" l="1"/>
  <c r="Q40" i="120"/>
  <c r="S40" i="120" s="1"/>
  <c r="U40" i="120" s="1"/>
  <c r="N30" i="123"/>
  <c r="P30" i="123"/>
  <c r="W40" i="120" l="1"/>
  <c r="X40" i="120" s="1"/>
  <c r="V40" i="120"/>
  <c r="O30" i="123"/>
  <c r="L27" i="123"/>
  <c r="K27" i="123"/>
  <c r="K26" i="123" s="1"/>
  <c r="L33" i="120"/>
  <c r="M33" i="120" s="1"/>
  <c r="K33" i="120"/>
  <c r="Y40" i="120" l="1"/>
  <c r="M27" i="123"/>
  <c r="M26" i="123" s="1"/>
  <c r="L26" i="123"/>
  <c r="Q30" i="123"/>
  <c r="R33" i="120"/>
  <c r="N33" i="120"/>
  <c r="O33" i="120" s="1"/>
  <c r="T33" i="120"/>
  <c r="P33" i="120"/>
  <c r="R27" i="123" l="1"/>
  <c r="R26" i="123" s="1"/>
  <c r="T27" i="123"/>
  <c r="T26" i="123" s="1"/>
  <c r="S30" i="123"/>
  <c r="N27" i="123"/>
  <c r="P27" i="123"/>
  <c r="P26" i="123" s="1"/>
  <c r="Q33" i="120"/>
  <c r="S33" i="120" s="1"/>
  <c r="U33" i="120" s="1"/>
  <c r="V33" i="120" s="1"/>
  <c r="O27" i="123" l="1"/>
  <c r="N26" i="123"/>
  <c r="U30" i="123"/>
  <c r="V30" i="123" s="1"/>
  <c r="W33" i="120"/>
  <c r="X33" i="120" s="1"/>
  <c r="Y33" i="120" s="1"/>
  <c r="L14" i="133"/>
  <c r="M14" i="133" s="1"/>
  <c r="T14" i="133" s="1"/>
  <c r="K14" i="133"/>
  <c r="H14" i="133"/>
  <c r="L19" i="121"/>
  <c r="M19" i="121" s="1"/>
  <c r="K19" i="121"/>
  <c r="W30" i="123" l="1"/>
  <c r="O26" i="123"/>
  <c r="Q27" i="123"/>
  <c r="N14" i="133"/>
  <c r="O14" i="133" s="1"/>
  <c r="R14" i="133"/>
  <c r="P14" i="133"/>
  <c r="P19" i="121"/>
  <c r="R19" i="121"/>
  <c r="N19" i="121"/>
  <c r="O19" i="121" s="1"/>
  <c r="T19" i="121"/>
  <c r="S27" i="123" l="1"/>
  <c r="Q26" i="123"/>
  <c r="X30" i="123"/>
  <c r="Q19" i="121"/>
  <c r="S19" i="121" s="1"/>
  <c r="U19" i="121" s="1"/>
  <c r="V19" i="121" s="1"/>
  <c r="Q14" i="133"/>
  <c r="S14" i="133" s="1"/>
  <c r="U14" i="133" s="1"/>
  <c r="W14" i="133" l="1"/>
  <c r="X14" i="133" s="1"/>
  <c r="V14" i="133"/>
  <c r="W19" i="121"/>
  <c r="X19" i="121" s="1"/>
  <c r="Y19" i="121" s="1"/>
  <c r="U27" i="123"/>
  <c r="V27" i="123" s="1"/>
  <c r="S26" i="123"/>
  <c r="Y30" i="123"/>
  <c r="Y14" i="133" l="1"/>
  <c r="W27" i="123"/>
  <c r="W26" i="123" s="1"/>
  <c r="U26" i="123"/>
  <c r="V26" i="123"/>
  <c r="X27" i="123" l="1"/>
  <c r="X26" i="123" s="1"/>
  <c r="K34" i="120"/>
  <c r="L34" i="120"/>
  <c r="M34" i="120" s="1"/>
  <c r="L15" i="120"/>
  <c r="M15" i="120" s="1"/>
  <c r="K15" i="120"/>
  <c r="L14" i="120"/>
  <c r="M14" i="120" s="1"/>
  <c r="K14" i="120"/>
  <c r="L10" i="120"/>
  <c r="M10" i="120" s="1"/>
  <c r="K10" i="120"/>
  <c r="L32" i="121"/>
  <c r="M32" i="121" s="1"/>
  <c r="K32" i="121"/>
  <c r="L15" i="121"/>
  <c r="M15" i="121" s="1"/>
  <c r="K15" i="121"/>
  <c r="L31" i="123"/>
  <c r="K31" i="123"/>
  <c r="K29" i="123" s="1"/>
  <c r="L10" i="121"/>
  <c r="M10" i="121" s="1"/>
  <c r="K10" i="121"/>
  <c r="L9" i="121"/>
  <c r="M9" i="121" s="1"/>
  <c r="K9" i="121"/>
  <c r="L10" i="132"/>
  <c r="M10" i="132" s="1"/>
  <c r="K10" i="132"/>
  <c r="L12" i="132"/>
  <c r="M12" i="132" s="1"/>
  <c r="K12" i="132"/>
  <c r="J9" i="135"/>
  <c r="K9" i="135" s="1"/>
  <c r="I9" i="135"/>
  <c r="M31" i="123" l="1"/>
  <c r="M29" i="123" s="1"/>
  <c r="L29" i="123"/>
  <c r="Y27" i="123"/>
  <c r="Y26" i="123" s="1"/>
  <c r="P34" i="120"/>
  <c r="T34" i="120"/>
  <c r="N34" i="120"/>
  <c r="O34" i="120" s="1"/>
  <c r="R34" i="120"/>
  <c r="R14" i="120"/>
  <c r="N14" i="120"/>
  <c r="O14" i="120" s="1"/>
  <c r="T14" i="120"/>
  <c r="P14" i="120"/>
  <c r="T15" i="120"/>
  <c r="P15" i="120"/>
  <c r="R15" i="120"/>
  <c r="N15" i="120"/>
  <c r="O15" i="120" s="1"/>
  <c r="T10" i="120"/>
  <c r="N10" i="120"/>
  <c r="O10" i="120" s="1"/>
  <c r="R10" i="120"/>
  <c r="P10" i="120"/>
  <c r="T32" i="121"/>
  <c r="P32" i="121"/>
  <c r="R32" i="121"/>
  <c r="N32" i="121"/>
  <c r="O32" i="121" s="1"/>
  <c r="T15" i="121"/>
  <c r="P15" i="121"/>
  <c r="R15" i="121"/>
  <c r="N15" i="121"/>
  <c r="O15" i="121" s="1"/>
  <c r="R10" i="121"/>
  <c r="N10" i="121"/>
  <c r="O10" i="121" s="1"/>
  <c r="T10" i="121"/>
  <c r="P10" i="121"/>
  <c r="R9" i="121"/>
  <c r="T9" i="121"/>
  <c r="P9" i="121"/>
  <c r="N9" i="121"/>
  <c r="O9" i="121" s="1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T31" i="123" l="1"/>
  <c r="T29" i="123" s="1"/>
  <c r="R31" i="123"/>
  <c r="R29" i="123" s="1"/>
  <c r="Q15" i="121"/>
  <c r="S15" i="121" s="1"/>
  <c r="U15" i="121" s="1"/>
  <c r="N31" i="123"/>
  <c r="P31" i="123"/>
  <c r="P29" i="123" s="1"/>
  <c r="Q9" i="121"/>
  <c r="S9" i="121" s="1"/>
  <c r="U9" i="121" s="1"/>
  <c r="Q10" i="121"/>
  <c r="S10" i="121" s="1"/>
  <c r="U10" i="121" s="1"/>
  <c r="Q34" i="120"/>
  <c r="S34" i="120" s="1"/>
  <c r="U34" i="120" s="1"/>
  <c r="Q14" i="120"/>
  <c r="S14" i="120" s="1"/>
  <c r="U14" i="120" s="1"/>
  <c r="V14" i="120" s="1"/>
  <c r="Q15" i="120"/>
  <c r="S15" i="120" s="1"/>
  <c r="U15" i="120" s="1"/>
  <c r="V15" i="120" s="1"/>
  <c r="Q32" i="121"/>
  <c r="S32" i="121" s="1"/>
  <c r="U32" i="121" s="1"/>
  <c r="Q10" i="120"/>
  <c r="S10" i="120" s="1"/>
  <c r="U10" i="120" s="1"/>
  <c r="V10" i="120" s="1"/>
  <c r="O9" i="135"/>
  <c r="Q9" i="135" s="1"/>
  <c r="S9" i="135" s="1"/>
  <c r="T9" i="135" s="1"/>
  <c r="Q12" i="132"/>
  <c r="S12" i="132" s="1"/>
  <c r="U12" i="132" s="1"/>
  <c r="V12" i="132" s="1"/>
  <c r="Q10" i="132"/>
  <c r="S10" i="132" s="1"/>
  <c r="U10" i="132" s="1"/>
  <c r="W10" i="121" l="1"/>
  <c r="X10" i="121" s="1"/>
  <c r="V10" i="121"/>
  <c r="W15" i="121"/>
  <c r="X15" i="121" s="1"/>
  <c r="V15" i="121"/>
  <c r="W10" i="132"/>
  <c r="X10" i="132" s="1"/>
  <c r="V10" i="132"/>
  <c r="W34" i="120"/>
  <c r="X34" i="120" s="1"/>
  <c r="V34" i="120"/>
  <c r="W32" i="121"/>
  <c r="X32" i="121" s="1"/>
  <c r="V32" i="121"/>
  <c r="W9" i="121"/>
  <c r="V9" i="121"/>
  <c r="O31" i="123"/>
  <c r="N29" i="123"/>
  <c r="U9" i="135"/>
  <c r="W14" i="120"/>
  <c r="X14" i="120" s="1"/>
  <c r="Y14" i="120" s="1"/>
  <c r="W15" i="120"/>
  <c r="X15" i="120" s="1"/>
  <c r="W10" i="120"/>
  <c r="X10" i="120" s="1"/>
  <c r="Y10" i="120" s="1"/>
  <c r="W12" i="132"/>
  <c r="X12" i="132" s="1"/>
  <c r="Y12" i="132" s="1"/>
  <c r="V9" i="135" l="1"/>
  <c r="Y10" i="132"/>
  <c r="X9" i="121"/>
  <c r="Y34" i="120"/>
  <c r="Y32" i="121"/>
  <c r="Y15" i="121"/>
  <c r="Y10" i="121"/>
  <c r="Y9" i="121"/>
  <c r="O29" i="123"/>
  <c r="Q31" i="123"/>
  <c r="W9" i="135"/>
  <c r="Y15" i="120"/>
  <c r="S31" i="123" l="1"/>
  <c r="Q29" i="123"/>
  <c r="L30" i="121"/>
  <c r="M30" i="121" s="1"/>
  <c r="K30" i="121"/>
  <c r="L29" i="121"/>
  <c r="M29" i="121" s="1"/>
  <c r="T29" i="121" s="1"/>
  <c r="K29" i="121"/>
  <c r="K27" i="121" s="1"/>
  <c r="L13" i="121"/>
  <c r="M13" i="121" s="1"/>
  <c r="K13" i="121"/>
  <c r="L17" i="121"/>
  <c r="M17" i="121" s="1"/>
  <c r="K17" i="121"/>
  <c r="L16" i="121"/>
  <c r="M16" i="121" s="1"/>
  <c r="K16" i="121"/>
  <c r="L13" i="120"/>
  <c r="M13" i="120" s="1"/>
  <c r="K13" i="120"/>
  <c r="L35" i="120"/>
  <c r="M35" i="120" s="1"/>
  <c r="K35" i="120"/>
  <c r="J12" i="135"/>
  <c r="K12" i="135" s="1"/>
  <c r="I12" i="135"/>
  <c r="U31" i="123" l="1"/>
  <c r="V31" i="123" s="1"/>
  <c r="S29" i="123"/>
  <c r="T30" i="121"/>
  <c r="P30" i="121"/>
  <c r="R30" i="121"/>
  <c r="N30" i="121"/>
  <c r="O30" i="121" s="1"/>
  <c r="N29" i="121"/>
  <c r="O29" i="121" s="1"/>
  <c r="R29" i="121"/>
  <c r="P29" i="121"/>
  <c r="R13" i="121"/>
  <c r="N13" i="121"/>
  <c r="O13" i="121" s="1"/>
  <c r="T13" i="121"/>
  <c r="P13" i="121"/>
  <c r="R17" i="121"/>
  <c r="N17" i="121"/>
  <c r="O17" i="121" s="1"/>
  <c r="T17" i="121"/>
  <c r="P17" i="121"/>
  <c r="R16" i="121"/>
  <c r="N16" i="121"/>
  <c r="O16" i="121" s="1"/>
  <c r="T16" i="121"/>
  <c r="P16" i="121"/>
  <c r="P13" i="120"/>
  <c r="T13" i="120"/>
  <c r="R13" i="120"/>
  <c r="N13" i="120"/>
  <c r="O13" i="120" s="1"/>
  <c r="T35" i="120"/>
  <c r="P35" i="120"/>
  <c r="R35" i="120"/>
  <c r="N35" i="120"/>
  <c r="O35" i="120" s="1"/>
  <c r="R12" i="135"/>
  <c r="N12" i="135"/>
  <c r="P12" i="135"/>
  <c r="L12" i="135"/>
  <c r="M12" i="135" s="1"/>
  <c r="U29" i="123" l="1"/>
  <c r="W31" i="123"/>
  <c r="Q35" i="120"/>
  <c r="S35" i="120" s="1"/>
  <c r="U35" i="120" s="1"/>
  <c r="V35" i="120" s="1"/>
  <c r="Q13" i="120"/>
  <c r="S13" i="120" s="1"/>
  <c r="U13" i="120" s="1"/>
  <c r="V13" i="120" s="1"/>
  <c r="Q30" i="121"/>
  <c r="S30" i="121" s="1"/>
  <c r="U30" i="121" s="1"/>
  <c r="V30" i="121" s="1"/>
  <c r="Q29" i="121"/>
  <c r="S29" i="121" s="1"/>
  <c r="U29" i="121" s="1"/>
  <c r="W30" i="121"/>
  <c r="X30" i="121" s="1"/>
  <c r="Q17" i="121"/>
  <c r="S17" i="121" s="1"/>
  <c r="U17" i="121" s="1"/>
  <c r="V17" i="121" s="1"/>
  <c r="Q13" i="121"/>
  <c r="S13" i="121" s="1"/>
  <c r="U13" i="121" s="1"/>
  <c r="V13" i="121" s="1"/>
  <c r="Q16" i="121"/>
  <c r="S16" i="121" s="1"/>
  <c r="U16" i="121" s="1"/>
  <c r="O12" i="135"/>
  <c r="Q12" i="135" s="1"/>
  <c r="S12" i="135" s="1"/>
  <c r="T12" i="135" s="1"/>
  <c r="W29" i="121" l="1"/>
  <c r="W27" i="121" s="1"/>
  <c r="V29" i="121"/>
  <c r="V27" i="121" s="1"/>
  <c r="W16" i="121"/>
  <c r="X16" i="121" s="1"/>
  <c r="V16" i="121"/>
  <c r="V29" i="123"/>
  <c r="W29" i="123"/>
  <c r="X31" i="123"/>
  <c r="X29" i="123" s="1"/>
  <c r="W35" i="120"/>
  <c r="X35" i="120" s="1"/>
  <c r="W13" i="120"/>
  <c r="X13" i="120" s="1"/>
  <c r="Y13" i="120" s="1"/>
  <c r="Y30" i="121"/>
  <c r="W13" i="121"/>
  <c r="W17" i="121"/>
  <c r="X17" i="121" s="1"/>
  <c r="U12" i="135"/>
  <c r="V12" i="135" s="1"/>
  <c r="X13" i="121" l="1"/>
  <c r="Y16" i="121"/>
  <c r="X29" i="121"/>
  <c r="X27" i="121" s="1"/>
  <c r="Y35" i="120"/>
  <c r="Y31" i="123"/>
  <c r="Y29" i="123" s="1"/>
  <c r="Y17" i="121"/>
  <c r="W12" i="135"/>
  <c r="Y13" i="121" l="1"/>
  <c r="Y29" i="121"/>
  <c r="Y27" i="121" s="1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5" i="123"/>
  <c r="M15" i="123" s="1"/>
  <c r="K15" i="123"/>
  <c r="T11" i="133" l="1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T15" i="123"/>
  <c r="P15" i="123"/>
  <c r="R15" i="123"/>
  <c r="N15" i="123"/>
  <c r="O15" i="123" s="1"/>
  <c r="Q10" i="119" l="1"/>
  <c r="R11" i="136"/>
  <c r="T11" i="136" s="1"/>
  <c r="S10" i="119"/>
  <c r="U10" i="119" s="1"/>
  <c r="Q15" i="123"/>
  <c r="S15" i="123" s="1"/>
  <c r="U15" i="123" s="1"/>
  <c r="V15" i="123" s="1"/>
  <c r="Q11" i="133"/>
  <c r="S11" i="133" s="1"/>
  <c r="U11" i="133" s="1"/>
  <c r="Q10" i="118"/>
  <c r="S10" i="118" s="1"/>
  <c r="U10" i="118" s="1"/>
  <c r="V10" i="118" s="1"/>
  <c r="W10" i="119" l="1"/>
  <c r="X10" i="119" s="1"/>
  <c r="V10" i="119"/>
  <c r="W11" i="133"/>
  <c r="X11" i="133" s="1"/>
  <c r="V11" i="133"/>
  <c r="V11" i="136"/>
  <c r="W11" i="136" s="1"/>
  <c r="U11" i="136"/>
  <c r="W10" i="118"/>
  <c r="X10" i="118" s="1"/>
  <c r="W15" i="123"/>
  <c r="X11" i="136" l="1"/>
  <c r="X15" i="123"/>
  <c r="Y11" i="133"/>
  <c r="Y10" i="119"/>
  <c r="Y10" i="118"/>
  <c r="Y15" i="123"/>
  <c r="L12" i="123"/>
  <c r="M12" i="123" s="1"/>
  <c r="K12" i="123"/>
  <c r="K11" i="123" s="1"/>
  <c r="L34" i="123"/>
  <c r="M34" i="123" s="1"/>
  <c r="K34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T12" i="123" l="1"/>
  <c r="P12" i="123"/>
  <c r="R12" i="123"/>
  <c r="N12" i="123"/>
  <c r="O12" i="123" s="1"/>
  <c r="R34" i="123"/>
  <c r="N34" i="123"/>
  <c r="O34" i="123" s="1"/>
  <c r="T34" i="123"/>
  <c r="P34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0" i="134" l="1"/>
  <c r="Q15" i="119"/>
  <c r="S15" i="119" s="1"/>
  <c r="U15" i="119" s="1"/>
  <c r="Q9" i="120"/>
  <c r="S9" i="120" s="1"/>
  <c r="U9" i="120" s="1"/>
  <c r="V9" i="120" s="1"/>
  <c r="Q12" i="123"/>
  <c r="S12" i="123" s="1"/>
  <c r="U12" i="123" s="1"/>
  <c r="Q34" i="123"/>
  <c r="S34" i="123" s="1"/>
  <c r="U34" i="123" s="1"/>
  <c r="Q12" i="134"/>
  <c r="S12" i="134" s="1"/>
  <c r="U12" i="134" s="1"/>
  <c r="S10" i="134"/>
  <c r="U10" i="134" s="1"/>
  <c r="V10" i="134" s="1"/>
  <c r="Q17" i="119"/>
  <c r="S17" i="119" s="1"/>
  <c r="U17" i="119" s="1"/>
  <c r="R14" i="134"/>
  <c r="N14" i="134"/>
  <c r="O14" i="134" s="1"/>
  <c r="P14" i="134"/>
  <c r="T14" i="134"/>
  <c r="L12" i="120"/>
  <c r="M12" i="120" s="1"/>
  <c r="K12" i="120"/>
  <c r="W17" i="119" l="1"/>
  <c r="V17" i="119"/>
  <c r="V16" i="119" s="1"/>
  <c r="W12" i="123"/>
  <c r="V12" i="123"/>
  <c r="V11" i="123" s="1"/>
  <c r="W34" i="123"/>
  <c r="X34" i="123" s="1"/>
  <c r="V34" i="123"/>
  <c r="W12" i="134"/>
  <c r="X12" i="134" s="1"/>
  <c r="V12" i="134"/>
  <c r="W15" i="119"/>
  <c r="X15" i="119" s="1"/>
  <c r="V15" i="119"/>
  <c r="Q14" i="134"/>
  <c r="S14" i="134" s="1"/>
  <c r="U14" i="134" s="1"/>
  <c r="V14" i="134" s="1"/>
  <c r="W9" i="120"/>
  <c r="X9" i="120" s="1"/>
  <c r="Y9" i="120" s="1"/>
  <c r="W10" i="134"/>
  <c r="X10" i="134" s="1"/>
  <c r="T12" i="120"/>
  <c r="R12" i="120"/>
  <c r="P12" i="120"/>
  <c r="N12" i="120"/>
  <c r="O12" i="120" s="1"/>
  <c r="X12" i="123" l="1"/>
  <c r="X11" i="123" s="1"/>
  <c r="W11" i="123"/>
  <c r="Y12" i="134"/>
  <c r="X17" i="119"/>
  <c r="X16" i="119" s="1"/>
  <c r="W16" i="119"/>
  <c r="Y34" i="123"/>
  <c r="Y15" i="119"/>
  <c r="Y12" i="123"/>
  <c r="Y11" i="123" s="1"/>
  <c r="Y17" i="119"/>
  <c r="Y16" i="119" s="1"/>
  <c r="Q12" i="120"/>
  <c r="S12" i="120" s="1"/>
  <c r="U12" i="120" s="1"/>
  <c r="V12" i="120" s="1"/>
  <c r="Y10" i="134"/>
  <c r="W14" i="134"/>
  <c r="V13" i="134"/>
  <c r="W12" i="120" l="1"/>
  <c r="X12" i="120" s="1"/>
  <c r="X14" i="134"/>
  <c r="W13" i="134"/>
  <c r="Y12" i="120" l="1"/>
  <c r="X13" i="134"/>
  <c r="Y14" i="134"/>
  <c r="Y13" i="134" s="1"/>
  <c r="L9" i="133" l="1"/>
  <c r="M9" i="133" s="1"/>
  <c r="K9" i="133"/>
  <c r="I15" i="133"/>
  <c r="N9" i="133" l="1"/>
  <c r="O9" i="133" s="1"/>
  <c r="T9" i="133"/>
  <c r="R9" i="133"/>
  <c r="P9" i="133"/>
  <c r="Q9" i="133" l="1"/>
  <c r="S9" i="133" s="1"/>
  <c r="U9" i="133" s="1"/>
  <c r="V9" i="133" s="1"/>
  <c r="W9" i="133" l="1"/>
  <c r="X9" i="133" l="1"/>
  <c r="Y9" i="133" s="1"/>
  <c r="L36" i="123"/>
  <c r="M36" i="123" s="1"/>
  <c r="K36" i="123"/>
  <c r="L18" i="121"/>
  <c r="M18" i="121" s="1"/>
  <c r="K18" i="121"/>
  <c r="K8" i="121" s="1"/>
  <c r="R36" i="123" l="1"/>
  <c r="P36" i="123"/>
  <c r="T36" i="123"/>
  <c r="N36" i="123"/>
  <c r="O36" i="123" s="1"/>
  <c r="N18" i="121"/>
  <c r="O18" i="121" s="1"/>
  <c r="T18" i="121"/>
  <c r="P18" i="121"/>
  <c r="R18" i="121"/>
  <c r="Q36" i="123" l="1"/>
  <c r="S36" i="123" s="1"/>
  <c r="U36" i="123" s="1"/>
  <c r="Q18" i="121"/>
  <c r="S18" i="121" s="1"/>
  <c r="U18" i="121" s="1"/>
  <c r="V18" i="121" s="1"/>
  <c r="V8" i="121" s="1"/>
  <c r="W36" i="123" l="1"/>
  <c r="X36" i="123" s="1"/>
  <c r="V36" i="123"/>
  <c r="W18" i="121"/>
  <c r="L10" i="123"/>
  <c r="M10" i="123" s="1"/>
  <c r="K10" i="123"/>
  <c r="X18" i="121" l="1"/>
  <c r="X8" i="121" s="1"/>
  <c r="W8" i="121"/>
  <c r="Y36" i="123"/>
  <c r="T10" i="123"/>
  <c r="P10" i="123"/>
  <c r="R10" i="123"/>
  <c r="N10" i="123"/>
  <c r="O10" i="123" s="1"/>
  <c r="Y18" i="121"/>
  <c r="Y8" i="121" s="1"/>
  <c r="Q10" i="123" l="1"/>
  <c r="S10" i="123" s="1"/>
  <c r="U10" i="123" s="1"/>
  <c r="V10" i="123" s="1"/>
  <c r="W10" i="123" l="1"/>
  <c r="X10" i="123" s="1"/>
  <c r="Y10" i="123" s="1"/>
  <c r="J10" i="135" l="1"/>
  <c r="K10" i="135" s="1"/>
  <c r="I10" i="135"/>
  <c r="I36" i="135" s="1"/>
  <c r="L39" i="120"/>
  <c r="M39" i="120" s="1"/>
  <c r="K39" i="120"/>
  <c r="T39" i="120" l="1"/>
  <c r="R39" i="120"/>
  <c r="N39" i="120"/>
  <c r="O39" i="120" s="1"/>
  <c r="P39" i="120"/>
  <c r="R10" i="135"/>
  <c r="L10" i="135"/>
  <c r="M10" i="135" s="1"/>
  <c r="N10" i="135"/>
  <c r="P10" i="135"/>
  <c r="L11" i="132"/>
  <c r="M11" i="132" s="1"/>
  <c r="K11" i="132"/>
  <c r="G36" i="135"/>
  <c r="L11" i="120"/>
  <c r="M11" i="120" s="1"/>
  <c r="K11" i="120"/>
  <c r="H11" i="120"/>
  <c r="Q39" i="120" l="1"/>
  <c r="S39" i="120" s="1"/>
  <c r="U39" i="120" s="1"/>
  <c r="V39" i="120" s="1"/>
  <c r="O10" i="135"/>
  <c r="Q10" i="135" s="1"/>
  <c r="S10" i="135" s="1"/>
  <c r="T10" i="135" s="1"/>
  <c r="T36" i="135" s="1"/>
  <c r="R11" i="132"/>
  <c r="T11" i="132"/>
  <c r="N11" i="132"/>
  <c r="O11" i="132" s="1"/>
  <c r="P11" i="132"/>
  <c r="R11" i="120"/>
  <c r="N11" i="120"/>
  <c r="O11" i="120" s="1"/>
  <c r="P11" i="120"/>
  <c r="T11" i="120"/>
  <c r="W39" i="120" l="1"/>
  <c r="X39" i="120" s="1"/>
  <c r="Q11" i="132"/>
  <c r="S11" i="132" s="1"/>
  <c r="U11" i="132" s="1"/>
  <c r="V11" i="132" s="1"/>
  <c r="Q11" i="120"/>
  <c r="S11" i="120" s="1"/>
  <c r="U11" i="120" s="1"/>
  <c r="V11" i="120" s="1"/>
  <c r="U10" i="135"/>
  <c r="V10" i="135" l="1"/>
  <c r="V36" i="135" s="1"/>
  <c r="U36" i="135"/>
  <c r="W11" i="120"/>
  <c r="X11" i="120" s="1"/>
  <c r="Y11" i="120" s="1"/>
  <c r="W11" i="132"/>
  <c r="X11" i="132" s="1"/>
  <c r="W10" i="135"/>
  <c r="W36" i="135" s="1"/>
  <c r="Y39" i="120"/>
  <c r="Y11" i="132" l="1"/>
  <c r="H10" i="134" l="1"/>
  <c r="J9" i="134"/>
  <c r="I9" i="134"/>
  <c r="K9" i="134" l="1"/>
  <c r="V9" i="134" l="1"/>
  <c r="X9" i="134"/>
  <c r="W9" i="134"/>
  <c r="Y9" i="134" l="1"/>
  <c r="L9" i="123" l="1"/>
  <c r="K9" i="123"/>
  <c r="K8" i="123" s="1"/>
  <c r="J11" i="134"/>
  <c r="J15" i="134" s="1"/>
  <c r="I11" i="134"/>
  <c r="I15" i="134" s="1"/>
  <c r="H12" i="134"/>
  <c r="M9" i="123" l="1"/>
  <c r="M8" i="123" s="1"/>
  <c r="L8" i="123"/>
  <c r="K11" i="134"/>
  <c r="K15" i="134" s="1"/>
  <c r="N9" i="123" l="1"/>
  <c r="N8" i="123" s="1"/>
  <c r="R9" i="123"/>
  <c r="R8" i="123" s="1"/>
  <c r="T9" i="123"/>
  <c r="T8" i="123" s="1"/>
  <c r="P9" i="123"/>
  <c r="P8" i="123" s="1"/>
  <c r="O9" i="123" l="1"/>
  <c r="O8" i="123" s="1"/>
  <c r="Q9" i="123"/>
  <c r="S9" i="123" s="1"/>
  <c r="W11" i="134"/>
  <c r="W15" i="134" s="1"/>
  <c r="Q8" i="123" l="1"/>
  <c r="U9" i="123"/>
  <c r="V9" i="123" s="1"/>
  <c r="S8" i="123"/>
  <c r="V11" i="134"/>
  <c r="V15" i="134" s="1"/>
  <c r="X11" i="134"/>
  <c r="X15" i="134" s="1"/>
  <c r="U8" i="123" l="1"/>
  <c r="W9" i="123"/>
  <c r="Y11" i="134"/>
  <c r="Y15" i="134" s="1"/>
  <c r="V8" i="123" l="1"/>
  <c r="X9" i="123"/>
  <c r="X8" i="123" s="1"/>
  <c r="W8" i="123"/>
  <c r="L10" i="133"/>
  <c r="M10" i="133" s="1"/>
  <c r="K10" i="133"/>
  <c r="K15" i="133" s="1"/>
  <c r="Y9" i="123" l="1"/>
  <c r="Y8" i="123" s="1"/>
  <c r="N10" i="133"/>
  <c r="O10" i="133" s="1"/>
  <c r="P10" i="133"/>
  <c r="R10" i="133"/>
  <c r="T10" i="133"/>
  <c r="Q10" i="133" l="1"/>
  <c r="S10" i="133" s="1"/>
  <c r="U10" i="133" s="1"/>
  <c r="V10" i="133" s="1"/>
  <c r="V15" i="133" s="1"/>
  <c r="W10" i="133" l="1"/>
  <c r="X10" i="133" l="1"/>
  <c r="X15" i="133" s="1"/>
  <c r="W15" i="133"/>
  <c r="Y10" i="133"/>
  <c r="Y15" i="133" s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O9" i="119" s="1"/>
  <c r="S13" i="131"/>
  <c r="T9" i="119"/>
  <c r="P9" i="119"/>
  <c r="P13" i="131" l="1"/>
  <c r="R13" i="131" s="1"/>
  <c r="T13" i="131"/>
  <c r="Q9" i="119"/>
  <c r="S9" i="119" s="1"/>
  <c r="U9" i="119" s="1"/>
  <c r="V9" i="119" s="1"/>
  <c r="W9" i="119" l="1"/>
  <c r="U13" i="131"/>
  <c r="V13" i="131"/>
  <c r="W13" i="131" s="1"/>
  <c r="X9" i="119" l="1"/>
  <c r="X13" i="131"/>
  <c r="Y9" i="119"/>
  <c r="L11" i="118" l="1"/>
  <c r="M11" i="118" s="1"/>
  <c r="L12" i="118"/>
  <c r="M12" i="118" s="1"/>
  <c r="L16" i="123"/>
  <c r="M16" i="123" s="1"/>
  <c r="L13" i="119"/>
  <c r="M13" i="119" s="1"/>
  <c r="L11" i="119"/>
  <c r="M11" i="119" s="1"/>
  <c r="P11" i="119" l="1"/>
  <c r="N11" i="119"/>
  <c r="O11" i="119" s="1"/>
  <c r="T11" i="119"/>
  <c r="R11" i="119"/>
  <c r="T12" i="118"/>
  <c r="P12" i="118"/>
  <c r="R12" i="118"/>
  <c r="N12" i="118"/>
  <c r="O12" i="118" s="1"/>
  <c r="T13" i="119"/>
  <c r="N13" i="119"/>
  <c r="O13" i="119" s="1"/>
  <c r="R13" i="119"/>
  <c r="P13" i="119"/>
  <c r="R16" i="123"/>
  <c r="N16" i="123"/>
  <c r="O16" i="123" s="1"/>
  <c r="P16" i="123"/>
  <c r="T16" i="123"/>
  <c r="P11" i="118"/>
  <c r="N11" i="118"/>
  <c r="O11" i="118" s="1"/>
  <c r="R11" i="118"/>
  <c r="T11" i="118"/>
  <c r="Q11" i="118" l="1"/>
  <c r="S11" i="118" s="1"/>
  <c r="U11" i="118" s="1"/>
  <c r="V11" i="118" s="1"/>
  <c r="Q11" i="119"/>
  <c r="S11" i="119" s="1"/>
  <c r="U11" i="119" s="1"/>
  <c r="V20" i="121"/>
  <c r="Q13" i="119"/>
  <c r="S13" i="119" s="1"/>
  <c r="U13" i="119" s="1"/>
  <c r="Q12" i="118"/>
  <c r="S12" i="118" s="1"/>
  <c r="U12" i="118" s="1"/>
  <c r="V12" i="118" s="1"/>
  <c r="Q16" i="123"/>
  <c r="S16" i="123" s="1"/>
  <c r="U16" i="123" s="1"/>
  <c r="V16" i="123" s="1"/>
  <c r="V14" i="123" s="1"/>
  <c r="J14" i="131"/>
  <c r="L14" i="131" s="1"/>
  <c r="W11" i="119" l="1"/>
  <c r="V11" i="119"/>
  <c r="V8" i="119" s="1"/>
  <c r="W13" i="119"/>
  <c r="V13" i="119"/>
  <c r="W11" i="118"/>
  <c r="W20" i="121"/>
  <c r="W16" i="123"/>
  <c r="W14" i="123" s="1"/>
  <c r="W12" i="118"/>
  <c r="Q14" i="131"/>
  <c r="M14" i="131"/>
  <c r="N14" i="131" s="1"/>
  <c r="O14" i="131"/>
  <c r="S14" i="131"/>
  <c r="X11" i="119" l="1"/>
  <c r="X8" i="119" s="1"/>
  <c r="W8" i="119"/>
  <c r="P14" i="131"/>
  <c r="R14" i="131" s="1"/>
  <c r="T14" i="131" s="1"/>
  <c r="H14" i="131"/>
  <c r="V14" i="131" l="1"/>
  <c r="W14" i="131" s="1"/>
  <c r="U14" i="131"/>
  <c r="X14" i="131" l="1"/>
  <c r="P36" i="135" l="1"/>
  <c r="L36" i="135"/>
  <c r="J36" i="135"/>
  <c r="K36" i="135" l="1"/>
  <c r="M3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N12" i="131" s="1"/>
  <c r="O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41" i="120"/>
  <c r="P17" i="131" l="1"/>
  <c r="P11" i="131"/>
  <c r="R11" i="131" s="1"/>
  <c r="T11" i="131" s="1"/>
  <c r="V11" i="131" s="1"/>
  <c r="P10" i="131"/>
  <c r="R10" i="131" s="1"/>
  <c r="T10" i="131" s="1"/>
  <c r="P16" i="131"/>
  <c r="R16" i="131" s="1"/>
  <c r="T16" i="131" s="1"/>
  <c r="V16" i="131" s="1"/>
  <c r="P15" i="131"/>
  <c r="R15" i="131" s="1"/>
  <c r="T15" i="131" s="1"/>
  <c r="V15" i="131" s="1"/>
  <c r="P18" i="131"/>
  <c r="R18" i="131" s="1"/>
  <c r="T18" i="131" s="1"/>
  <c r="V18" i="131" s="1"/>
  <c r="P12" i="131"/>
  <c r="R12" i="131" s="1"/>
  <c r="T12" i="131" s="1"/>
  <c r="V12" i="131" s="1"/>
  <c r="R17" i="131"/>
  <c r="T17" i="131" s="1"/>
  <c r="V17" i="131" s="1"/>
  <c r="U10" i="131" l="1"/>
  <c r="V10" i="131"/>
  <c r="R15" i="134" l="1"/>
  <c r="N15" i="134"/>
  <c r="L15" i="134"/>
  <c r="M15" i="134" l="1"/>
  <c r="P15" i="134" l="1"/>
  <c r="O15" i="134"/>
  <c r="J31" i="121" l="1"/>
  <c r="J35" i="121" s="1"/>
  <c r="Q15" i="134" l="1"/>
  <c r="S15" i="134"/>
  <c r="H10" i="121" l="1"/>
  <c r="K13" i="119" l="1"/>
  <c r="I31" i="121" l="1"/>
  <c r="I35" i="121" l="1"/>
  <c r="K31" i="121" l="1"/>
  <c r="K16" i="123" l="1"/>
  <c r="K14" i="123" s="1"/>
  <c r="K20" i="121" l="1"/>
  <c r="K35" i="121" s="1"/>
  <c r="H36" i="123" l="1"/>
  <c r="J35" i="123"/>
  <c r="I35" i="123"/>
  <c r="R15" i="133" l="1"/>
  <c r="N15" i="133"/>
  <c r="L15" i="133"/>
  <c r="V35" i="123" l="1"/>
  <c r="K35" i="123"/>
  <c r="O15" i="133" l="1"/>
  <c r="W35" i="123"/>
  <c r="M15" i="133" l="1"/>
  <c r="X35" i="123"/>
  <c r="Y35" i="123"/>
  <c r="K11" i="118" l="1"/>
  <c r="J14" i="118" l="1"/>
  <c r="I8" i="119" l="1"/>
  <c r="K33" i="123" l="1"/>
  <c r="K38" i="123" s="1"/>
  <c r="J33" i="123"/>
  <c r="J38" i="123" s="1"/>
  <c r="I33" i="123"/>
  <c r="I38" i="123" s="1"/>
  <c r="H16" i="123"/>
  <c r="H18" i="121" l="1"/>
  <c r="H12" i="121"/>
  <c r="H9" i="121"/>
  <c r="J14" i="119" l="1"/>
  <c r="J12" i="119"/>
  <c r="J22" i="119" s="1"/>
  <c r="I12" i="119"/>
  <c r="I22" i="119" s="1"/>
  <c r="K11" i="119"/>
  <c r="Y11" i="119" l="1"/>
  <c r="Y8" i="119" s="1"/>
  <c r="K8" i="119"/>
  <c r="R16" i="132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4" i="123"/>
  <c r="H15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38" i="123"/>
  <c r="L35" i="121"/>
  <c r="L41" i="120"/>
  <c r="I14" i="118" l="1"/>
  <c r="M38" i="123"/>
  <c r="M35" i="121"/>
  <c r="M14" i="118" l="1"/>
  <c r="L22" i="119" l="1"/>
  <c r="K14" i="119" l="1"/>
  <c r="K22" i="119"/>
  <c r="M22" i="119" l="1"/>
  <c r="W18" i="131" l="1"/>
  <c r="R36" i="135"/>
  <c r="X16" i="123"/>
  <c r="X14" i="123" s="1"/>
  <c r="T15" i="134"/>
  <c r="W12" i="131"/>
  <c r="X13" i="119"/>
  <c r="U15" i="131"/>
  <c r="W11" i="131"/>
  <c r="U11" i="131"/>
  <c r="N36" i="135"/>
  <c r="W10" i="131"/>
  <c r="W16" i="131"/>
  <c r="U16" i="131"/>
  <c r="U17" i="131"/>
  <c r="W17" i="131"/>
  <c r="P35" i="121"/>
  <c r="X20" i="121"/>
  <c r="T15" i="133"/>
  <c r="P15" i="133"/>
  <c r="P16" i="132"/>
  <c r="S20" i="131"/>
  <c r="O20" i="131"/>
  <c r="R41" i="120"/>
  <c r="P38" i="123"/>
  <c r="T22" i="119"/>
  <c r="T38" i="123"/>
  <c r="R35" i="121"/>
  <c r="N41" i="120"/>
  <c r="N38" i="123"/>
  <c r="T14" i="118"/>
  <c r="P22" i="119"/>
  <c r="R14" i="118"/>
  <c r="R38" i="123"/>
  <c r="T35" i="121"/>
  <c r="N22" i="119"/>
  <c r="R22" i="119"/>
  <c r="P14" i="118"/>
  <c r="N14" i="118"/>
  <c r="N35" i="121"/>
  <c r="W15" i="131" l="1"/>
  <c r="X15" i="131" s="1"/>
  <c r="U18" i="131"/>
  <c r="X18" i="131" s="1"/>
  <c r="U12" i="131"/>
  <c r="X12" i="131" s="1"/>
  <c r="Y16" i="123"/>
  <c r="Y14" i="123" s="1"/>
  <c r="Y20" i="121"/>
  <c r="X16" i="131"/>
  <c r="X10" i="131"/>
  <c r="X11" i="131"/>
  <c r="V31" i="121"/>
  <c r="V35" i="121" s="1"/>
  <c r="U15" i="134"/>
  <c r="X31" i="121"/>
  <c r="X35" i="121" s="1"/>
  <c r="W31" i="121"/>
  <c r="W35" i="121" s="1"/>
  <c r="Y13" i="119"/>
  <c r="X17" i="131"/>
  <c r="O36" i="135"/>
  <c r="X11" i="118"/>
  <c r="Y11" i="118" s="1"/>
  <c r="Q15" i="133"/>
  <c r="X33" i="123"/>
  <c r="X38" i="123" s="1"/>
  <c r="W33" i="123"/>
  <c r="W38" i="123" s="1"/>
  <c r="P20" i="131"/>
  <c r="S16" i="132"/>
  <c r="Q16" i="132"/>
  <c r="V33" i="123"/>
  <c r="V38" i="123" s="1"/>
  <c r="X12" i="118"/>
  <c r="Y12" i="118" s="1"/>
  <c r="O38" i="123"/>
  <c r="O22" i="119"/>
  <c r="V14" i="119"/>
  <c r="O35" i="121"/>
  <c r="O14" i="118"/>
  <c r="Y31" i="121" l="1"/>
  <c r="Y35" i="121" s="1"/>
  <c r="Q36" i="135"/>
  <c r="S15" i="133"/>
  <c r="Y33" i="123"/>
  <c r="Y38" i="123" s="1"/>
  <c r="V12" i="119"/>
  <c r="U16" i="132"/>
  <c r="R20" i="131"/>
  <c r="X12" i="119"/>
  <c r="W12" i="119"/>
  <c r="X14" i="119"/>
  <c r="W14" i="119"/>
  <c r="Q14" i="118"/>
  <c r="Q35" i="121"/>
  <c r="Q38" i="123"/>
  <c r="Q22" i="119"/>
  <c r="S36" i="135" l="1"/>
  <c r="U15" i="133"/>
  <c r="W16" i="132"/>
  <c r="X16" i="132"/>
  <c r="V16" i="132"/>
  <c r="T20" i="131"/>
  <c r="Y12" i="119"/>
  <c r="Y14" i="119"/>
  <c r="S35" i="121"/>
  <c r="S38" i="123"/>
  <c r="S14" i="118"/>
  <c r="S22" i="119"/>
  <c r="Y16" i="132" l="1"/>
  <c r="W20" i="131"/>
  <c r="V20" i="131"/>
  <c r="U20" i="131"/>
  <c r="W22" i="119"/>
  <c r="U22" i="119"/>
  <c r="V22" i="119"/>
  <c r="V14" i="118"/>
  <c r="W14" i="118"/>
  <c r="U14" i="118"/>
  <c r="U38" i="123"/>
  <c r="U35" i="121"/>
  <c r="X20" i="131" l="1"/>
  <c r="X22" i="119"/>
  <c r="X14" i="118"/>
  <c r="Y22" i="119" l="1"/>
  <c r="Y14" i="118"/>
  <c r="I41" i="120"/>
  <c r="H9" i="120"/>
  <c r="T41" i="120" l="1"/>
  <c r="P41" i="120"/>
  <c r="M41" i="120"/>
  <c r="O41" i="120"/>
  <c r="K41" i="120"/>
  <c r="Q41" i="120" l="1"/>
  <c r="S41" i="120" l="1"/>
  <c r="U41" i="120" l="1"/>
  <c r="V41" i="120" l="1"/>
  <c r="X41" i="120"/>
  <c r="W41" i="120" l="1"/>
  <c r="Y41" i="120"/>
</calcChain>
</file>

<file path=xl/sharedStrings.xml><?xml version="1.0" encoding="utf-8"?>
<sst xmlns="http://schemas.openxmlformats.org/spreadsheetml/2006/main" count="1141" uniqueCount="357">
  <si>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</si>
  <si>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</si>
  <si>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</si>
  <si>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</si>
  <si>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</si>
  <si>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</si>
  <si>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</si>
  <si>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</si>
  <si>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</si>
  <si>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</si>
  <si>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</si>
  <si>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</si>
  <si>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</si>
  <si>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</si>
  <si>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</si>
  <si>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</si>
  <si>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</si>
  <si>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</si>
  <si>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</si>
  <si>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</si>
  <si>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</si>
  <si>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</si>
  <si>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</si>
  <si>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</si>
  <si>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</si>
  <si>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</si>
  <si>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</si>
  <si>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</si>
  <si>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</si>
  <si>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</si>
  <si>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</si>
  <si>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</si>
  <si>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</si>
  <si>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</si>
  <si>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</si>
  <si>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</si>
  <si>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</si>
  <si>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</si>
  <si>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</si>
  <si>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</si>
  <si>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</si>
  <si>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</si>
  <si>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</si>
  <si>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</si>
  <si>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</si>
  <si>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</si>
  <si>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</si>
  <si>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</si>
  <si>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</si>
  <si>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</si>
  <si>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</si>
  <si>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</si>
  <si>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</si>
  <si>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</si>
  <si>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</si>
  <si>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</si>
  <si>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</si>
  <si>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</si>
  <si>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</si>
  <si>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</si>
  <si>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</si>
  <si>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</si>
  <si>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</si>
  <si>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</si>
  <si>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</si>
  <si>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</si>
  <si>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</si>
  <si>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</si>
  <si>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</si>
  <si>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</si>
  <si>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</si>
  <si>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</si>
  <si>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</si>
  <si>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</si>
  <si>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</si>
  <si>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</si>
  <si>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</si>
  <si>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</si>
  <si>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</si>
  <si>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</si>
  <si>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</si>
  <si>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</si>
  <si>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</si>
  <si>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</si>
  <si>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</si>
  <si>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</si>
  <si>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</si>
  <si>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</si>
  <si>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</si>
  <si>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</si>
  <si>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</si>
  <si>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</si>
  <si>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</si>
  <si>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</si>
  <si>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</si>
  <si>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</si>
  <si>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</si>
  <si>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</si>
  <si>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</si>
  <si>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</si>
  <si>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</si>
  <si>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</si>
  <si>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</si>
  <si>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</si>
  <si>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</si>
  <si>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</si>
  <si>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</si>
  <si>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</si>
  <si>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</si>
  <si>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</si>
  <si>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</si>
  <si>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</si>
  <si>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</si>
  <si>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</si>
  <si>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</si>
  <si>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</si>
  <si>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</si>
  <si>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</si>
  <si>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</si>
  <si>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</si>
  <si>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</si>
  <si>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</si>
  <si>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</si>
  <si>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</si>
  <si>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</si>
  <si>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</si>
  <si>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</si>
  <si>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</si>
  <si>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</si>
  <si>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</si>
  <si>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</si>
  <si>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</si>
  <si>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</si>
  <si>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</si>
  <si>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</si>
  <si>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</si>
  <si>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</si>
  <si>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</si>
  <si>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</si>
  <si>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EDUARDO CASILLAS SOLIS</t>
  </si>
  <si>
    <t>INSPECTOR DE GANADERÍA</t>
  </si>
  <si>
    <t>OMAR CARRANZA CASILLAS</t>
  </si>
  <si>
    <t>SALVADOR GARCIA CASILLAS</t>
  </si>
  <si>
    <t>EDUARDO ROBLES CORONA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</si>
  <si>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</si>
  <si>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</si>
  <si>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</si>
  <si>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</si>
  <si>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</si>
  <si>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</si>
  <si>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</si>
  <si>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</si>
  <si>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</si>
  <si>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</si>
  <si>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</si>
  <si>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</si>
  <si>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</si>
  <si>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</si>
  <si>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</si>
  <si>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</si>
  <si>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</si>
  <si>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</si>
  <si>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</si>
  <si>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</si>
  <si>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</si>
  <si>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</si>
  <si>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</si>
  <si>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</si>
  <si>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</si>
  <si>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</si>
  <si>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</si>
  <si>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</si>
  <si>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</si>
  <si>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</si>
  <si>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</si>
  <si>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015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</si>
  <si>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</si>
  <si>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</si>
  <si>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</si>
  <si>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</si>
  <si>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</si>
  <si>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</si>
  <si>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</si>
  <si>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</si>
  <si>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</si>
  <si>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</si>
  <si>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</si>
  <si>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</si>
  <si>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</si>
  <si>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</si>
  <si>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</si>
  <si>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</si>
  <si>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</si>
  <si>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</si>
  <si>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</si>
  <si>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</si>
  <si>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</si>
  <si>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</si>
  <si>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</si>
  <si>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</si>
  <si>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</si>
  <si>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</si>
  <si>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</si>
  <si>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</si>
  <si>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</si>
  <si>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</si>
  <si>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</si>
  <si>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</si>
  <si>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</si>
  <si>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</si>
  <si>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</si>
  <si>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</si>
  <si>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</si>
  <si>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</si>
  <si>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</si>
  <si>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</si>
  <si>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</si>
  <si>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</si>
  <si>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</si>
  <si>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</si>
  <si>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</si>
  <si>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</si>
  <si>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</si>
  <si>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</si>
  <si>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</si>
  <si>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</si>
  <si>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</si>
  <si>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</si>
  <si>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</si>
  <si>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</si>
  <si>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</si>
  <si>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</si>
  <si>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</si>
  <si>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</si>
  <si>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</si>
  <si>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</si>
  <si>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</si>
  <si>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</si>
  <si>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</si>
  <si>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</si>
  <si>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</si>
  <si>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</si>
  <si>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</si>
  <si>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</si>
  <si>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</si>
  <si>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</si>
  <si>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</si>
  <si>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</si>
  <si>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</si>
  <si>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</si>
  <si>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</si>
  <si>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</si>
  <si>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</si>
  <si>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</si>
  <si>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</si>
  <si>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</si>
  <si>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</si>
  <si>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</si>
  <si>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</si>
  <si>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</si>
  <si>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</si>
  <si>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</si>
  <si>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</si>
  <si>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</si>
  <si>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FEHA DE INGRESO</t>
  </si>
  <si>
    <t>FECHA DE INGRESO</t>
  </si>
  <si>
    <t>DIRECTOR DE OBRAS PÚBLICAS</t>
  </si>
  <si>
    <t>113</t>
  </si>
  <si>
    <t>MA. GUADALUPE CASTRO RAMIREZ</t>
  </si>
  <si>
    <t>143</t>
  </si>
  <si>
    <t>CESAR ALBERTO GUZMAN LOPEZ</t>
  </si>
  <si>
    <t>315</t>
  </si>
  <si>
    <t>J NIEVES AVELAR RAMIREZ</t>
  </si>
  <si>
    <t>AFANADOR DEL PANTEON MUNICIPAL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</si>
  <si>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</si>
  <si>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</si>
  <si>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</si>
  <si>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</si>
  <si>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</si>
  <si>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</si>
  <si>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</si>
  <si>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</si>
  <si>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</si>
  <si>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323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</si>
  <si>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</si>
  <si>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</si>
  <si>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</si>
  <si>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</si>
  <si>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</si>
  <si>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</si>
  <si>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027</t>
  </si>
  <si>
    <t>HORTENCIA SANDOVAL GONZALEZ</t>
  </si>
  <si>
    <t>SECRETARIA DE OBRAS PÚBLICAS</t>
  </si>
  <si>
    <t>327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</si>
  <si>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</si>
  <si>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</si>
  <si>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</si>
  <si>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</si>
  <si>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</si>
  <si>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</si>
  <si>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</si>
  <si>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</si>
  <si>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</si>
  <si>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</si>
  <si>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</si>
  <si>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</si>
  <si>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</si>
  <si>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</si>
  <si>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</si>
  <si>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</si>
  <si>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</si>
  <si>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</si>
  <si>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</si>
  <si>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TABLAS PUBLICADAS EL 29 DE DICIEMBRE DE 2023</t>
  </si>
  <si>
    <t>VIGENTES PARA 2024</t>
  </si>
  <si>
    <t>EJERCICIO 2024</t>
  </si>
  <si>
    <t>344</t>
  </si>
  <si>
    <t xml:space="preserve"> </t>
  </si>
  <si>
    <t>346</t>
  </si>
  <si>
    <t>347</t>
  </si>
  <si>
    <t>348</t>
  </si>
  <si>
    <t>349</t>
  </si>
  <si>
    <t>350</t>
  </si>
  <si>
    <t>351</t>
  </si>
  <si>
    <t>CANDIDO ARELLANO VARGAS</t>
  </si>
  <si>
    <t>OPERADOR MOTOCONFORMADORA</t>
  </si>
  <si>
    <t>354</t>
  </si>
  <si>
    <t>MARIA VIRGINIA ESPARZA REYNOSO</t>
  </si>
  <si>
    <t>355</t>
  </si>
  <si>
    <t>SE APLICARON CAMBIOS EN SUBSIDIO AL EMPLEO POR DECRETO PRESIDENCIAL DEL 01 MAY 2024</t>
  </si>
  <si>
    <t>356</t>
  </si>
  <si>
    <t>MUNICIPIO DE: SAN CRISTÓBAL DE LA BARRANCA, JALISCO</t>
  </si>
  <si>
    <t>RFC MSC850101FR1</t>
  </si>
  <si>
    <t>357</t>
  </si>
  <si>
    <t>358</t>
  </si>
  <si>
    <t>JUAN PABLO AMAYA GARCIA</t>
  </si>
  <si>
    <t>AUXILIAR DE DESARROLLO SOCIAL</t>
  </si>
  <si>
    <t>359</t>
  </si>
  <si>
    <t>COMPUTO E INFÓRMATICA</t>
  </si>
  <si>
    <t xml:space="preserve">LOIDA MARIA OROZCO VILLALOBOS </t>
  </si>
  <si>
    <t>AUXILIAR DE COMPUTACION</t>
  </si>
  <si>
    <t>096</t>
  </si>
  <si>
    <t>360</t>
  </si>
  <si>
    <t>ENRIQUE CASTRO CASTRO</t>
  </si>
  <si>
    <t>361</t>
  </si>
  <si>
    <t>ISAIAS AGUILAR CASTRO</t>
  </si>
  <si>
    <t>AUXILIAR</t>
  </si>
  <si>
    <t>362</t>
  </si>
  <si>
    <t>363</t>
  </si>
  <si>
    <t>364</t>
  </si>
  <si>
    <t>366</t>
  </si>
  <si>
    <t>06</t>
  </si>
  <si>
    <t>HECTOR ALEJANDRO VILLALOBOS GARCIA</t>
  </si>
  <si>
    <t>SUELDO  DEL 01 AL 15 DE AGOSTO DE 2024</t>
  </si>
  <si>
    <t>SUELDO DEL 01 AL 15 DE AGOSTO DE 2024</t>
  </si>
  <si>
    <t>ALONSO CASILLAS GARCIA</t>
  </si>
  <si>
    <t>JOSE PEDRO CASTRO AVELAR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</si>
</sst>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color theme="6" tint="-0.499984740745262"/>
      <name val="Arial"/>
      <family val="2"/>
    </font>
    <font>
      <b/>
      <sz val="14"/>
      <color rgb="FF000099"/>
      <name val="Arial"/>
      <family val="2"/>
    </font>
    <font>
      <b/>
      <sz val="16"/>
      <color rgb="FF000099"/>
      <name val="Verdana"/>
      <family val="2"/>
    </font>
    <font>
      <b/>
      <sz val="10"/>
      <color rgb="FF0000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44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165" fontId="0" fillId="0" borderId="0" xfId="0" applyNumberForma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25" fillId="0" borderId="0" xfId="0" applyFont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35" fillId="3" borderId="0" xfId="0" applyFont="1" applyFill="1"/>
    <xf numFmtId="165" fontId="29" fillId="2" borderId="0" xfId="2" applyNumberFormat="1" applyFont="1" applyFill="1" applyBorder="1" applyAlignment="1" applyProtection="1">
      <alignment horizontal="right"/>
    </xf>
    <xf numFmtId="10" fontId="29" fillId="2" borderId="0" xfId="3" applyNumberFormat="1" applyFont="1" applyFill="1" applyBorder="1" applyAlignment="1" applyProtection="1">
      <alignment horizontal="right"/>
    </xf>
    <xf numFmtId="165" fontId="29" fillId="7" borderId="0" xfId="2" applyNumberFormat="1" applyFont="1" applyFill="1" applyBorder="1" applyAlignment="1" applyProtection="1">
      <alignment horizontal="right"/>
    </xf>
    <xf numFmtId="0" fontId="37" fillId="0" borderId="0" xfId="0" applyFont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18" fillId="5" borderId="4" xfId="0" applyFont="1" applyFill="1" applyBorder="1"/>
    <xf numFmtId="49" fontId="1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1" fillId="0" borderId="11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36" fillId="0" borderId="0" xfId="0" applyNumberFormat="1" applyFont="1" applyAlignment="1">
      <alignment horizontal="center" wrapText="1"/>
    </xf>
    <xf numFmtId="0" fontId="38" fillId="0" borderId="0" xfId="0" applyFont="1" applyAlignment="1">
      <alignment wrapText="1"/>
    </xf>
    <xf numFmtId="49" fontId="2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816429</xdr:colOff>
      <xdr:row>0</xdr:row>
      <xdr:rowOff>0</xdr:rowOff>
    </xdr:from>
    <xdr:to>
      <xdr:col>3</xdr:col>
      <xdr:colOff>1132114</xdr:colOff>
      <xdr:row>3</xdr:row>
      <xdr:rowOff>169921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0D23DF88-52B2-4855-9535-482329DD854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0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70039</xdr:rowOff>
    </xdr:from>
    <xdr:to>
      <xdr:col>4</xdr:col>
      <xdr:colOff>123184</xdr:colOff>
      <xdr:row>23</xdr:row>
      <xdr:rowOff>274379</xdr:rowOff>
    </xdr:to>
    <xdr:pic>
      <xdr:nvPicPr>
        <xdr:cNvPr id="2" name="2 Imagen" descr="14071">
          <a:extLst>
            <a:ext uri="{FF2B5EF4-FFF2-40B4-BE49-F238E27FC236}">
              <a16:creationId xmlns:a16="http://schemas.microsoft.com/office/drawing/2014/main" id="{942159E2-9274-4B3B-8716-120FA1EE868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1029" y="21319193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123184</xdr:colOff>
      <xdr:row>4</xdr:row>
      <xdr:rowOff>64266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71BA8397-073E-449D-BEDF-6741F3F5034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4816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391439</xdr:colOff>
      <xdr:row>0</xdr:row>
      <xdr:rowOff>13048</xdr:rowOff>
    </xdr:from>
    <xdr:to>
      <xdr:col>3</xdr:col>
      <xdr:colOff>1537160</xdr:colOff>
      <xdr:row>4</xdr:row>
      <xdr:rowOff>4399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476DE00F-5B70-4E31-B490-75D6EC2956E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6610" y="13048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358775</xdr:colOff>
      <xdr:row>0</xdr:row>
      <xdr:rowOff>28575</xdr:rowOff>
    </xdr:from>
    <xdr:to>
      <xdr:col>3</xdr:col>
      <xdr:colOff>1504496</xdr:colOff>
      <xdr:row>4</xdr:row>
      <xdr:rowOff>31582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DB33F908-AB02-4EB3-8FB8-C7893CB3397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28575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360795</xdr:colOff>
      <xdr:row>0</xdr:row>
      <xdr:rowOff>0</xdr:rowOff>
    </xdr:from>
    <xdr:to>
      <xdr:col>3</xdr:col>
      <xdr:colOff>1506516</xdr:colOff>
      <xdr:row>3</xdr:row>
      <xdr:rowOff>168684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B47055A7-9597-4BCD-8EA9-E2DA08BF4F6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6250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721590</xdr:colOff>
      <xdr:row>28</xdr:row>
      <xdr:rowOff>28863</xdr:rowOff>
    </xdr:from>
    <xdr:to>
      <xdr:col>4</xdr:col>
      <xdr:colOff>149925</xdr:colOff>
      <xdr:row>30</xdr:row>
      <xdr:rowOff>197547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E143EDE1-4C8A-42E4-80CF-24C0C40159C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07045" y="18573749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262283</xdr:colOff>
      <xdr:row>22</xdr:row>
      <xdr:rowOff>124241</xdr:rowOff>
    </xdr:from>
    <xdr:to>
      <xdr:col>3</xdr:col>
      <xdr:colOff>1408004</xdr:colOff>
      <xdr:row>25</xdr:row>
      <xdr:rowOff>159273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21638105-0E35-40AA-9FEC-4F63E5FFC9C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39348" y="15060545"/>
          <a:ext cx="1145721" cy="95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538370</xdr:colOff>
      <xdr:row>0</xdr:row>
      <xdr:rowOff>0</xdr:rowOff>
    </xdr:from>
    <xdr:to>
      <xdr:col>3</xdr:col>
      <xdr:colOff>1684091</xdr:colOff>
      <xdr:row>3</xdr:row>
      <xdr:rowOff>186881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2DD8ABD7-99D1-4F8F-A5EE-D86925D22A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15435" y="0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502226</xdr:colOff>
      <xdr:row>21</xdr:row>
      <xdr:rowOff>51955</xdr:rowOff>
    </xdr:from>
    <xdr:to>
      <xdr:col>3</xdr:col>
      <xdr:colOff>1647947</xdr:colOff>
      <xdr:row>24</xdr:row>
      <xdr:rowOff>21480</xdr:rowOff>
    </xdr:to>
    <xdr:pic>
      <xdr:nvPicPr>
        <xdr:cNvPr id="4" name="2 Imagen" descr="14071">
          <a:extLst>
            <a:ext uri="{FF2B5EF4-FFF2-40B4-BE49-F238E27FC236}">
              <a16:creationId xmlns:a16="http://schemas.microsoft.com/office/drawing/2014/main" id="{E1E5D2EC-3DBE-47E0-957A-BB6B2D2B55D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2590" y="19327091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311727</xdr:colOff>
      <xdr:row>0</xdr:row>
      <xdr:rowOff>1</xdr:rowOff>
    </xdr:from>
    <xdr:to>
      <xdr:col>3</xdr:col>
      <xdr:colOff>1457448</xdr:colOff>
      <xdr:row>4</xdr:row>
      <xdr:rowOff>21481</xdr:rowOff>
    </xdr:to>
    <xdr:pic>
      <xdr:nvPicPr>
        <xdr:cNvPr id="5" name="2 Imagen" descr="14071">
          <a:extLst>
            <a:ext uri="{FF2B5EF4-FFF2-40B4-BE49-F238E27FC236}">
              <a16:creationId xmlns:a16="http://schemas.microsoft.com/office/drawing/2014/main" id="{2CDC97BE-DEAF-4C42-A420-CB8A8E9523F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2091" y="1"/>
          <a:ext cx="1145721" cy="939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434474</xdr:colOff>
      <xdr:row>0</xdr:row>
      <xdr:rowOff>100264</xdr:rowOff>
    </xdr:from>
    <xdr:to>
      <xdr:col>3</xdr:col>
      <xdr:colOff>1580195</xdr:colOff>
      <xdr:row>4</xdr:row>
      <xdr:rowOff>102603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C198BC4F-77D6-4531-815C-B4074261EE5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7500" y="100264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416035</xdr:colOff>
      <xdr:row>0</xdr:row>
      <xdr:rowOff>76639</xdr:rowOff>
    </xdr:from>
    <xdr:to>
      <xdr:col>3</xdr:col>
      <xdr:colOff>1561756</xdr:colOff>
      <xdr:row>4</xdr:row>
      <xdr:rowOff>83587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19A53EC1-A4F3-4570-8B57-4CB9F8EDA4A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8966" y="76639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104775</xdr:rowOff>
    </xdr:from>
    <xdr:to>
      <xdr:col>2</xdr:col>
      <xdr:colOff>1431471</xdr:colOff>
      <xdr:row>4</xdr:row>
      <xdr:rowOff>114132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A8081897-A522-4E72-A4FB-1B2B199FF56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4475" y="104775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508870</xdr:colOff>
      <xdr:row>0</xdr:row>
      <xdr:rowOff>39144</xdr:rowOff>
    </xdr:from>
    <xdr:to>
      <xdr:col>3</xdr:col>
      <xdr:colOff>1654591</xdr:colOff>
      <xdr:row>4</xdr:row>
      <xdr:rowOff>30495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B453AB8B-A8E0-45AD-B70D-1E54C22057B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0617" y="39144"/>
          <a:ext cx="1145721" cy="904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topLeftCell="A16" workbookViewId="0">
      <selection activeCell="I3" sqref="I3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5" t="s">
        <v>180</v>
      </c>
    </row>
    <row r="3" spans="1:9" x14ac:dyDescent="0.25">
      <c r="B3" s="8" t="s">
        <v>47</v>
      </c>
      <c r="C3" s="7"/>
      <c r="D3" s="7"/>
      <c r="E3" s="7"/>
      <c r="F3" s="7"/>
      <c r="G3" s="7"/>
      <c r="I3" s="114">
        <v>248.93</v>
      </c>
    </row>
    <row r="4" spans="1:9" x14ac:dyDescent="0.25">
      <c r="B4" s="19" t="s">
        <v>315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5" t="s">
        <v>10</v>
      </c>
      <c r="C7" s="285"/>
      <c r="D7" s="285"/>
      <c r="E7" s="7"/>
      <c r="F7" s="286" t="s">
        <v>48</v>
      </c>
      <c r="G7" s="287"/>
      <c r="I7" s="115" t="s">
        <v>181</v>
      </c>
    </row>
    <row r="8" spans="1:9" ht="14.25" customHeight="1" x14ac:dyDescent="0.25">
      <c r="B8" s="288" t="s">
        <v>9</v>
      </c>
      <c r="C8" s="288"/>
      <c r="D8" s="288"/>
      <c r="E8" s="7"/>
      <c r="F8" s="289" t="s">
        <v>49</v>
      </c>
      <c r="G8" s="290"/>
      <c r="I8" s="114">
        <v>103.74</v>
      </c>
    </row>
    <row r="9" spans="1:9" ht="8.25" customHeight="1" x14ac:dyDescent="0.25">
      <c r="B9" s="282"/>
      <c r="C9" s="282"/>
      <c r="D9" s="282"/>
      <c r="E9" s="7"/>
      <c r="F9" s="283"/>
      <c r="G9" s="284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390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9081.01</v>
      </c>
      <c r="G14" s="20">
        <v>0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9081.01</v>
      </c>
      <c r="G15" s="20">
        <v>0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9081.01</v>
      </c>
      <c r="G16" s="20">
        <v>0</v>
      </c>
    </row>
    <row r="17" spans="1:8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9081.01</v>
      </c>
      <c r="G17" s="20">
        <v>0</v>
      </c>
    </row>
    <row r="18" spans="1:8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9081.01</v>
      </c>
      <c r="G18" s="20">
        <v>0</v>
      </c>
    </row>
    <row r="19" spans="1:8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9081.01</v>
      </c>
      <c r="G19" s="20">
        <v>0</v>
      </c>
    </row>
    <row r="20" spans="1:8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9081.01</v>
      </c>
      <c r="G20" s="20">
        <v>0</v>
      </c>
    </row>
    <row r="21" spans="1:8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9081.01</v>
      </c>
      <c r="G21" s="20">
        <v>0</v>
      </c>
    </row>
    <row r="22" spans="1:8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9081.01</v>
      </c>
      <c r="G22" s="20">
        <v>0</v>
      </c>
    </row>
    <row r="23" spans="1:8" x14ac:dyDescent="0.25">
      <c r="B23" s="20">
        <v>375975.62</v>
      </c>
      <c r="C23" s="20">
        <v>117912.32000000001</v>
      </c>
      <c r="D23" s="21">
        <v>0.35</v>
      </c>
      <c r="E23" s="7"/>
      <c r="F23" s="20">
        <v>9081.01</v>
      </c>
      <c r="G23" s="20">
        <v>0</v>
      </c>
    </row>
    <row r="24" spans="1:8" x14ac:dyDescent="0.25">
      <c r="B24" s="15"/>
      <c r="C24" s="15"/>
      <c r="D24" s="16"/>
      <c r="E24" s="7"/>
      <c r="F24" s="17"/>
      <c r="G24" s="17"/>
    </row>
    <row r="25" spans="1:8" x14ac:dyDescent="0.25">
      <c r="E25" s="7"/>
      <c r="F25" s="7"/>
      <c r="G25" s="7"/>
    </row>
    <row r="26" spans="1:8" x14ac:dyDescent="0.25">
      <c r="B26" s="7"/>
      <c r="C26" s="7"/>
      <c r="D26" s="7"/>
      <c r="E26" s="7"/>
      <c r="F26" s="7"/>
      <c r="G26" s="7"/>
    </row>
    <row r="27" spans="1:8" x14ac:dyDescent="0.25">
      <c r="B27" s="8" t="s">
        <v>19</v>
      </c>
      <c r="C27" s="7"/>
      <c r="D27" s="7"/>
    </row>
    <row r="28" spans="1:8" ht="15.6" x14ac:dyDescent="0.3">
      <c r="B28" s="18" t="s">
        <v>313</v>
      </c>
      <c r="C28" s="7"/>
      <c r="D28" s="7"/>
    </row>
    <row r="29" spans="1:8" x14ac:dyDescent="0.25">
      <c r="B29" s="32" t="s">
        <v>314</v>
      </c>
      <c r="C29" s="7"/>
      <c r="D29" s="7"/>
    </row>
    <row r="30" spans="1:8" x14ac:dyDescent="0.25">
      <c r="B30" s="274" t="s">
        <v>329</v>
      </c>
      <c r="C30" s="273"/>
      <c r="D30" s="273"/>
      <c r="E30" s="273"/>
      <c r="F30" s="273"/>
      <c r="G30" s="273"/>
      <c r="H30" s="273"/>
    </row>
    <row r="32" spans="1:8" ht="17.25" customHeight="1" x14ac:dyDescent="0.25">
      <c r="B32" s="5" t="s">
        <v>45</v>
      </c>
      <c r="E32" s="7"/>
      <c r="F32" s="286" t="s">
        <v>53</v>
      </c>
      <c r="G32" s="287"/>
    </row>
    <row r="33" spans="2:7" x14ac:dyDescent="0.25">
      <c r="E33" s="7"/>
      <c r="F33" s="289" t="s">
        <v>54</v>
      </c>
      <c r="G33" s="290"/>
    </row>
    <row r="34" spans="2:7" ht="5.25" customHeight="1" x14ac:dyDescent="0.25">
      <c r="E34" s="7"/>
      <c r="F34" s="283"/>
      <c r="G34" s="284"/>
    </row>
    <row r="35" spans="2:7" x14ac:dyDescent="0.25">
      <c r="B35" s="285" t="s">
        <v>10</v>
      </c>
      <c r="C35" s="285"/>
      <c r="D35" s="285"/>
      <c r="E35" s="7"/>
      <c r="F35" s="9" t="s">
        <v>16</v>
      </c>
      <c r="G35" s="9" t="s">
        <v>17</v>
      </c>
    </row>
    <row r="36" spans="2:7" x14ac:dyDescent="0.25">
      <c r="B36" s="288" t="s">
        <v>9</v>
      </c>
      <c r="C36" s="288"/>
      <c r="D36" s="288"/>
      <c r="E36" s="7"/>
      <c r="F36" s="9"/>
      <c r="G36" s="9" t="s">
        <v>18</v>
      </c>
    </row>
    <row r="37" spans="2:7" x14ac:dyDescent="0.25">
      <c r="B37" s="282"/>
      <c r="C37" s="282"/>
      <c r="D37" s="282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195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4540.5050000000001</v>
      </c>
      <c r="G39" s="12">
        <v>0</v>
      </c>
    </row>
    <row r="40" spans="2:7" ht="15.9" customHeight="1" x14ac:dyDescent="0.25">
      <c r="B40" s="10"/>
      <c r="C40" s="10"/>
      <c r="D40" s="10"/>
      <c r="E40" s="14"/>
      <c r="F40" s="12">
        <v>4540.5050000000001</v>
      </c>
      <c r="G40" s="12">
        <v>0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4540.5050000000001</v>
      </c>
      <c r="G41" s="12">
        <v>0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4540.5050000000001</v>
      </c>
      <c r="G42" s="12">
        <v>0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4540.5050000000001</v>
      </c>
      <c r="G43" s="12">
        <v>0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4540.5050000000001</v>
      </c>
      <c r="G44" s="12">
        <v>0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4540.5050000000001</v>
      </c>
      <c r="G45" s="12">
        <v>0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4540.5050000000001</v>
      </c>
      <c r="G46" s="12">
        <v>0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4540.5050000000001</v>
      </c>
      <c r="G47" s="12">
        <v>0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4540.5050000000001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B14" zoomScale="73" zoomScaleNormal="73" workbookViewId="0">
      <selection activeCell="B23" sqref="A23:XFD28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4.5546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304" t="s">
        <v>77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tr">
        <f>PRESIDENCIA!A3</f>
        <v>SUELDO  DEL 01 AL 15 DE AGOSTO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9" t="s">
        <v>98</v>
      </c>
      <c r="C6" s="329" t="s">
        <v>110</v>
      </c>
      <c r="D6" s="22"/>
      <c r="E6" s="22"/>
      <c r="F6" s="22"/>
      <c r="G6" s="23" t="s">
        <v>22</v>
      </c>
      <c r="H6" s="23" t="s">
        <v>5</v>
      </c>
      <c r="I6" s="305" t="s">
        <v>1</v>
      </c>
      <c r="J6" s="306"/>
      <c r="K6" s="307"/>
      <c r="L6" s="24" t="s">
        <v>25</v>
      </c>
      <c r="M6" s="25"/>
      <c r="N6" s="308" t="s">
        <v>8</v>
      </c>
      <c r="O6" s="309"/>
      <c r="P6" s="309"/>
      <c r="Q6" s="309"/>
      <c r="R6" s="309"/>
      <c r="S6" s="310"/>
      <c r="T6" s="24" t="s">
        <v>29</v>
      </c>
      <c r="U6" s="24" t="s">
        <v>9</v>
      </c>
      <c r="V6" s="23" t="s">
        <v>52</v>
      </c>
      <c r="W6" s="311" t="s">
        <v>2</v>
      </c>
      <c r="X6" s="312"/>
      <c r="Y6" s="23" t="s">
        <v>0</v>
      </c>
      <c r="Z6" s="34"/>
    </row>
    <row r="7" spans="1:26" ht="12.75" customHeight="1" x14ac:dyDescent="0.25">
      <c r="A7" s="26" t="s">
        <v>20</v>
      </c>
      <c r="B7" s="330"/>
      <c r="C7" s="330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256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31"/>
      <c r="C8" s="331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3"/>
      <c r="B9" s="186"/>
      <c r="C9" s="117"/>
      <c r="D9" s="136" t="s">
        <v>111</v>
      </c>
      <c r="E9" s="136" t="s">
        <v>265</v>
      </c>
      <c r="F9" s="133" t="s">
        <v>60</v>
      </c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4"/>
      <c r="V9" s="133"/>
      <c r="W9" s="133"/>
      <c r="X9" s="133"/>
      <c r="Y9" s="133"/>
      <c r="Z9" s="41"/>
    </row>
    <row r="10" spans="1:26" s="93" customFormat="1" ht="126" customHeight="1" x14ac:dyDescent="0.3">
      <c r="A10" s="110" t="s">
        <v>84</v>
      </c>
      <c r="B10" s="148" t="s">
        <v>150</v>
      </c>
      <c r="C10" s="187" t="s">
        <v>109</v>
      </c>
      <c r="D10" s="208" t="s">
        <v>143</v>
      </c>
      <c r="E10" s="217">
        <v>43374</v>
      </c>
      <c r="F10" s="150" t="s">
        <v>112</v>
      </c>
      <c r="G10" s="152">
        <v>9</v>
      </c>
      <c r="H10" s="153"/>
      <c r="I10" s="154">
        <v>4509</v>
      </c>
      <c r="J10" s="155">
        <v>0</v>
      </c>
      <c r="K10" s="156">
        <f>SUM(I10:J10)</f>
        <v>4509</v>
      </c>
      <c r="L10" s="157">
        <f>IF(I10/15&lt;=SMG,0,J10/2)</f>
        <v>0</v>
      </c>
      <c r="M10" s="157">
        <f t="shared" ref="M10" si="0">I10+L10</f>
        <v>4509</v>
      </c>
      <c r="N10" s="157">
        <f t="shared" ref="N10:N12" si="1">VLOOKUP(M10,Tarifa1,1)</f>
        <v>3124.36</v>
      </c>
      <c r="O10" s="157">
        <f t="shared" ref="O10" si="2">M10-N10</f>
        <v>1384.6399999999999</v>
      </c>
      <c r="P10" s="158">
        <f t="shared" ref="P10:P12" si="3">VLOOKUP(M10,Tarifa1,3)</f>
        <v>0.10879999999999999</v>
      </c>
      <c r="Q10" s="157">
        <f t="shared" ref="Q10" si="4">O10*P10</f>
        <v>150.64883199999997</v>
      </c>
      <c r="R10" s="159">
        <f t="shared" ref="R10:R12" si="5">VLOOKUP(M10,Tarifa1,2)</f>
        <v>183.45</v>
      </c>
      <c r="S10" s="157">
        <f t="shared" ref="S10" si="6">Q10+R10</f>
        <v>334.09883199999996</v>
      </c>
      <c r="T10" s="157">
        <f t="shared" ref="T10:T12" si="7">VLOOKUP(M10,Credito1,2)</f>
        <v>195</v>
      </c>
      <c r="U10" s="157">
        <f t="shared" ref="U10" si="8">ROUND(S10-T10,2)</f>
        <v>139.1</v>
      </c>
      <c r="V10" s="156">
        <f>-IF(U10&gt;0,0,0)</f>
        <v>0</v>
      </c>
      <c r="W10" s="156">
        <f t="shared" ref="W10:W12" si="9">IF(I10/15&lt;=SMG,0,IF(U10&lt;0,0,U10))</f>
        <v>139.1</v>
      </c>
      <c r="X10" s="156">
        <f>SUM(W10:W10)</f>
        <v>139.1</v>
      </c>
      <c r="Y10" s="156">
        <f>K10+V10-X10</f>
        <v>4369.8999999999996</v>
      </c>
      <c r="Z10" s="92"/>
    </row>
    <row r="11" spans="1:26" s="93" customFormat="1" ht="126" customHeight="1" x14ac:dyDescent="0.35">
      <c r="A11" s="162"/>
      <c r="B11" s="181">
        <v>188</v>
      </c>
      <c r="C11" s="187" t="s">
        <v>109</v>
      </c>
      <c r="D11" s="259" t="s">
        <v>151</v>
      </c>
      <c r="E11" s="218">
        <v>43389</v>
      </c>
      <c r="F11" s="151" t="s">
        <v>231</v>
      </c>
      <c r="G11" s="152">
        <v>15</v>
      </c>
      <c r="H11" s="153"/>
      <c r="I11" s="154">
        <v>6440.5</v>
      </c>
      <c r="J11" s="155">
        <v>0</v>
      </c>
      <c r="K11" s="154">
        <f>I11</f>
        <v>6440.5</v>
      </c>
      <c r="L11" s="157">
        <f t="shared" ref="L11" si="10">IF(I11/15&lt;=SMG,0,J11/2)</f>
        <v>0</v>
      </c>
      <c r="M11" s="157">
        <f t="shared" ref="M11:M13" si="11">I11+L11</f>
        <v>6440.5</v>
      </c>
      <c r="N11" s="157">
        <f t="shared" si="1"/>
        <v>6382.81</v>
      </c>
      <c r="O11" s="157">
        <f t="shared" ref="O11:O13" si="12">M11-N11</f>
        <v>57.6899999999996</v>
      </c>
      <c r="P11" s="158">
        <f t="shared" si="3"/>
        <v>0.1792</v>
      </c>
      <c r="Q11" s="157">
        <f t="shared" ref="Q11:Q13" si="13">O11*P11</f>
        <v>10.338047999999928</v>
      </c>
      <c r="R11" s="159">
        <f t="shared" si="5"/>
        <v>583.65</v>
      </c>
      <c r="S11" s="157">
        <f t="shared" ref="S11:S13" si="14">Q11+R11</f>
        <v>593.98804799999994</v>
      </c>
      <c r="T11" s="157">
        <f t="shared" si="7"/>
        <v>0</v>
      </c>
      <c r="U11" s="157">
        <f t="shared" ref="U11:U13" si="15">ROUND(S11-T11,2)</f>
        <v>593.99</v>
      </c>
      <c r="V11" s="156">
        <f>-IF(U11&gt;0,0,0)</f>
        <v>0</v>
      </c>
      <c r="W11" s="156">
        <f t="shared" si="9"/>
        <v>593.99</v>
      </c>
      <c r="X11" s="156">
        <f>SUM(W11:W11)</f>
        <v>593.99</v>
      </c>
      <c r="Y11" s="156">
        <f>K11+V11-X11+J11</f>
        <v>5846.51</v>
      </c>
      <c r="Z11" s="92"/>
    </row>
    <row r="12" spans="1:26" s="93" customFormat="1" ht="126" customHeight="1" x14ac:dyDescent="0.35">
      <c r="A12" s="188"/>
      <c r="B12" s="149" t="s">
        <v>211</v>
      </c>
      <c r="C12" s="149" t="s">
        <v>109</v>
      </c>
      <c r="D12" s="209" t="s">
        <v>212</v>
      </c>
      <c r="E12" s="215">
        <v>43512</v>
      </c>
      <c r="F12" s="150" t="s">
        <v>112</v>
      </c>
      <c r="G12" s="152">
        <v>15</v>
      </c>
      <c r="H12" s="153"/>
      <c r="I12" s="154">
        <v>4509</v>
      </c>
      <c r="J12" s="155">
        <v>0</v>
      </c>
      <c r="K12" s="156">
        <f>SUM(I12:J12)</f>
        <v>4509</v>
      </c>
      <c r="L12" s="157">
        <f>IF(I12/15&lt;=SMG,0,J12/2)</f>
        <v>0</v>
      </c>
      <c r="M12" s="157">
        <f t="shared" si="11"/>
        <v>4509</v>
      </c>
      <c r="N12" s="157">
        <f t="shared" si="1"/>
        <v>3124.36</v>
      </c>
      <c r="O12" s="157">
        <f t="shared" si="12"/>
        <v>1384.6399999999999</v>
      </c>
      <c r="P12" s="158">
        <f t="shared" si="3"/>
        <v>0.10879999999999999</v>
      </c>
      <c r="Q12" s="157">
        <f t="shared" si="13"/>
        <v>150.64883199999997</v>
      </c>
      <c r="R12" s="159">
        <f t="shared" si="5"/>
        <v>183.45</v>
      </c>
      <c r="S12" s="157">
        <f t="shared" si="14"/>
        <v>334.09883199999996</v>
      </c>
      <c r="T12" s="157">
        <f t="shared" si="7"/>
        <v>195</v>
      </c>
      <c r="U12" s="157">
        <f t="shared" si="15"/>
        <v>139.1</v>
      </c>
      <c r="V12" s="156">
        <f>-IF(U12&gt;0,0,0)</f>
        <v>0</v>
      </c>
      <c r="W12" s="156">
        <f t="shared" si="9"/>
        <v>139.1</v>
      </c>
      <c r="X12" s="156">
        <f>SUM(W12:W12)</f>
        <v>139.1</v>
      </c>
      <c r="Y12" s="156">
        <f>K12+V12-X12</f>
        <v>4369.8999999999996</v>
      </c>
      <c r="Z12" s="92"/>
    </row>
    <row r="13" spans="1:26" s="93" customFormat="1" ht="126" customHeight="1" x14ac:dyDescent="0.3">
      <c r="A13" s="188"/>
      <c r="B13" s="181">
        <v>317</v>
      </c>
      <c r="C13" s="149" t="s">
        <v>109</v>
      </c>
      <c r="D13" s="210" t="s">
        <v>277</v>
      </c>
      <c r="E13" s="217">
        <v>45078</v>
      </c>
      <c r="F13" s="150" t="s">
        <v>112</v>
      </c>
      <c r="G13" s="152">
        <v>15</v>
      </c>
      <c r="H13" s="153"/>
      <c r="I13" s="154">
        <v>4509</v>
      </c>
      <c r="J13" s="155">
        <v>0</v>
      </c>
      <c r="K13" s="156">
        <f>SUM(I13:J13)</f>
        <v>4509</v>
      </c>
      <c r="L13" s="157">
        <f>IF(I13/15&lt;=SMG,0,J13/2)</f>
        <v>0</v>
      </c>
      <c r="M13" s="157">
        <f t="shared" si="11"/>
        <v>4509</v>
      </c>
      <c r="N13" s="157">
        <f t="shared" ref="N13" si="16">VLOOKUP(M13,Tarifa1,1)</f>
        <v>3124.36</v>
      </c>
      <c r="O13" s="157">
        <f t="shared" si="12"/>
        <v>1384.6399999999999</v>
      </c>
      <c r="P13" s="158">
        <f t="shared" ref="P13" si="17">VLOOKUP(M13,Tarifa1,3)</f>
        <v>0.10879999999999999</v>
      </c>
      <c r="Q13" s="157">
        <f t="shared" si="13"/>
        <v>150.64883199999997</v>
      </c>
      <c r="R13" s="159">
        <f t="shared" ref="R13" si="18">VLOOKUP(M13,Tarifa1,2)</f>
        <v>183.45</v>
      </c>
      <c r="S13" s="157">
        <f t="shared" si="14"/>
        <v>334.09883199999996</v>
      </c>
      <c r="T13" s="157">
        <f t="shared" ref="T13" si="19">VLOOKUP(M13,Credito1,2)</f>
        <v>195</v>
      </c>
      <c r="U13" s="157">
        <f t="shared" si="15"/>
        <v>139.1</v>
      </c>
      <c r="V13" s="156">
        <f t="shared" ref="V13:V14" si="20">-IF(U13&gt;0,0,0)</f>
        <v>0</v>
      </c>
      <c r="W13" s="156">
        <f t="shared" ref="W13" si="21">IF(I13/15&lt;=SMG,0,IF(U13&lt;0,0,U13))</f>
        <v>139.1</v>
      </c>
      <c r="X13" s="156">
        <f>SUM(W13:W13)</f>
        <v>139.1</v>
      </c>
      <c r="Y13" s="156">
        <f>K13+V13-X13</f>
        <v>4369.8999999999996</v>
      </c>
      <c r="Z13" s="92"/>
    </row>
    <row r="14" spans="1:26" s="93" customFormat="1" ht="126" customHeight="1" x14ac:dyDescent="0.3">
      <c r="A14" s="188"/>
      <c r="B14" s="181">
        <v>353</v>
      </c>
      <c r="C14" s="149" t="s">
        <v>109</v>
      </c>
      <c r="D14" s="210" t="s">
        <v>327</v>
      </c>
      <c r="E14" s="217">
        <v>45391</v>
      </c>
      <c r="F14" s="150" t="s">
        <v>112</v>
      </c>
      <c r="G14" s="152">
        <v>15</v>
      </c>
      <c r="H14" s="153"/>
      <c r="I14" s="154">
        <v>4509</v>
      </c>
      <c r="J14" s="155">
        <v>0</v>
      </c>
      <c r="K14" s="156">
        <f>SUM(I14:J14)</f>
        <v>4509</v>
      </c>
      <c r="L14" s="157">
        <f>IF(I14/15&lt;=SMG,0,J14/2)</f>
        <v>0</v>
      </c>
      <c r="M14" s="157">
        <f t="shared" ref="M14" si="22">I14+L14</f>
        <v>4509</v>
      </c>
      <c r="N14" s="157">
        <f t="shared" ref="N14" si="23">VLOOKUP(M14,Tarifa1,1)</f>
        <v>3124.36</v>
      </c>
      <c r="O14" s="157">
        <f t="shared" ref="O14" si="24">M14-N14</f>
        <v>1384.6399999999999</v>
      </c>
      <c r="P14" s="158">
        <f t="shared" ref="P14" si="25">VLOOKUP(M14,Tarifa1,3)</f>
        <v>0.10879999999999999</v>
      </c>
      <c r="Q14" s="157">
        <f t="shared" ref="Q14" si="26">O14*P14</f>
        <v>150.64883199999997</v>
      </c>
      <c r="R14" s="159">
        <f t="shared" ref="R14" si="27">VLOOKUP(M14,Tarifa1,2)</f>
        <v>183.45</v>
      </c>
      <c r="S14" s="157">
        <f t="shared" ref="S14" si="28">Q14+R14</f>
        <v>334.09883199999996</v>
      </c>
      <c r="T14" s="157">
        <f t="shared" ref="T14" si="29">VLOOKUP(M14,Credito1,2)</f>
        <v>195</v>
      </c>
      <c r="U14" s="157">
        <f t="shared" ref="U14" si="30">ROUND(S14-T14,2)</f>
        <v>139.1</v>
      </c>
      <c r="V14" s="156">
        <f t="shared" si="20"/>
        <v>0</v>
      </c>
      <c r="W14" s="156">
        <f t="shared" ref="W14" si="31">IF(I14/15&lt;=SMG,0,IF(U14&lt;0,0,U14))</f>
        <v>139.1</v>
      </c>
      <c r="X14" s="156">
        <f>SUM(W14:W14)</f>
        <v>139.1</v>
      </c>
      <c r="Y14" s="156">
        <f>K14+V14-X14</f>
        <v>4369.8999999999996</v>
      </c>
      <c r="Z14" s="92"/>
    </row>
    <row r="15" spans="1:26" ht="17.399999999999999" x14ac:dyDescent="0.3">
      <c r="A15" s="171"/>
      <c r="B15" s="171"/>
      <c r="C15" s="171"/>
      <c r="D15" s="171"/>
      <c r="E15" s="171"/>
      <c r="F15" s="171"/>
      <c r="G15" s="172"/>
      <c r="H15" s="171"/>
      <c r="I15" s="173"/>
      <c r="J15" s="173"/>
      <c r="K15" s="173"/>
      <c r="L15" s="174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</row>
    <row r="16" spans="1:26" ht="45" customHeight="1" thickBot="1" x14ac:dyDescent="0.35">
      <c r="A16" s="291" t="s">
        <v>44</v>
      </c>
      <c r="B16" s="292"/>
      <c r="C16" s="292"/>
      <c r="D16" s="292"/>
      <c r="E16" s="292"/>
      <c r="F16" s="292"/>
      <c r="G16" s="292"/>
      <c r="H16" s="293"/>
      <c r="I16" s="160">
        <f t="shared" ref="I16:Y16" si="32">SUM(I10:I15)</f>
        <v>24476.5</v>
      </c>
      <c r="J16" s="160">
        <f t="shared" si="32"/>
        <v>0</v>
      </c>
      <c r="K16" s="160">
        <f t="shared" si="32"/>
        <v>24476.5</v>
      </c>
      <c r="L16" s="161">
        <f t="shared" si="32"/>
        <v>0</v>
      </c>
      <c r="M16" s="161">
        <f t="shared" si="32"/>
        <v>24476.5</v>
      </c>
      <c r="N16" s="161">
        <f t="shared" si="32"/>
        <v>18880.25</v>
      </c>
      <c r="O16" s="161">
        <f t="shared" si="32"/>
        <v>5596.2499999999982</v>
      </c>
      <c r="P16" s="161">
        <f t="shared" si="32"/>
        <v>0.61439999999999995</v>
      </c>
      <c r="Q16" s="161">
        <f t="shared" si="32"/>
        <v>612.93337599999984</v>
      </c>
      <c r="R16" s="161">
        <f t="shared" si="32"/>
        <v>1317.45</v>
      </c>
      <c r="S16" s="161">
        <f t="shared" si="32"/>
        <v>1930.3833759999995</v>
      </c>
      <c r="T16" s="161">
        <f t="shared" si="32"/>
        <v>780</v>
      </c>
      <c r="U16" s="161">
        <f t="shared" si="32"/>
        <v>1150.3900000000001</v>
      </c>
      <c r="V16" s="160">
        <f t="shared" si="32"/>
        <v>0</v>
      </c>
      <c r="W16" s="160">
        <f t="shared" si="32"/>
        <v>1150.3900000000001</v>
      </c>
      <c r="X16" s="160">
        <f t="shared" si="32"/>
        <v>1150.3900000000001</v>
      </c>
      <c r="Y16" s="160">
        <f t="shared" si="32"/>
        <v>23326.11</v>
      </c>
    </row>
    <row r="17" ht="13.8" thickTop="1" x14ac:dyDescent="0.25"/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opLeftCell="B37" zoomScale="68" zoomScaleNormal="68" workbookViewId="0">
      <selection activeCell="V4" sqref="V1:V1048576"/>
    </sheetView>
  </sheetViews>
  <sheetFormatPr baseColWidth="10" defaultColWidth="11.44140625" defaultRowHeight="13.2" x14ac:dyDescent="0.25"/>
  <cols>
    <col min="1" max="1" width="5.5546875" style="66" hidden="1" customWidth="1"/>
    <col min="2" max="2" width="10.5546875" style="66" customWidth="1"/>
    <col min="3" max="3" width="9" style="66" customWidth="1"/>
    <col min="4" max="4" width="15.33203125" style="66" customWidth="1"/>
    <col min="5" max="5" width="22" style="66" customWidth="1"/>
    <col min="6" max="6" width="11.33203125" style="66" hidden="1" customWidth="1"/>
    <col min="7" max="7" width="17.5546875" style="66" customWidth="1"/>
    <col min="8" max="8" width="14" style="66" customWidth="1"/>
    <col min="9" max="9" width="15.44140625" style="66" customWidth="1"/>
    <col min="10" max="10" width="12.6640625" style="66" hidden="1" customWidth="1"/>
    <col min="11" max="11" width="13.109375" style="66" hidden="1" customWidth="1"/>
    <col min="12" max="12" width="14.44140625" style="66" hidden="1" customWidth="1"/>
    <col min="13" max="13" width="15" style="66" hidden="1" customWidth="1"/>
    <col min="14" max="14" width="11" style="66" hidden="1" customWidth="1"/>
    <col min="15" max="16" width="13.109375" style="66" hidden="1" customWidth="1"/>
    <col min="17" max="17" width="15.44140625" style="66" hidden="1" customWidth="1"/>
    <col min="18" max="18" width="10.44140625" style="66" hidden="1" customWidth="1"/>
    <col min="19" max="19" width="13.109375" style="66" hidden="1" customWidth="1"/>
    <col min="20" max="20" width="11.5546875" style="66" customWidth="1"/>
    <col min="21" max="21" width="15.5546875" style="66" customWidth="1"/>
    <col min="22" max="22" width="15.88671875" style="66" customWidth="1"/>
    <col min="23" max="23" width="15.44140625" style="66" customWidth="1"/>
    <col min="24" max="24" width="111.88671875" style="66" customWidth="1"/>
    <col min="25" max="25" width="73.44140625" style="66" customWidth="1"/>
    <col min="26" max="16384" width="11.44140625" style="66"/>
  </cols>
  <sheetData>
    <row r="1" spans="1:26" ht="17.399999999999999" x14ac:dyDescent="0.3">
      <c r="A1" s="304" t="s">
        <v>76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4"/>
    </row>
    <row r="2" spans="1:26" ht="17.399999999999999" x14ac:dyDescent="0.3">
      <c r="A2" s="304" t="s">
        <v>63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4"/>
    </row>
    <row r="3" spans="1:26" ht="19.5" customHeight="1" x14ac:dyDescent="0.3">
      <c r="A3" s="42" t="s">
        <v>173</v>
      </c>
      <c r="B3" s="332" t="s">
        <v>354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278"/>
      <c r="Z3" s="278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305" t="s">
        <v>1</v>
      </c>
      <c r="H5" s="306"/>
      <c r="I5" s="307"/>
      <c r="J5" s="24" t="s">
        <v>25</v>
      </c>
      <c r="K5" s="25"/>
      <c r="L5" s="308" t="s">
        <v>8</v>
      </c>
      <c r="M5" s="309"/>
      <c r="N5" s="309"/>
      <c r="O5" s="309"/>
      <c r="P5" s="309"/>
      <c r="Q5" s="310"/>
      <c r="R5" s="24" t="s">
        <v>29</v>
      </c>
      <c r="S5" s="24" t="s">
        <v>9</v>
      </c>
      <c r="T5" s="23" t="s">
        <v>52</v>
      </c>
      <c r="U5" s="311" t="s">
        <v>2</v>
      </c>
      <c r="V5" s="312"/>
      <c r="W5" s="23" t="s">
        <v>0</v>
      </c>
      <c r="X5" s="104"/>
      <c r="Y5" s="4"/>
    </row>
    <row r="6" spans="1:26" ht="32.25" customHeight="1" x14ac:dyDescent="0.25">
      <c r="A6" s="26" t="s">
        <v>20</v>
      </c>
      <c r="B6" s="45" t="s">
        <v>98</v>
      </c>
      <c r="C6" s="45" t="s">
        <v>110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256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123</v>
      </c>
      <c r="T7" s="26" t="s">
        <v>51</v>
      </c>
      <c r="U7" s="26"/>
      <c r="V7" s="26" t="s">
        <v>43</v>
      </c>
      <c r="W7" s="26" t="s">
        <v>4</v>
      </c>
      <c r="X7" s="105"/>
      <c r="Y7" s="4"/>
    </row>
    <row r="8" spans="1:26" ht="26.25" customHeight="1" x14ac:dyDescent="0.25">
      <c r="A8" s="39"/>
      <c r="B8" s="103"/>
      <c r="C8" s="103"/>
      <c r="D8" s="101" t="s">
        <v>265</v>
      </c>
      <c r="E8" s="37" t="s">
        <v>60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99"/>
      <c r="Y8" s="4"/>
    </row>
    <row r="9" spans="1:26" ht="144" customHeight="1" x14ac:dyDescent="0.3">
      <c r="A9" s="110" t="s">
        <v>82</v>
      </c>
      <c r="B9" s="149" t="s">
        <v>319</v>
      </c>
      <c r="C9" s="149" t="s">
        <v>109</v>
      </c>
      <c r="D9" s="221">
        <v>45367</v>
      </c>
      <c r="E9" s="150" t="s">
        <v>65</v>
      </c>
      <c r="F9" s="152">
        <v>15</v>
      </c>
      <c r="G9" s="154">
        <v>10602</v>
      </c>
      <c r="H9" s="155">
        <v>0</v>
      </c>
      <c r="I9" s="156">
        <f t="shared" ref="I9" si="0">SUM(G9:H9)</f>
        <v>10602</v>
      </c>
      <c r="J9" s="157">
        <f t="shared" ref="J9" si="1">IF(G9/15&lt;=SMG,0,H9/2)</f>
        <v>0</v>
      </c>
      <c r="K9" s="157">
        <f t="shared" ref="K9" si="2">G9+J9</f>
        <v>10602</v>
      </c>
      <c r="L9" s="157">
        <f t="shared" ref="L9" si="3">VLOOKUP(K9,Tarifa1,1)</f>
        <v>7641.91</v>
      </c>
      <c r="M9" s="157">
        <f>K9-L9</f>
        <v>2960.09</v>
      </c>
      <c r="N9" s="158">
        <f t="shared" ref="N9" si="4">VLOOKUP(K9,Tarifa1,3)</f>
        <v>0.21360000000000001</v>
      </c>
      <c r="O9" s="157">
        <f>M9*N9</f>
        <v>632.27522400000009</v>
      </c>
      <c r="P9" s="159">
        <f t="shared" ref="P9" si="5">VLOOKUP(K9,Tarifa1,2)</f>
        <v>809.25</v>
      </c>
      <c r="Q9" s="157">
        <f>O9+P9</f>
        <v>1441.525224</v>
      </c>
      <c r="R9" s="157">
        <f t="shared" ref="R9" si="6">VLOOKUP(K9,Credito1,2)</f>
        <v>0</v>
      </c>
      <c r="S9" s="157">
        <f>ROUND(Q9-R9,2)</f>
        <v>1441.53</v>
      </c>
      <c r="T9" s="156">
        <f>-IF(S9&gt;0,0,0)</f>
        <v>0</v>
      </c>
      <c r="U9" s="156">
        <f t="shared" ref="U9" si="7">IF(G9/15&lt;=SMG,0,IF(S9&lt;0,0,S9))</f>
        <v>1441.53</v>
      </c>
      <c r="V9" s="156">
        <f t="shared" ref="V9:V18" si="8">SUM(U9:U9)</f>
        <v>1441.53</v>
      </c>
      <c r="W9" s="156">
        <f>I9+T9-U9</f>
        <v>9160.4699999999993</v>
      </c>
      <c r="X9" s="88"/>
      <c r="Y9" s="4"/>
    </row>
    <row r="10" spans="1:26" s="93" customFormat="1" ht="144" customHeight="1" x14ac:dyDescent="0.3">
      <c r="A10" s="188"/>
      <c r="B10" s="149" t="s">
        <v>164</v>
      </c>
      <c r="C10" s="149" t="s">
        <v>109</v>
      </c>
      <c r="D10" s="221">
        <v>43601</v>
      </c>
      <c r="E10" s="151" t="s">
        <v>78</v>
      </c>
      <c r="F10" s="152">
        <v>15</v>
      </c>
      <c r="G10" s="154">
        <v>8661.5</v>
      </c>
      <c r="H10" s="155">
        <v>0</v>
      </c>
      <c r="I10" s="156">
        <f t="shared" ref="I10:I12" si="9">SUM(G10:H10)</f>
        <v>8661.5</v>
      </c>
      <c r="J10" s="157">
        <f t="shared" ref="J10:J12" si="10">IF(G10/15&lt;=SMG,0,H10/2)</f>
        <v>0</v>
      </c>
      <c r="K10" s="157">
        <f t="shared" ref="K10:K12" si="11">G10+J10</f>
        <v>8661.5</v>
      </c>
      <c r="L10" s="157">
        <f t="shared" ref="L10" si="12">VLOOKUP(K10,Tarifa1,1)</f>
        <v>7641.91</v>
      </c>
      <c r="M10" s="157">
        <f t="shared" ref="M10" si="13">K10-L10</f>
        <v>1019.5900000000001</v>
      </c>
      <c r="N10" s="158">
        <f t="shared" ref="N10" si="14">VLOOKUP(K10,Tarifa1,3)</f>
        <v>0.21360000000000001</v>
      </c>
      <c r="O10" s="157">
        <f t="shared" ref="O10" si="15">M10*N10</f>
        <v>217.78442400000003</v>
      </c>
      <c r="P10" s="159">
        <f t="shared" ref="P10" si="16">VLOOKUP(K10,Tarifa1,2)</f>
        <v>809.25</v>
      </c>
      <c r="Q10" s="157">
        <f t="shared" ref="Q10" si="17">O10+P10</f>
        <v>1027.0344239999999</v>
      </c>
      <c r="R10" s="157">
        <f t="shared" ref="R10" si="18">VLOOKUP(K10,Credito1,2)</f>
        <v>0</v>
      </c>
      <c r="S10" s="157">
        <f t="shared" ref="S10" si="19">ROUND(Q10-R10,2)</f>
        <v>1027.03</v>
      </c>
      <c r="T10" s="156">
        <f t="shared" ref="T10:T12" si="20">-IF(S10&gt;0,0,0)</f>
        <v>0</v>
      </c>
      <c r="U10" s="156">
        <f t="shared" ref="U10" si="21">IF(G10/15&lt;=SMG,0,IF(S10&lt;0,0,S10))</f>
        <v>1027.03</v>
      </c>
      <c r="V10" s="156">
        <f t="shared" si="8"/>
        <v>1027.03</v>
      </c>
      <c r="W10" s="156">
        <f t="shared" ref="W10:W18" si="22">I10+T10-V10</f>
        <v>7634.47</v>
      </c>
      <c r="X10" s="88"/>
      <c r="Y10" s="4"/>
    </row>
    <row r="11" spans="1:26" s="93" customFormat="1" ht="144" customHeight="1" x14ac:dyDescent="0.3">
      <c r="A11" s="188"/>
      <c r="B11" s="149" t="s">
        <v>321</v>
      </c>
      <c r="C11" s="149" t="s">
        <v>109</v>
      </c>
      <c r="D11" s="222">
        <v>45367</v>
      </c>
      <c r="E11" s="151" t="s">
        <v>78</v>
      </c>
      <c r="F11" s="152">
        <v>15</v>
      </c>
      <c r="G11" s="154">
        <v>8661.5</v>
      </c>
      <c r="H11" s="155">
        <v>0</v>
      </c>
      <c r="I11" s="156">
        <f t="shared" ref="I11" si="23">SUM(G11:H11)</f>
        <v>8661.5</v>
      </c>
      <c r="J11" s="157">
        <f t="shared" ref="J11" si="24">IF(G11/15&lt;=SMG,0,H11/2)</f>
        <v>0</v>
      </c>
      <c r="K11" s="157">
        <f t="shared" ref="K11" si="25">G11+J11</f>
        <v>8661.5</v>
      </c>
      <c r="L11" s="157">
        <f t="shared" ref="L11" si="26">VLOOKUP(K11,Tarifa1,1)</f>
        <v>7641.91</v>
      </c>
      <c r="M11" s="157">
        <f t="shared" ref="M11" si="27">K11-L11</f>
        <v>1019.5900000000001</v>
      </c>
      <c r="N11" s="158">
        <f t="shared" ref="N11" si="28">VLOOKUP(K11,Tarifa1,3)</f>
        <v>0.21360000000000001</v>
      </c>
      <c r="O11" s="157">
        <f t="shared" ref="O11" si="29">M11*N11</f>
        <v>217.78442400000003</v>
      </c>
      <c r="P11" s="159">
        <f t="shared" ref="P11" si="30">VLOOKUP(K11,Tarifa1,2)</f>
        <v>809.25</v>
      </c>
      <c r="Q11" s="157">
        <f t="shared" ref="Q11" si="31">O11+P11</f>
        <v>1027.0344239999999</v>
      </c>
      <c r="R11" s="157">
        <f t="shared" ref="R11" si="32">VLOOKUP(K11,Credito1,2)</f>
        <v>0</v>
      </c>
      <c r="S11" s="157">
        <f t="shared" ref="S11" si="33">ROUND(Q11-R11,2)</f>
        <v>1027.03</v>
      </c>
      <c r="T11" s="156">
        <f t="shared" ref="T11" si="34">-IF(S11&gt;0,0,0)</f>
        <v>0</v>
      </c>
      <c r="U11" s="156">
        <f t="shared" ref="U11" si="35">IF(G11/15&lt;=SMG,0,IF(S11&lt;0,0,S11))</f>
        <v>1027.03</v>
      </c>
      <c r="V11" s="156">
        <f t="shared" si="8"/>
        <v>1027.03</v>
      </c>
      <c r="W11" s="156">
        <f t="shared" si="22"/>
        <v>7634.47</v>
      </c>
      <c r="X11" s="88"/>
      <c r="Y11" s="4"/>
    </row>
    <row r="12" spans="1:26" s="93" customFormat="1" ht="144" customHeight="1" x14ac:dyDescent="0.3">
      <c r="A12" s="188"/>
      <c r="B12" s="149" t="s">
        <v>320</v>
      </c>
      <c r="C12" s="149" t="s">
        <v>109</v>
      </c>
      <c r="D12" s="221">
        <v>45367</v>
      </c>
      <c r="E12" s="151" t="s">
        <v>235</v>
      </c>
      <c r="F12" s="152">
        <v>15</v>
      </c>
      <c r="G12" s="154">
        <v>8256.5</v>
      </c>
      <c r="H12" s="155">
        <v>0</v>
      </c>
      <c r="I12" s="156">
        <f t="shared" si="9"/>
        <v>8256.5</v>
      </c>
      <c r="J12" s="157">
        <f t="shared" si="10"/>
        <v>0</v>
      </c>
      <c r="K12" s="157">
        <f t="shared" si="11"/>
        <v>8256.5</v>
      </c>
      <c r="L12" s="157">
        <f t="shared" ref="L12" si="36">VLOOKUP(K12,Tarifa1,1)</f>
        <v>7641.91</v>
      </c>
      <c r="M12" s="157">
        <f t="shared" ref="M12" si="37">K12-L12</f>
        <v>614.59000000000015</v>
      </c>
      <c r="N12" s="158">
        <f t="shared" ref="N12" si="38">VLOOKUP(K12,Tarifa1,3)</f>
        <v>0.21360000000000001</v>
      </c>
      <c r="O12" s="157">
        <f t="shared" ref="O12" si="39">M12*N12</f>
        <v>131.27642400000005</v>
      </c>
      <c r="P12" s="159">
        <f t="shared" ref="P12" si="40">VLOOKUP(K12,Tarifa1,2)</f>
        <v>809.25</v>
      </c>
      <c r="Q12" s="157">
        <f t="shared" ref="Q12" si="41">O12+P12</f>
        <v>940.52642400000002</v>
      </c>
      <c r="R12" s="157">
        <f t="shared" ref="R12" si="42">VLOOKUP(K12,Credito1,2)</f>
        <v>0</v>
      </c>
      <c r="S12" s="157">
        <f t="shared" ref="S12" si="43">ROUND(Q12-R12,2)</f>
        <v>940.53</v>
      </c>
      <c r="T12" s="156">
        <f t="shared" si="20"/>
        <v>0</v>
      </c>
      <c r="U12" s="156">
        <f t="shared" ref="U12" si="44">IF(G12/15&lt;=SMG,0,IF(S12&lt;0,0,S12))</f>
        <v>940.53</v>
      </c>
      <c r="V12" s="156">
        <f t="shared" si="8"/>
        <v>940.53</v>
      </c>
      <c r="W12" s="156">
        <f t="shared" si="22"/>
        <v>7315.97</v>
      </c>
      <c r="X12" s="88"/>
      <c r="Y12" s="4"/>
    </row>
    <row r="13" spans="1:26" s="93" customFormat="1" ht="144" customHeight="1" x14ac:dyDescent="0.3">
      <c r="A13" s="188"/>
      <c r="B13" s="149" t="s">
        <v>318</v>
      </c>
      <c r="C13" s="149" t="s">
        <v>109</v>
      </c>
      <c r="D13" s="222">
        <v>45352</v>
      </c>
      <c r="E13" s="151" t="s">
        <v>235</v>
      </c>
      <c r="F13" s="152">
        <v>15</v>
      </c>
      <c r="G13" s="154">
        <v>8256.5</v>
      </c>
      <c r="H13" s="155">
        <v>0</v>
      </c>
      <c r="I13" s="156">
        <f t="shared" ref="I13" si="45">SUM(G13:H13)</f>
        <v>8256.5</v>
      </c>
      <c r="J13" s="157">
        <f t="shared" ref="J13" si="46">IF(G13/15&lt;=SMG,0,H13/2)</f>
        <v>0</v>
      </c>
      <c r="K13" s="157">
        <f t="shared" ref="K13" si="47">G13+J13</f>
        <v>8256.5</v>
      </c>
      <c r="L13" s="157">
        <f t="shared" ref="L13" si="48">VLOOKUP(K13,Tarifa1,1)</f>
        <v>7641.91</v>
      </c>
      <c r="M13" s="157">
        <f t="shared" ref="M13" si="49">K13-L13</f>
        <v>614.59000000000015</v>
      </c>
      <c r="N13" s="158">
        <f t="shared" ref="N13" si="50">VLOOKUP(K13,Tarifa1,3)</f>
        <v>0.21360000000000001</v>
      </c>
      <c r="O13" s="157">
        <f t="shared" ref="O13" si="51">M13*N13</f>
        <v>131.27642400000005</v>
      </c>
      <c r="P13" s="159">
        <f t="shared" ref="P13" si="52">VLOOKUP(K13,Tarifa1,2)</f>
        <v>809.25</v>
      </c>
      <c r="Q13" s="157">
        <f t="shared" ref="Q13" si="53">O13+P13</f>
        <v>940.52642400000002</v>
      </c>
      <c r="R13" s="157">
        <f t="shared" ref="R13" si="54">VLOOKUP(K13,Credito1,2)</f>
        <v>0</v>
      </c>
      <c r="S13" s="157">
        <f t="shared" ref="S13" si="55">ROUND(Q13-R13,2)</f>
        <v>940.53</v>
      </c>
      <c r="T13" s="156">
        <f t="shared" ref="T13" si="56">-IF(S13&gt;0,0,0)</f>
        <v>0</v>
      </c>
      <c r="U13" s="156">
        <f t="shared" ref="U13" si="57">IF(G13/15&lt;=SMG,0,IF(S13&lt;0,0,S13))</f>
        <v>940.53</v>
      </c>
      <c r="V13" s="156">
        <f t="shared" si="8"/>
        <v>940.53</v>
      </c>
      <c r="W13" s="156">
        <f t="shared" si="22"/>
        <v>7315.97</v>
      </c>
      <c r="X13" s="88"/>
      <c r="Y13" s="4"/>
    </row>
    <row r="14" spans="1:26" s="93" customFormat="1" ht="144" customHeight="1" x14ac:dyDescent="0.3">
      <c r="A14" s="188"/>
      <c r="B14" s="149" t="s">
        <v>102</v>
      </c>
      <c r="C14" s="149" t="s">
        <v>109</v>
      </c>
      <c r="D14" s="222">
        <v>41898</v>
      </c>
      <c r="E14" s="151" t="s">
        <v>79</v>
      </c>
      <c r="F14" s="152">
        <v>15</v>
      </c>
      <c r="G14" s="154">
        <v>7851.5</v>
      </c>
      <c r="H14" s="155">
        <v>0</v>
      </c>
      <c r="I14" s="156">
        <f t="shared" ref="I14:I18" si="58">SUM(G14:H14)</f>
        <v>7851.5</v>
      </c>
      <c r="J14" s="157">
        <f t="shared" ref="J14:J18" si="59">IF(G14/15&lt;=SMG,0,H14/2)</f>
        <v>0</v>
      </c>
      <c r="K14" s="157">
        <f t="shared" ref="K14:K18" si="60">G14+J14</f>
        <v>7851.5</v>
      </c>
      <c r="L14" s="157">
        <f t="shared" ref="L14:L18" si="61">VLOOKUP(K14,Tarifa1,1)</f>
        <v>7641.91</v>
      </c>
      <c r="M14" s="157">
        <f t="shared" ref="M14:M18" si="62">K14-L14</f>
        <v>209.59000000000015</v>
      </c>
      <c r="N14" s="158">
        <f t="shared" ref="N14:N18" si="63">VLOOKUP(K14,Tarifa1,3)</f>
        <v>0.21360000000000001</v>
      </c>
      <c r="O14" s="157">
        <f t="shared" ref="O14:O18" si="64">M14*N14</f>
        <v>44.768424000000032</v>
      </c>
      <c r="P14" s="159">
        <f t="shared" ref="P14:P18" si="65">VLOOKUP(K14,Tarifa1,2)</f>
        <v>809.25</v>
      </c>
      <c r="Q14" s="157">
        <f t="shared" ref="Q14:Q18" si="66">O14+P14</f>
        <v>854.01842399999998</v>
      </c>
      <c r="R14" s="157">
        <f t="shared" ref="R14:R18" si="67">VLOOKUP(K14,Credito1,2)</f>
        <v>0</v>
      </c>
      <c r="S14" s="157">
        <f t="shared" ref="S14:S18" si="68">ROUND(Q14-R14,2)</f>
        <v>854.02</v>
      </c>
      <c r="T14" s="156">
        <f t="shared" ref="T14:T18" si="69">-IF(S14&gt;0,0,0)</f>
        <v>0</v>
      </c>
      <c r="U14" s="156">
        <f t="shared" ref="U14:U18" si="70">IF(G14/15&lt;=SMG,0,IF(S14&lt;0,0,S14))</f>
        <v>854.02</v>
      </c>
      <c r="V14" s="156">
        <f t="shared" si="8"/>
        <v>854.02</v>
      </c>
      <c r="W14" s="156">
        <f t="shared" si="22"/>
        <v>6997.48</v>
      </c>
      <c r="X14" s="88"/>
      <c r="Y14" s="4"/>
    </row>
    <row r="15" spans="1:26" s="93" customFormat="1" ht="144" customHeight="1" x14ac:dyDescent="0.3">
      <c r="A15" s="188"/>
      <c r="B15" s="149" t="s">
        <v>174</v>
      </c>
      <c r="C15" s="149" t="s">
        <v>109</v>
      </c>
      <c r="D15" s="221">
        <v>43831</v>
      </c>
      <c r="E15" s="151" t="s">
        <v>79</v>
      </c>
      <c r="F15" s="190">
        <v>15</v>
      </c>
      <c r="G15" s="154">
        <v>7851.5</v>
      </c>
      <c r="H15" s="155">
        <v>0</v>
      </c>
      <c r="I15" s="156">
        <f t="shared" si="58"/>
        <v>7851.5</v>
      </c>
      <c r="J15" s="157">
        <f t="shared" si="59"/>
        <v>0</v>
      </c>
      <c r="K15" s="157">
        <f t="shared" si="60"/>
        <v>7851.5</v>
      </c>
      <c r="L15" s="157">
        <f t="shared" si="61"/>
        <v>7641.91</v>
      </c>
      <c r="M15" s="157">
        <f t="shared" si="62"/>
        <v>209.59000000000015</v>
      </c>
      <c r="N15" s="158">
        <f t="shared" si="63"/>
        <v>0.21360000000000001</v>
      </c>
      <c r="O15" s="157">
        <f t="shared" si="64"/>
        <v>44.768424000000032</v>
      </c>
      <c r="P15" s="159">
        <f t="shared" si="65"/>
        <v>809.25</v>
      </c>
      <c r="Q15" s="157">
        <f t="shared" si="66"/>
        <v>854.01842399999998</v>
      </c>
      <c r="R15" s="157">
        <f t="shared" si="67"/>
        <v>0</v>
      </c>
      <c r="S15" s="157">
        <f t="shared" si="68"/>
        <v>854.02</v>
      </c>
      <c r="T15" s="156">
        <f t="shared" si="69"/>
        <v>0</v>
      </c>
      <c r="U15" s="156">
        <f t="shared" si="70"/>
        <v>854.02</v>
      </c>
      <c r="V15" s="156">
        <f t="shared" si="8"/>
        <v>854.02</v>
      </c>
      <c r="W15" s="156">
        <f t="shared" si="22"/>
        <v>6997.48</v>
      </c>
      <c r="X15" s="88"/>
      <c r="Y15" s="4"/>
    </row>
    <row r="16" spans="1:26" s="93" customFormat="1" ht="144" customHeight="1" x14ac:dyDescent="0.3">
      <c r="A16" s="188"/>
      <c r="B16" s="149" t="s">
        <v>233</v>
      </c>
      <c r="C16" s="149" t="s">
        <v>109</v>
      </c>
      <c r="D16" s="221">
        <v>44608</v>
      </c>
      <c r="E16" s="151" t="s">
        <v>79</v>
      </c>
      <c r="F16" s="152"/>
      <c r="G16" s="154">
        <v>7851.5</v>
      </c>
      <c r="H16" s="155">
        <v>0</v>
      </c>
      <c r="I16" s="156">
        <f t="shared" si="58"/>
        <v>7851.5</v>
      </c>
      <c r="J16" s="157">
        <f t="shared" si="59"/>
        <v>0</v>
      </c>
      <c r="K16" s="157">
        <f t="shared" si="60"/>
        <v>7851.5</v>
      </c>
      <c r="L16" s="157">
        <f t="shared" si="61"/>
        <v>7641.91</v>
      </c>
      <c r="M16" s="157">
        <f t="shared" si="62"/>
        <v>209.59000000000015</v>
      </c>
      <c r="N16" s="158">
        <f t="shared" si="63"/>
        <v>0.21360000000000001</v>
      </c>
      <c r="O16" s="157">
        <f t="shared" si="64"/>
        <v>44.768424000000032</v>
      </c>
      <c r="P16" s="159">
        <f t="shared" si="65"/>
        <v>809.25</v>
      </c>
      <c r="Q16" s="157">
        <f t="shared" si="66"/>
        <v>854.01842399999998</v>
      </c>
      <c r="R16" s="157">
        <f t="shared" si="67"/>
        <v>0</v>
      </c>
      <c r="S16" s="157">
        <f t="shared" si="68"/>
        <v>854.02</v>
      </c>
      <c r="T16" s="156">
        <f t="shared" si="69"/>
        <v>0</v>
      </c>
      <c r="U16" s="156">
        <f t="shared" si="70"/>
        <v>854.02</v>
      </c>
      <c r="V16" s="156">
        <f t="shared" si="8"/>
        <v>854.02</v>
      </c>
      <c r="W16" s="156">
        <f t="shared" si="22"/>
        <v>6997.48</v>
      </c>
      <c r="X16" s="89"/>
      <c r="Y16" s="4"/>
    </row>
    <row r="17" spans="1:25" ht="144" customHeight="1" x14ac:dyDescent="0.3">
      <c r="A17" s="188"/>
      <c r="B17" s="149" t="s">
        <v>283</v>
      </c>
      <c r="C17" s="149" t="s">
        <v>109</v>
      </c>
      <c r="D17" s="222">
        <v>45092</v>
      </c>
      <c r="E17" s="151" t="s">
        <v>79</v>
      </c>
      <c r="F17" s="152"/>
      <c r="G17" s="154">
        <v>7851.5</v>
      </c>
      <c r="H17" s="155">
        <v>0</v>
      </c>
      <c r="I17" s="156">
        <f t="shared" si="58"/>
        <v>7851.5</v>
      </c>
      <c r="J17" s="157">
        <f t="shared" si="59"/>
        <v>0</v>
      </c>
      <c r="K17" s="157">
        <f t="shared" si="60"/>
        <v>7851.5</v>
      </c>
      <c r="L17" s="157">
        <f t="shared" si="61"/>
        <v>7641.91</v>
      </c>
      <c r="M17" s="157">
        <f t="shared" si="62"/>
        <v>209.59000000000015</v>
      </c>
      <c r="N17" s="158">
        <f t="shared" si="63"/>
        <v>0.21360000000000001</v>
      </c>
      <c r="O17" s="157">
        <f t="shared" si="64"/>
        <v>44.768424000000032</v>
      </c>
      <c r="P17" s="159">
        <f t="shared" si="65"/>
        <v>809.25</v>
      </c>
      <c r="Q17" s="157">
        <f t="shared" si="66"/>
        <v>854.01842399999998</v>
      </c>
      <c r="R17" s="157">
        <f t="shared" si="67"/>
        <v>0</v>
      </c>
      <c r="S17" s="157">
        <f t="shared" si="68"/>
        <v>854.02</v>
      </c>
      <c r="T17" s="156">
        <f t="shared" si="69"/>
        <v>0</v>
      </c>
      <c r="U17" s="156">
        <f t="shared" si="70"/>
        <v>854.02</v>
      </c>
      <c r="V17" s="156">
        <f t="shared" si="8"/>
        <v>854.02</v>
      </c>
      <c r="W17" s="156">
        <f t="shared" si="22"/>
        <v>6997.48</v>
      </c>
      <c r="X17" s="89"/>
      <c r="Y17" s="4"/>
    </row>
    <row r="18" spans="1:25" ht="144" customHeight="1" x14ac:dyDescent="0.3">
      <c r="A18" s="188"/>
      <c r="B18" s="149" t="s">
        <v>322</v>
      </c>
      <c r="C18" s="149" t="s">
        <v>109</v>
      </c>
      <c r="D18" s="222">
        <v>45367</v>
      </c>
      <c r="E18" s="151" t="s">
        <v>79</v>
      </c>
      <c r="F18" s="152"/>
      <c r="G18" s="154">
        <v>7851.5</v>
      </c>
      <c r="H18" s="155">
        <v>0</v>
      </c>
      <c r="I18" s="156">
        <f t="shared" si="58"/>
        <v>7851.5</v>
      </c>
      <c r="J18" s="157">
        <f t="shared" si="59"/>
        <v>0</v>
      </c>
      <c r="K18" s="157">
        <f t="shared" si="60"/>
        <v>7851.5</v>
      </c>
      <c r="L18" s="157">
        <f t="shared" si="61"/>
        <v>7641.91</v>
      </c>
      <c r="M18" s="157">
        <f t="shared" si="62"/>
        <v>209.59000000000015</v>
      </c>
      <c r="N18" s="158">
        <f t="shared" si="63"/>
        <v>0.21360000000000001</v>
      </c>
      <c r="O18" s="157">
        <f t="shared" si="64"/>
        <v>44.768424000000032</v>
      </c>
      <c r="P18" s="159">
        <f t="shared" si="65"/>
        <v>809.25</v>
      </c>
      <c r="Q18" s="157">
        <f t="shared" si="66"/>
        <v>854.01842399999998</v>
      </c>
      <c r="R18" s="157">
        <f t="shared" si="67"/>
        <v>0</v>
      </c>
      <c r="S18" s="157">
        <f t="shared" si="68"/>
        <v>854.02</v>
      </c>
      <c r="T18" s="156">
        <f t="shared" si="69"/>
        <v>0</v>
      </c>
      <c r="U18" s="156">
        <f t="shared" si="70"/>
        <v>854.02</v>
      </c>
      <c r="V18" s="156">
        <f t="shared" si="8"/>
        <v>854.02</v>
      </c>
      <c r="W18" s="156">
        <f t="shared" si="22"/>
        <v>6997.48</v>
      </c>
      <c r="X18" s="89"/>
      <c r="Y18" s="4"/>
    </row>
    <row r="19" spans="1:25" ht="50.25" customHeight="1" x14ac:dyDescent="0.3">
      <c r="A19" s="188"/>
      <c r="B19" s="188"/>
      <c r="C19" s="188"/>
      <c r="D19" s="224"/>
      <c r="E19" s="195"/>
      <c r="F19" s="196"/>
      <c r="G19" s="198"/>
      <c r="H19" s="199"/>
      <c r="I19" s="200"/>
      <c r="J19" s="275"/>
      <c r="K19" s="275"/>
      <c r="L19" s="275"/>
      <c r="M19" s="275"/>
      <c r="N19" s="276"/>
      <c r="O19" s="275"/>
      <c r="P19" s="277"/>
      <c r="Q19" s="275"/>
      <c r="R19" s="275"/>
      <c r="S19" s="275"/>
      <c r="T19" s="200"/>
      <c r="U19" s="200"/>
      <c r="V19" s="200"/>
      <c r="W19" s="200"/>
      <c r="X19" s="4"/>
      <c r="Y19" s="4"/>
    </row>
    <row r="20" spans="1:25" ht="50.25" customHeight="1" x14ac:dyDescent="0.3">
      <c r="A20" s="188"/>
      <c r="B20" s="188"/>
      <c r="C20" s="188"/>
      <c r="D20" s="224"/>
      <c r="E20" s="195"/>
      <c r="F20" s="196"/>
      <c r="G20" s="198"/>
      <c r="H20" s="199"/>
      <c r="I20" s="200"/>
      <c r="J20" s="275"/>
      <c r="K20" s="275"/>
      <c r="L20" s="275"/>
      <c r="M20" s="275"/>
      <c r="N20" s="276"/>
      <c r="O20" s="275"/>
      <c r="P20" s="277"/>
      <c r="Q20" s="275"/>
      <c r="R20" s="275"/>
      <c r="S20" s="275"/>
      <c r="T20" s="200"/>
      <c r="U20" s="200"/>
      <c r="V20" s="200"/>
      <c r="W20" s="200"/>
      <c r="X20" s="4"/>
      <c r="Y20" s="4"/>
    </row>
    <row r="21" spans="1:25" ht="26.25" customHeight="1" x14ac:dyDescent="0.3">
      <c r="A21" s="188"/>
      <c r="B21" s="188"/>
      <c r="C21" s="188"/>
      <c r="D21" s="224"/>
      <c r="E21" s="195"/>
      <c r="F21" s="196"/>
      <c r="G21" s="198"/>
      <c r="H21" s="199"/>
      <c r="I21" s="200"/>
      <c r="J21" s="275"/>
      <c r="K21" s="275"/>
      <c r="L21" s="275"/>
      <c r="M21" s="275"/>
      <c r="N21" s="276"/>
      <c r="O21" s="275"/>
      <c r="P21" s="277"/>
      <c r="Q21" s="275"/>
      <c r="R21" s="275"/>
      <c r="S21" s="275"/>
      <c r="T21" s="200"/>
      <c r="U21" s="200"/>
      <c r="V21" s="200"/>
      <c r="W21" s="200"/>
      <c r="X21" s="4"/>
      <c r="Y21" s="4"/>
    </row>
    <row r="22" spans="1:25" ht="27.75" customHeight="1" x14ac:dyDescent="0.3">
      <c r="A22" s="188"/>
      <c r="B22" s="332" t="s">
        <v>331</v>
      </c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4"/>
    </row>
    <row r="23" spans="1:25" ht="27.75" customHeight="1" x14ac:dyDescent="0.3">
      <c r="A23" s="188"/>
      <c r="B23" s="332" t="s">
        <v>332</v>
      </c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4"/>
    </row>
    <row r="24" spans="1:25" ht="27.75" customHeight="1" x14ac:dyDescent="0.3">
      <c r="A24" s="188"/>
      <c r="B24" s="332" t="s">
        <v>354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4"/>
    </row>
    <row r="25" spans="1:25" ht="20.25" customHeight="1" x14ac:dyDescent="0.3">
      <c r="A25" s="188"/>
      <c r="B25" s="334"/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4"/>
    </row>
    <row r="26" spans="1:25" ht="144.75" customHeight="1" x14ac:dyDescent="0.3">
      <c r="A26" s="188"/>
      <c r="B26" s="149" t="s">
        <v>323</v>
      </c>
      <c r="C26" s="149" t="s">
        <v>109</v>
      </c>
      <c r="D26" s="222">
        <v>45367</v>
      </c>
      <c r="E26" s="151" t="s">
        <v>79</v>
      </c>
      <c r="F26" s="152"/>
      <c r="G26" s="154">
        <v>7851.5</v>
      </c>
      <c r="H26" s="155">
        <v>0</v>
      </c>
      <c r="I26" s="156">
        <f t="shared" ref="I26:I35" si="71">SUM(G26:H26)</f>
        <v>7851.5</v>
      </c>
      <c r="J26" s="157">
        <f t="shared" ref="J26:J35" si="72">IF(G26/15&lt;=SMG,0,H26/2)</f>
        <v>0</v>
      </c>
      <c r="K26" s="157">
        <f t="shared" ref="K26:K35" si="73">G26+J26</f>
        <v>7851.5</v>
      </c>
      <c r="L26" s="157">
        <f t="shared" ref="L26:L35" si="74">VLOOKUP(K26,Tarifa1,1)</f>
        <v>7641.91</v>
      </c>
      <c r="M26" s="157">
        <f t="shared" ref="M26:M35" si="75">K26-L26</f>
        <v>209.59000000000015</v>
      </c>
      <c r="N26" s="158">
        <f t="shared" ref="N26:N35" si="76">VLOOKUP(K26,Tarifa1,3)</f>
        <v>0.21360000000000001</v>
      </c>
      <c r="O26" s="157">
        <f t="shared" ref="O26:O35" si="77">M26*N26</f>
        <v>44.768424000000032</v>
      </c>
      <c r="P26" s="159">
        <f t="shared" ref="P26:P35" si="78">VLOOKUP(K26,Tarifa1,2)</f>
        <v>809.25</v>
      </c>
      <c r="Q26" s="157">
        <f t="shared" ref="Q26:Q35" si="79">O26+P26</f>
        <v>854.01842399999998</v>
      </c>
      <c r="R26" s="157">
        <f t="shared" ref="R26:R35" si="80">VLOOKUP(K26,Credito1,2)</f>
        <v>0</v>
      </c>
      <c r="S26" s="157">
        <f t="shared" ref="S26:S35" si="81">ROUND(Q26-R26,2)</f>
        <v>854.02</v>
      </c>
      <c r="T26" s="156">
        <f t="shared" ref="T26:T35" si="82">-IF(S26&gt;0,0,0)</f>
        <v>0</v>
      </c>
      <c r="U26" s="156">
        <f t="shared" ref="U26:U35" si="83">IF(G26/15&lt;=SMG,0,IF(S26&lt;0,0,S26))</f>
        <v>854.02</v>
      </c>
      <c r="V26" s="156">
        <f t="shared" ref="V26:V35" si="84">SUM(U26:U26)</f>
        <v>854.02</v>
      </c>
      <c r="W26" s="156">
        <f t="shared" ref="W26:W35" si="85">I26+T26-V26</f>
        <v>6997.48</v>
      </c>
      <c r="X26" s="89"/>
      <c r="Y26" s="4"/>
    </row>
    <row r="27" spans="1:25" ht="144" customHeight="1" x14ac:dyDescent="0.3">
      <c r="A27" s="188"/>
      <c r="B27" s="149" t="s">
        <v>306</v>
      </c>
      <c r="C27" s="149" t="s">
        <v>109</v>
      </c>
      <c r="D27" s="222">
        <v>45200</v>
      </c>
      <c r="E27" s="151" t="s">
        <v>79</v>
      </c>
      <c r="F27" s="152"/>
      <c r="G27" s="154">
        <v>7851.5</v>
      </c>
      <c r="H27" s="155">
        <v>0</v>
      </c>
      <c r="I27" s="156">
        <f t="shared" si="71"/>
        <v>7851.5</v>
      </c>
      <c r="J27" s="157">
        <f t="shared" si="72"/>
        <v>0</v>
      </c>
      <c r="K27" s="157">
        <f t="shared" si="73"/>
        <v>7851.5</v>
      </c>
      <c r="L27" s="157">
        <f t="shared" si="74"/>
        <v>7641.91</v>
      </c>
      <c r="M27" s="157">
        <f t="shared" si="75"/>
        <v>209.59000000000015</v>
      </c>
      <c r="N27" s="158">
        <f t="shared" si="76"/>
        <v>0.21360000000000001</v>
      </c>
      <c r="O27" s="157">
        <f t="shared" si="77"/>
        <v>44.768424000000032</v>
      </c>
      <c r="P27" s="159">
        <f t="shared" si="78"/>
        <v>809.25</v>
      </c>
      <c r="Q27" s="157">
        <f t="shared" si="79"/>
        <v>854.01842399999998</v>
      </c>
      <c r="R27" s="157">
        <f t="shared" si="80"/>
        <v>0</v>
      </c>
      <c r="S27" s="157">
        <f t="shared" si="81"/>
        <v>854.02</v>
      </c>
      <c r="T27" s="156">
        <f t="shared" si="82"/>
        <v>0</v>
      </c>
      <c r="U27" s="156">
        <f t="shared" si="83"/>
        <v>854.02</v>
      </c>
      <c r="V27" s="156">
        <f t="shared" si="84"/>
        <v>854.02</v>
      </c>
      <c r="W27" s="156">
        <f t="shared" si="85"/>
        <v>6997.48</v>
      </c>
      <c r="X27" s="89"/>
      <c r="Y27" s="4"/>
    </row>
    <row r="28" spans="1:25" ht="144" customHeight="1" x14ac:dyDescent="0.3">
      <c r="A28" s="188"/>
      <c r="B28" s="149" t="s">
        <v>316</v>
      </c>
      <c r="C28" s="149" t="s">
        <v>109</v>
      </c>
      <c r="D28" s="222">
        <v>45292</v>
      </c>
      <c r="E28" s="151" t="s">
        <v>79</v>
      </c>
      <c r="F28" s="152"/>
      <c r="G28" s="154">
        <v>7851.5</v>
      </c>
      <c r="H28" s="155">
        <v>0</v>
      </c>
      <c r="I28" s="156">
        <f t="shared" si="71"/>
        <v>7851.5</v>
      </c>
      <c r="J28" s="157">
        <f t="shared" si="72"/>
        <v>0</v>
      </c>
      <c r="K28" s="157">
        <f t="shared" si="73"/>
        <v>7851.5</v>
      </c>
      <c r="L28" s="157">
        <f t="shared" si="74"/>
        <v>7641.91</v>
      </c>
      <c r="M28" s="157">
        <f t="shared" si="75"/>
        <v>209.59000000000015</v>
      </c>
      <c r="N28" s="158">
        <f t="shared" si="76"/>
        <v>0.21360000000000001</v>
      </c>
      <c r="O28" s="157">
        <f t="shared" si="77"/>
        <v>44.768424000000032</v>
      </c>
      <c r="P28" s="159">
        <f t="shared" si="78"/>
        <v>809.25</v>
      </c>
      <c r="Q28" s="157">
        <f t="shared" si="79"/>
        <v>854.01842399999998</v>
      </c>
      <c r="R28" s="157">
        <f t="shared" si="80"/>
        <v>0</v>
      </c>
      <c r="S28" s="157">
        <f t="shared" si="81"/>
        <v>854.02</v>
      </c>
      <c r="T28" s="156">
        <f t="shared" si="82"/>
        <v>0</v>
      </c>
      <c r="U28" s="156">
        <f t="shared" si="83"/>
        <v>854.02</v>
      </c>
      <c r="V28" s="156">
        <f t="shared" si="84"/>
        <v>854.02</v>
      </c>
      <c r="W28" s="156">
        <f t="shared" si="85"/>
        <v>6997.48</v>
      </c>
      <c r="X28" s="89"/>
      <c r="Y28" s="4"/>
    </row>
    <row r="29" spans="1:25" ht="144" customHeight="1" x14ac:dyDescent="0.3">
      <c r="A29" s="188"/>
      <c r="B29" s="149" t="s">
        <v>328</v>
      </c>
      <c r="C29" s="149" t="s">
        <v>109</v>
      </c>
      <c r="D29" s="222">
        <v>45398</v>
      </c>
      <c r="E29" s="151" t="s">
        <v>79</v>
      </c>
      <c r="F29" s="152"/>
      <c r="G29" s="154">
        <v>7851.5</v>
      </c>
      <c r="H29" s="155">
        <v>0</v>
      </c>
      <c r="I29" s="156">
        <f t="shared" si="71"/>
        <v>7851.5</v>
      </c>
      <c r="J29" s="157">
        <f t="shared" si="72"/>
        <v>0</v>
      </c>
      <c r="K29" s="157">
        <f t="shared" si="73"/>
        <v>7851.5</v>
      </c>
      <c r="L29" s="157">
        <f t="shared" si="74"/>
        <v>7641.91</v>
      </c>
      <c r="M29" s="157">
        <f t="shared" si="75"/>
        <v>209.59000000000015</v>
      </c>
      <c r="N29" s="158">
        <f t="shared" si="76"/>
        <v>0.21360000000000001</v>
      </c>
      <c r="O29" s="157">
        <f t="shared" si="77"/>
        <v>44.768424000000032</v>
      </c>
      <c r="P29" s="159">
        <f t="shared" si="78"/>
        <v>809.25</v>
      </c>
      <c r="Q29" s="157">
        <f t="shared" si="79"/>
        <v>854.01842399999998</v>
      </c>
      <c r="R29" s="157">
        <f t="shared" si="80"/>
        <v>0</v>
      </c>
      <c r="S29" s="157">
        <f t="shared" si="81"/>
        <v>854.02</v>
      </c>
      <c r="T29" s="156">
        <f t="shared" si="82"/>
        <v>0</v>
      </c>
      <c r="U29" s="156">
        <f t="shared" si="83"/>
        <v>854.02</v>
      </c>
      <c r="V29" s="156">
        <f t="shared" si="84"/>
        <v>854.02</v>
      </c>
      <c r="W29" s="156">
        <f t="shared" si="85"/>
        <v>6997.48</v>
      </c>
      <c r="X29" s="89"/>
      <c r="Y29" s="4"/>
    </row>
    <row r="30" spans="1:25" ht="144" customHeight="1" x14ac:dyDescent="0.3">
      <c r="A30" s="188"/>
      <c r="B30" s="149" t="s">
        <v>330</v>
      </c>
      <c r="C30" s="149" t="s">
        <v>109</v>
      </c>
      <c r="D30" s="222">
        <v>45413</v>
      </c>
      <c r="E30" s="151" t="s">
        <v>79</v>
      </c>
      <c r="F30" s="152"/>
      <c r="G30" s="154">
        <v>7851.5</v>
      </c>
      <c r="H30" s="155">
        <v>0</v>
      </c>
      <c r="I30" s="156">
        <f t="shared" si="71"/>
        <v>7851.5</v>
      </c>
      <c r="J30" s="157">
        <f t="shared" si="72"/>
        <v>0</v>
      </c>
      <c r="K30" s="157">
        <f t="shared" si="73"/>
        <v>7851.5</v>
      </c>
      <c r="L30" s="157">
        <f t="shared" si="74"/>
        <v>7641.91</v>
      </c>
      <c r="M30" s="157">
        <f t="shared" si="75"/>
        <v>209.59000000000015</v>
      </c>
      <c r="N30" s="158">
        <f t="shared" si="76"/>
        <v>0.21360000000000001</v>
      </c>
      <c r="O30" s="157">
        <f t="shared" si="77"/>
        <v>44.768424000000032</v>
      </c>
      <c r="P30" s="159">
        <f t="shared" si="78"/>
        <v>809.25</v>
      </c>
      <c r="Q30" s="157">
        <f t="shared" si="79"/>
        <v>854.01842399999998</v>
      </c>
      <c r="R30" s="157">
        <f t="shared" si="80"/>
        <v>0</v>
      </c>
      <c r="S30" s="157">
        <f t="shared" si="81"/>
        <v>854.02</v>
      </c>
      <c r="T30" s="156">
        <f t="shared" si="82"/>
        <v>0</v>
      </c>
      <c r="U30" s="156">
        <f t="shared" si="83"/>
        <v>854.02</v>
      </c>
      <c r="V30" s="156">
        <f t="shared" si="84"/>
        <v>854.02</v>
      </c>
      <c r="W30" s="156">
        <f t="shared" si="85"/>
        <v>6997.48</v>
      </c>
      <c r="X30" s="89"/>
      <c r="Y30" s="4"/>
    </row>
    <row r="31" spans="1:25" ht="144" customHeight="1" x14ac:dyDescent="0.3">
      <c r="A31" s="188"/>
      <c r="B31" s="149" t="s">
        <v>333</v>
      </c>
      <c r="C31" s="149" t="s">
        <v>109</v>
      </c>
      <c r="D31" s="222">
        <v>45428</v>
      </c>
      <c r="E31" s="151" t="s">
        <v>79</v>
      </c>
      <c r="F31" s="152"/>
      <c r="G31" s="154">
        <v>7851.5</v>
      </c>
      <c r="H31" s="155">
        <v>0</v>
      </c>
      <c r="I31" s="156">
        <f t="shared" si="71"/>
        <v>7851.5</v>
      </c>
      <c r="J31" s="157">
        <f t="shared" si="72"/>
        <v>0</v>
      </c>
      <c r="K31" s="157">
        <f t="shared" si="73"/>
        <v>7851.5</v>
      </c>
      <c r="L31" s="157">
        <f t="shared" si="74"/>
        <v>7641.91</v>
      </c>
      <c r="M31" s="157">
        <f t="shared" si="75"/>
        <v>209.59000000000015</v>
      </c>
      <c r="N31" s="158">
        <f t="shared" si="76"/>
        <v>0.21360000000000001</v>
      </c>
      <c r="O31" s="157">
        <f t="shared" si="77"/>
        <v>44.768424000000032</v>
      </c>
      <c r="P31" s="159">
        <f t="shared" si="78"/>
        <v>809.25</v>
      </c>
      <c r="Q31" s="157">
        <f t="shared" si="79"/>
        <v>854.01842399999998</v>
      </c>
      <c r="R31" s="157">
        <f t="shared" si="80"/>
        <v>0</v>
      </c>
      <c r="S31" s="157">
        <f t="shared" si="81"/>
        <v>854.02</v>
      </c>
      <c r="T31" s="156">
        <f t="shared" si="82"/>
        <v>0</v>
      </c>
      <c r="U31" s="156">
        <f t="shared" si="83"/>
        <v>854.02</v>
      </c>
      <c r="V31" s="156">
        <f t="shared" si="84"/>
        <v>854.02</v>
      </c>
      <c r="W31" s="156">
        <f t="shared" si="85"/>
        <v>6997.48</v>
      </c>
      <c r="X31" s="89"/>
      <c r="Y31" s="4"/>
    </row>
    <row r="32" spans="1:25" ht="144" customHeight="1" x14ac:dyDescent="0.3">
      <c r="A32" s="188"/>
      <c r="B32" s="149" t="s">
        <v>337</v>
      </c>
      <c r="C32" s="149" t="s">
        <v>109</v>
      </c>
      <c r="D32" s="222">
        <v>45444</v>
      </c>
      <c r="E32" s="151" t="s">
        <v>79</v>
      </c>
      <c r="F32" s="152"/>
      <c r="G32" s="154">
        <v>7851.5</v>
      </c>
      <c r="H32" s="155">
        <v>0</v>
      </c>
      <c r="I32" s="156">
        <f t="shared" si="71"/>
        <v>7851.5</v>
      </c>
      <c r="J32" s="157">
        <f t="shared" si="72"/>
        <v>0</v>
      </c>
      <c r="K32" s="157">
        <f t="shared" si="73"/>
        <v>7851.5</v>
      </c>
      <c r="L32" s="157">
        <f t="shared" si="74"/>
        <v>7641.91</v>
      </c>
      <c r="M32" s="157">
        <f t="shared" si="75"/>
        <v>209.59000000000015</v>
      </c>
      <c r="N32" s="158">
        <f t="shared" si="76"/>
        <v>0.21360000000000001</v>
      </c>
      <c r="O32" s="157">
        <f t="shared" si="77"/>
        <v>44.768424000000032</v>
      </c>
      <c r="P32" s="159">
        <f t="shared" si="78"/>
        <v>809.25</v>
      </c>
      <c r="Q32" s="157">
        <f t="shared" si="79"/>
        <v>854.01842399999998</v>
      </c>
      <c r="R32" s="157">
        <f t="shared" si="80"/>
        <v>0</v>
      </c>
      <c r="S32" s="157">
        <f t="shared" si="81"/>
        <v>854.02</v>
      </c>
      <c r="T32" s="156">
        <f t="shared" si="82"/>
        <v>0</v>
      </c>
      <c r="U32" s="156">
        <f t="shared" si="83"/>
        <v>854.02</v>
      </c>
      <c r="V32" s="156">
        <f t="shared" si="84"/>
        <v>854.02</v>
      </c>
      <c r="W32" s="156">
        <f t="shared" si="85"/>
        <v>6997.48</v>
      </c>
      <c r="X32" s="89"/>
      <c r="Y32" s="4"/>
    </row>
    <row r="33" spans="1:37" ht="144" customHeight="1" x14ac:dyDescent="0.3">
      <c r="A33" s="188"/>
      <c r="B33" s="149" t="s">
        <v>347</v>
      </c>
      <c r="C33" s="149" t="s">
        <v>109</v>
      </c>
      <c r="D33" s="222">
        <v>45459</v>
      </c>
      <c r="E33" s="151" t="s">
        <v>79</v>
      </c>
      <c r="F33" s="152"/>
      <c r="G33" s="154">
        <v>7851.5</v>
      </c>
      <c r="H33" s="155">
        <v>0</v>
      </c>
      <c r="I33" s="156">
        <f t="shared" si="71"/>
        <v>7851.5</v>
      </c>
      <c r="J33" s="157">
        <f t="shared" si="72"/>
        <v>0</v>
      </c>
      <c r="K33" s="157">
        <f t="shared" si="73"/>
        <v>7851.5</v>
      </c>
      <c r="L33" s="157">
        <f t="shared" si="74"/>
        <v>7641.91</v>
      </c>
      <c r="M33" s="157">
        <f t="shared" si="75"/>
        <v>209.59000000000015</v>
      </c>
      <c r="N33" s="158">
        <f t="shared" si="76"/>
        <v>0.21360000000000001</v>
      </c>
      <c r="O33" s="157">
        <f t="shared" si="77"/>
        <v>44.768424000000032</v>
      </c>
      <c r="P33" s="159">
        <f t="shared" si="78"/>
        <v>809.25</v>
      </c>
      <c r="Q33" s="157">
        <f t="shared" si="79"/>
        <v>854.01842399999998</v>
      </c>
      <c r="R33" s="157">
        <f t="shared" si="80"/>
        <v>0</v>
      </c>
      <c r="S33" s="157">
        <f t="shared" si="81"/>
        <v>854.02</v>
      </c>
      <c r="T33" s="156">
        <f t="shared" si="82"/>
        <v>0</v>
      </c>
      <c r="U33" s="156">
        <f t="shared" si="83"/>
        <v>854.02</v>
      </c>
      <c r="V33" s="156">
        <f t="shared" si="84"/>
        <v>854.02</v>
      </c>
      <c r="W33" s="156">
        <f t="shared" si="85"/>
        <v>6997.48</v>
      </c>
      <c r="X33" s="89"/>
      <c r="Y33" s="4"/>
    </row>
    <row r="34" spans="1:37" ht="144" customHeight="1" x14ac:dyDescent="0.3">
      <c r="A34" s="188"/>
      <c r="B34" s="149" t="s">
        <v>348</v>
      </c>
      <c r="C34" s="149" t="s">
        <v>109</v>
      </c>
      <c r="D34" s="222">
        <v>45459</v>
      </c>
      <c r="E34" s="151" t="s">
        <v>79</v>
      </c>
      <c r="F34" s="152"/>
      <c r="G34" s="154">
        <v>7851.5</v>
      </c>
      <c r="H34" s="155">
        <v>0</v>
      </c>
      <c r="I34" s="156">
        <f t="shared" si="71"/>
        <v>7851.5</v>
      </c>
      <c r="J34" s="157">
        <f t="shared" si="72"/>
        <v>0</v>
      </c>
      <c r="K34" s="157">
        <f t="shared" si="73"/>
        <v>7851.5</v>
      </c>
      <c r="L34" s="157">
        <f t="shared" si="74"/>
        <v>7641.91</v>
      </c>
      <c r="M34" s="157">
        <f t="shared" si="75"/>
        <v>209.59000000000015</v>
      </c>
      <c r="N34" s="158">
        <f t="shared" si="76"/>
        <v>0.21360000000000001</v>
      </c>
      <c r="O34" s="157">
        <f t="shared" si="77"/>
        <v>44.768424000000032</v>
      </c>
      <c r="P34" s="159">
        <f t="shared" si="78"/>
        <v>809.25</v>
      </c>
      <c r="Q34" s="157">
        <f t="shared" si="79"/>
        <v>854.01842399999998</v>
      </c>
      <c r="R34" s="157">
        <f t="shared" si="80"/>
        <v>0</v>
      </c>
      <c r="S34" s="157">
        <f t="shared" si="81"/>
        <v>854.02</v>
      </c>
      <c r="T34" s="156">
        <f t="shared" si="82"/>
        <v>0</v>
      </c>
      <c r="U34" s="156">
        <f t="shared" si="83"/>
        <v>854.02</v>
      </c>
      <c r="V34" s="156">
        <f t="shared" si="84"/>
        <v>854.02</v>
      </c>
      <c r="W34" s="156">
        <f t="shared" si="85"/>
        <v>6997.48</v>
      </c>
      <c r="X34" s="89"/>
      <c r="Y34" s="4"/>
    </row>
    <row r="35" spans="1:37" ht="144" customHeight="1" x14ac:dyDescent="0.3">
      <c r="A35" s="188"/>
      <c r="B35" s="149" t="s">
        <v>349</v>
      </c>
      <c r="C35" s="149" t="s">
        <v>109</v>
      </c>
      <c r="D35" s="222">
        <v>45474</v>
      </c>
      <c r="E35" s="151" t="s">
        <v>79</v>
      </c>
      <c r="F35" s="152"/>
      <c r="G35" s="154">
        <v>7851.5</v>
      </c>
      <c r="H35" s="155">
        <v>0</v>
      </c>
      <c r="I35" s="156">
        <f t="shared" si="71"/>
        <v>7851.5</v>
      </c>
      <c r="J35" s="157">
        <f t="shared" si="72"/>
        <v>0</v>
      </c>
      <c r="K35" s="157">
        <f t="shared" si="73"/>
        <v>7851.5</v>
      </c>
      <c r="L35" s="157">
        <f t="shared" si="74"/>
        <v>7641.91</v>
      </c>
      <c r="M35" s="157">
        <f t="shared" si="75"/>
        <v>209.59000000000015</v>
      </c>
      <c r="N35" s="158">
        <f t="shared" si="76"/>
        <v>0.21360000000000001</v>
      </c>
      <c r="O35" s="157">
        <f t="shared" si="77"/>
        <v>44.768424000000032</v>
      </c>
      <c r="P35" s="159">
        <f t="shared" si="78"/>
        <v>809.25</v>
      </c>
      <c r="Q35" s="157">
        <f t="shared" si="79"/>
        <v>854.01842399999998</v>
      </c>
      <c r="R35" s="157">
        <f t="shared" si="80"/>
        <v>0</v>
      </c>
      <c r="S35" s="157">
        <f t="shared" si="81"/>
        <v>854.02</v>
      </c>
      <c r="T35" s="156">
        <f t="shared" si="82"/>
        <v>0</v>
      </c>
      <c r="U35" s="156">
        <f t="shared" si="83"/>
        <v>854.02</v>
      </c>
      <c r="V35" s="156">
        <f t="shared" si="84"/>
        <v>854.02</v>
      </c>
      <c r="W35" s="156">
        <f t="shared" si="85"/>
        <v>6997.48</v>
      </c>
      <c r="X35" s="89"/>
      <c r="Y35" s="4"/>
    </row>
    <row r="36" spans="1:37" ht="29.25" customHeight="1" thickBot="1" x14ac:dyDescent="0.35">
      <c r="A36" s="291" t="s">
        <v>44</v>
      </c>
      <c r="B36" s="292"/>
      <c r="C36" s="292"/>
      <c r="D36" s="292"/>
      <c r="E36" s="292"/>
      <c r="F36" s="292"/>
      <c r="G36" s="160">
        <f>SUM(G9:G35)</f>
        <v>162210.5</v>
      </c>
      <c r="H36" s="160">
        <f>SUM(H9:H35)</f>
        <v>0</v>
      </c>
      <c r="I36" s="160">
        <f>SUM(I9:I35)</f>
        <v>162210.5</v>
      </c>
      <c r="J36" s="161">
        <f t="shared" ref="J36:S36" si="86">SUM(J9:J16)</f>
        <v>0</v>
      </c>
      <c r="K36" s="161">
        <f t="shared" si="86"/>
        <v>67992.5</v>
      </c>
      <c r="L36" s="161">
        <f t="shared" si="86"/>
        <v>61135.280000000013</v>
      </c>
      <c r="M36" s="161">
        <f t="shared" si="86"/>
        <v>6857.2200000000012</v>
      </c>
      <c r="N36" s="161">
        <f t="shared" si="86"/>
        <v>1.7088000000000001</v>
      </c>
      <c r="O36" s="161">
        <f t="shared" si="86"/>
        <v>1464.7021920000007</v>
      </c>
      <c r="P36" s="161">
        <f t="shared" si="86"/>
        <v>6474</v>
      </c>
      <c r="Q36" s="161">
        <f t="shared" si="86"/>
        <v>7938.7021919999988</v>
      </c>
      <c r="R36" s="161">
        <f t="shared" si="86"/>
        <v>0</v>
      </c>
      <c r="S36" s="161">
        <f t="shared" si="86"/>
        <v>7938.7100000000009</v>
      </c>
      <c r="T36" s="160">
        <f>SUM(T9:T35)</f>
        <v>0</v>
      </c>
      <c r="U36" s="160">
        <f>SUM(U9:U35)</f>
        <v>18186.950000000004</v>
      </c>
      <c r="V36" s="160">
        <f>SUM(V9:V35)</f>
        <v>18186.950000000004</v>
      </c>
      <c r="W36" s="160">
        <f>SUM(W9:W35)</f>
        <v>144023.54999999996</v>
      </c>
      <c r="X36" s="4"/>
      <c r="Y36" s="4"/>
    </row>
    <row r="37" spans="1:37" ht="13.8" thickTop="1" x14ac:dyDescent="0.25"/>
    <row r="41" spans="1:37" ht="6" customHeight="1" x14ac:dyDescent="0.25"/>
    <row r="43" spans="1:37" ht="13.8" x14ac:dyDescent="0.25"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</row>
    <row r="44" spans="1:37" ht="13.8" x14ac:dyDescent="0.25">
      <c r="D44" s="97"/>
      <c r="E44" s="97"/>
      <c r="F44" s="97"/>
      <c r="G44" s="97"/>
      <c r="H44" s="97"/>
      <c r="I44" s="97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7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J44" s="84"/>
      <c r="AK44" s="84"/>
    </row>
  </sheetData>
  <mergeCells count="11">
    <mergeCell ref="A36:F36"/>
    <mergeCell ref="A1:X1"/>
    <mergeCell ref="A2:X2"/>
    <mergeCell ref="G5:I5"/>
    <mergeCell ref="L5:Q5"/>
    <mergeCell ref="U5:V5"/>
    <mergeCell ref="B3:X3"/>
    <mergeCell ref="B22:X22"/>
    <mergeCell ref="B23:X23"/>
    <mergeCell ref="B25:X25"/>
    <mergeCell ref="B24:X24"/>
  </mergeCells>
  <pageMargins left="0.35433070866141736" right="0.15748031496062992" top="0.19685039370078741" bottom="7.874015748031496E-2" header="0.31496062992125984" footer="0.31496062992125984"/>
  <pageSetup scale="3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B1" zoomScale="73" zoomScaleNormal="73" workbookViewId="0">
      <selection activeCell="Z42" sqref="Z42"/>
    </sheetView>
  </sheetViews>
  <sheetFormatPr baseColWidth="10" defaultColWidth="11.44140625" defaultRowHeight="13.2" x14ac:dyDescent="0.25"/>
  <cols>
    <col min="1" max="1" width="5.5546875" style="66" hidden="1" customWidth="1"/>
    <col min="2" max="2" width="9.44140625" style="66" customWidth="1"/>
    <col min="3" max="3" width="7.6640625" style="66" customWidth="1"/>
    <col min="4" max="4" width="27.5546875" style="66" customWidth="1"/>
    <col min="5" max="5" width="17.5546875" style="66" customWidth="1"/>
    <col min="6" max="6" width="19.5546875" style="66" customWidth="1"/>
    <col min="7" max="7" width="6.5546875" style="66" hidden="1" customWidth="1"/>
    <col min="8" max="8" width="10" style="66" hidden="1" customWidth="1"/>
    <col min="9" max="9" width="16.33203125" style="66" customWidth="1"/>
    <col min="10" max="10" width="14" style="66" customWidth="1"/>
    <col min="11" max="11" width="15.6640625" style="66" customWidth="1"/>
    <col min="12" max="12" width="13.109375" style="66" hidden="1" customWidth="1"/>
    <col min="13" max="15" width="14.33203125" style="66" hidden="1" customWidth="1"/>
    <col min="16" max="17" width="13.109375" style="66" hidden="1" customWidth="1"/>
    <col min="18" max="18" width="10.5546875" style="66" hidden="1" customWidth="1"/>
    <col min="19" max="20" width="13.109375" style="66" hidden="1" customWidth="1"/>
    <col min="21" max="21" width="11.5546875" style="66" hidden="1" customWidth="1"/>
    <col min="22" max="22" width="9.6640625" style="66" customWidth="1"/>
    <col min="23" max="23" width="14.44140625" style="66" customWidth="1"/>
    <col min="24" max="24" width="15" style="66" customWidth="1"/>
    <col min="25" max="25" width="15.88671875" style="66" customWidth="1"/>
    <col min="26" max="26" width="50" style="66" customWidth="1"/>
    <col min="27" max="16384" width="11.44140625" style="66"/>
  </cols>
  <sheetData>
    <row r="1" spans="1:26" ht="17.399999999999999" x14ac:dyDescent="0.3">
      <c r="A1" s="304" t="s">
        <v>76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tr">
        <f>CHOFERES!A3</f>
        <v>SUELDO  DEL 01 AL 15 DE AGOSTO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x14ac:dyDescent="0.25">
      <c r="A5" s="67"/>
      <c r="B5" s="67"/>
      <c r="C5" s="67"/>
      <c r="D5" s="67"/>
      <c r="E5" s="67"/>
      <c r="F5" s="67"/>
      <c r="G5" s="68" t="s">
        <v>22</v>
      </c>
      <c r="H5" s="68" t="s">
        <v>5</v>
      </c>
      <c r="I5" s="336" t="s">
        <v>1</v>
      </c>
      <c r="J5" s="337"/>
      <c r="K5" s="338"/>
      <c r="L5" s="69" t="s">
        <v>25</v>
      </c>
      <c r="M5" s="70"/>
      <c r="N5" s="339" t="s">
        <v>8</v>
      </c>
      <c r="O5" s="340"/>
      <c r="P5" s="340"/>
      <c r="Q5" s="340"/>
      <c r="R5" s="340"/>
      <c r="S5" s="341"/>
      <c r="T5" s="69" t="s">
        <v>29</v>
      </c>
      <c r="U5" s="69" t="s">
        <v>9</v>
      </c>
      <c r="V5" s="68" t="s">
        <v>52</v>
      </c>
      <c r="W5" s="342" t="s">
        <v>2</v>
      </c>
      <c r="X5" s="343"/>
      <c r="Y5" s="68" t="s">
        <v>0</v>
      </c>
      <c r="Z5" s="71"/>
    </row>
    <row r="6" spans="1:26" ht="21" x14ac:dyDescent="0.25">
      <c r="A6" s="72" t="s">
        <v>20</v>
      </c>
      <c r="B6" s="73" t="s">
        <v>98</v>
      </c>
      <c r="C6" s="73" t="s">
        <v>110</v>
      </c>
      <c r="D6" s="72" t="s">
        <v>21</v>
      </c>
      <c r="E6" s="72"/>
      <c r="F6" s="72"/>
      <c r="G6" s="74" t="s">
        <v>23</v>
      </c>
      <c r="H6" s="72" t="s">
        <v>24</v>
      </c>
      <c r="I6" s="68" t="s">
        <v>5</v>
      </c>
      <c r="J6" s="68" t="s">
        <v>57</v>
      </c>
      <c r="K6" s="68" t="s">
        <v>27</v>
      </c>
      <c r="L6" s="75" t="s">
        <v>26</v>
      </c>
      <c r="M6" s="70" t="s">
        <v>31</v>
      </c>
      <c r="N6" s="70" t="s">
        <v>11</v>
      </c>
      <c r="O6" s="70" t="s">
        <v>33</v>
      </c>
      <c r="P6" s="70" t="s">
        <v>35</v>
      </c>
      <c r="Q6" s="70" t="s">
        <v>36</v>
      </c>
      <c r="R6" s="70" t="s">
        <v>13</v>
      </c>
      <c r="S6" s="70" t="s">
        <v>9</v>
      </c>
      <c r="T6" s="75" t="s">
        <v>39</v>
      </c>
      <c r="U6" s="75" t="s">
        <v>40</v>
      </c>
      <c r="V6" s="72" t="s">
        <v>30</v>
      </c>
      <c r="W6" s="23" t="s">
        <v>256</v>
      </c>
      <c r="X6" s="68" t="s">
        <v>6</v>
      </c>
      <c r="Y6" s="72" t="s">
        <v>3</v>
      </c>
      <c r="Z6" s="76" t="s">
        <v>56</v>
      </c>
    </row>
    <row r="7" spans="1:26" x14ac:dyDescent="0.25">
      <c r="A7" s="77"/>
      <c r="B7" s="72"/>
      <c r="C7" s="72"/>
      <c r="D7" s="72"/>
      <c r="E7" s="72"/>
      <c r="F7" s="72"/>
      <c r="G7" s="72"/>
      <c r="H7" s="72"/>
      <c r="I7" s="72" t="s">
        <v>46</v>
      </c>
      <c r="J7" s="72" t="s">
        <v>58</v>
      </c>
      <c r="K7" s="72" t="s">
        <v>28</v>
      </c>
      <c r="L7" s="75" t="s">
        <v>42</v>
      </c>
      <c r="M7" s="69" t="s">
        <v>32</v>
      </c>
      <c r="N7" s="69" t="s">
        <v>12</v>
      </c>
      <c r="O7" s="69" t="s">
        <v>34</v>
      </c>
      <c r="P7" s="69" t="s">
        <v>34</v>
      </c>
      <c r="Q7" s="69" t="s">
        <v>37</v>
      </c>
      <c r="R7" s="69" t="s">
        <v>14</v>
      </c>
      <c r="S7" s="69" t="s">
        <v>38</v>
      </c>
      <c r="T7" s="75" t="s">
        <v>18</v>
      </c>
      <c r="U7" s="78" t="s">
        <v>123</v>
      </c>
      <c r="V7" s="72" t="s">
        <v>51</v>
      </c>
      <c r="W7" s="72"/>
      <c r="X7" s="72" t="s">
        <v>43</v>
      </c>
      <c r="Y7" s="72" t="s">
        <v>4</v>
      </c>
      <c r="Z7" s="79"/>
    </row>
    <row r="8" spans="1:26" ht="37.5" customHeight="1" x14ac:dyDescent="0.3">
      <c r="A8" s="80"/>
      <c r="B8" s="81"/>
      <c r="C8" s="81"/>
      <c r="D8" s="136" t="s">
        <v>129</v>
      </c>
      <c r="E8" s="101" t="s">
        <v>264</v>
      </c>
      <c r="F8" s="82" t="s">
        <v>60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3"/>
    </row>
    <row r="9" spans="1:26" ht="96" customHeight="1" x14ac:dyDescent="0.3">
      <c r="A9" s="207"/>
      <c r="B9" s="149" t="s">
        <v>249</v>
      </c>
      <c r="C9" s="149" t="s">
        <v>109</v>
      </c>
      <c r="D9" s="189" t="s">
        <v>247</v>
      </c>
      <c r="E9" s="221">
        <v>44730</v>
      </c>
      <c r="F9" s="151" t="s">
        <v>248</v>
      </c>
      <c r="G9" s="152"/>
      <c r="H9" s="153"/>
      <c r="I9" s="154">
        <v>9833.5</v>
      </c>
      <c r="J9" s="155">
        <v>0</v>
      </c>
      <c r="K9" s="156">
        <f t="shared" ref="K9" si="0">SUM(I9:J9)</f>
        <v>9833.5</v>
      </c>
      <c r="L9" s="157">
        <f t="shared" ref="L9" si="1">IF(I9/15&lt;=SMG,0,J9/2)</f>
        <v>0</v>
      </c>
      <c r="M9" s="157">
        <f t="shared" ref="M9" si="2">I9+L9</f>
        <v>9833.5</v>
      </c>
      <c r="N9" s="157">
        <f t="shared" ref="N9:N11" si="3">VLOOKUP(M9,Tarifa1,1)</f>
        <v>7641.91</v>
      </c>
      <c r="O9" s="157">
        <f>M9-N9</f>
        <v>2191.59</v>
      </c>
      <c r="P9" s="158">
        <f t="shared" ref="P9:P11" si="4">VLOOKUP(M9,Tarifa1,3)</f>
        <v>0.21360000000000001</v>
      </c>
      <c r="Q9" s="157">
        <f>O9*P9</f>
        <v>468.12362400000006</v>
      </c>
      <c r="R9" s="159">
        <f t="shared" ref="R9:R11" si="5">VLOOKUP(M9,Tarifa1,2)</f>
        <v>809.25</v>
      </c>
      <c r="S9" s="157">
        <f>Q9+R9</f>
        <v>1277.3736240000001</v>
      </c>
      <c r="T9" s="157">
        <f t="shared" ref="T9:T11" si="6">VLOOKUP(M9,Credito1,2)</f>
        <v>0</v>
      </c>
      <c r="U9" s="157">
        <f>ROUND(S9-T9,2)</f>
        <v>1277.3699999999999</v>
      </c>
      <c r="V9" s="156">
        <f>-IF(U9&gt;0,0,0)</f>
        <v>0</v>
      </c>
      <c r="W9" s="156">
        <f t="shared" ref="W9:W11" si="7">IF(I9/15&lt;=SMG,0,IF(U9&lt;0,0,U9))</f>
        <v>1277.3699999999999</v>
      </c>
      <c r="X9" s="156">
        <f t="shared" ref="X9:X14" si="8">SUM(W9:W9)</f>
        <v>1277.3699999999999</v>
      </c>
      <c r="Y9" s="156">
        <f t="shared" ref="Y9:Y14" si="9">K9+V9-X9</f>
        <v>8556.130000000001</v>
      </c>
      <c r="Z9" s="204"/>
    </row>
    <row r="10" spans="1:26" s="93" customFormat="1" ht="96" customHeight="1" x14ac:dyDescent="0.3">
      <c r="A10" s="110"/>
      <c r="B10" s="149" t="s">
        <v>179</v>
      </c>
      <c r="C10" s="149" t="s">
        <v>109</v>
      </c>
      <c r="D10" s="189" t="s">
        <v>178</v>
      </c>
      <c r="E10" s="221">
        <v>43998</v>
      </c>
      <c r="F10" s="150" t="s">
        <v>127</v>
      </c>
      <c r="G10" s="152"/>
      <c r="H10" s="153"/>
      <c r="I10" s="154">
        <v>5940.5</v>
      </c>
      <c r="J10" s="155">
        <v>0</v>
      </c>
      <c r="K10" s="156">
        <f t="shared" ref="K10" si="10">SUM(I10:J10)</f>
        <v>5940.5</v>
      </c>
      <c r="L10" s="157">
        <f t="shared" ref="L10" si="11">IF(I10/15&lt;=SMG,0,J10/2)</f>
        <v>0</v>
      </c>
      <c r="M10" s="157">
        <f t="shared" ref="M10:M11" si="12">I10+L10</f>
        <v>5940.5</v>
      </c>
      <c r="N10" s="157">
        <f t="shared" si="3"/>
        <v>5490.76</v>
      </c>
      <c r="O10" s="157">
        <f t="shared" ref="O10:O11" si="13">M10-N10</f>
        <v>449.73999999999978</v>
      </c>
      <c r="P10" s="158">
        <f t="shared" si="4"/>
        <v>0.16</v>
      </c>
      <c r="Q10" s="157">
        <f t="shared" ref="Q10:Q11" si="14">O10*P10</f>
        <v>71.958399999999969</v>
      </c>
      <c r="R10" s="159">
        <f t="shared" si="5"/>
        <v>441</v>
      </c>
      <c r="S10" s="157">
        <f t="shared" ref="S10:S11" si="15">Q10+R10</f>
        <v>512.95839999999998</v>
      </c>
      <c r="T10" s="157">
        <f t="shared" si="6"/>
        <v>0</v>
      </c>
      <c r="U10" s="157">
        <f t="shared" ref="U10:U11" si="16">ROUND(S10-T10,2)</f>
        <v>512.96</v>
      </c>
      <c r="V10" s="156">
        <f t="shared" ref="V10:V14" si="17">-IF(U10&gt;0,0,0)</f>
        <v>0</v>
      </c>
      <c r="W10" s="156">
        <f t="shared" si="7"/>
        <v>512.96</v>
      </c>
      <c r="X10" s="156">
        <f t="shared" si="8"/>
        <v>512.96</v>
      </c>
      <c r="Y10" s="156">
        <f t="shared" si="9"/>
        <v>5427.54</v>
      </c>
      <c r="Z10" s="92"/>
    </row>
    <row r="11" spans="1:26" s="93" customFormat="1" ht="96" customHeight="1" x14ac:dyDescent="0.3">
      <c r="A11" s="110"/>
      <c r="B11" s="149" t="s">
        <v>262</v>
      </c>
      <c r="C11" s="149" t="s">
        <v>109</v>
      </c>
      <c r="D11" s="189" t="s">
        <v>263</v>
      </c>
      <c r="E11" s="221">
        <v>44942</v>
      </c>
      <c r="F11" s="150" t="s">
        <v>127</v>
      </c>
      <c r="G11" s="152"/>
      <c r="H11" s="153"/>
      <c r="I11" s="154">
        <v>5367</v>
      </c>
      <c r="J11" s="155">
        <v>0</v>
      </c>
      <c r="K11" s="156">
        <f t="shared" ref="K11" si="18">SUM(I11:J11)</f>
        <v>5367</v>
      </c>
      <c r="L11" s="157">
        <f t="shared" ref="L11" si="19">IF(I11/15&lt;=SMG,0,J11/2)</f>
        <v>0</v>
      </c>
      <c r="M11" s="157">
        <f t="shared" si="12"/>
        <v>5367</v>
      </c>
      <c r="N11" s="157">
        <f t="shared" si="3"/>
        <v>3124.36</v>
      </c>
      <c r="O11" s="157">
        <f t="shared" si="13"/>
        <v>2242.64</v>
      </c>
      <c r="P11" s="158">
        <f t="shared" si="4"/>
        <v>0.10879999999999999</v>
      </c>
      <c r="Q11" s="157">
        <f t="shared" si="14"/>
        <v>243.99923199999998</v>
      </c>
      <c r="R11" s="159">
        <f t="shared" si="5"/>
        <v>183.45</v>
      </c>
      <c r="S11" s="157">
        <f t="shared" si="15"/>
        <v>427.44923199999994</v>
      </c>
      <c r="T11" s="157">
        <f t="shared" si="6"/>
        <v>0</v>
      </c>
      <c r="U11" s="157">
        <f t="shared" si="16"/>
        <v>427.45</v>
      </c>
      <c r="V11" s="156">
        <f t="shared" si="17"/>
        <v>0</v>
      </c>
      <c r="W11" s="156">
        <f t="shared" si="7"/>
        <v>427.45</v>
      </c>
      <c r="X11" s="156">
        <f t="shared" si="8"/>
        <v>427.45</v>
      </c>
      <c r="Y11" s="156">
        <f t="shared" si="9"/>
        <v>4939.55</v>
      </c>
      <c r="Z11" s="92"/>
    </row>
    <row r="12" spans="1:26" s="93" customFormat="1" ht="96" customHeight="1" x14ac:dyDescent="0.3">
      <c r="A12" s="110"/>
      <c r="B12" s="149" t="s">
        <v>350</v>
      </c>
      <c r="C12" s="149" t="s">
        <v>351</v>
      </c>
      <c r="D12" s="189" t="s">
        <v>352</v>
      </c>
      <c r="E12" s="221">
        <v>45481</v>
      </c>
      <c r="F12" s="150" t="s">
        <v>127</v>
      </c>
      <c r="G12" s="152"/>
      <c r="H12" s="153"/>
      <c r="I12" s="154">
        <v>5367</v>
      </c>
      <c r="J12" s="155">
        <v>0</v>
      </c>
      <c r="K12" s="156">
        <f t="shared" ref="K12:K13" si="20">SUM(I12:J12)</f>
        <v>5367</v>
      </c>
      <c r="L12" s="157">
        <f t="shared" ref="L12:L13" si="21">IF(I12/15&lt;=SMG,0,J12/2)</f>
        <v>0</v>
      </c>
      <c r="M12" s="157">
        <f t="shared" ref="M12:M13" si="22">I12+L12</f>
        <v>5367</v>
      </c>
      <c r="N12" s="157">
        <f t="shared" ref="N12:N13" si="23">VLOOKUP(M12,Tarifa1,1)</f>
        <v>3124.36</v>
      </c>
      <c r="O12" s="157">
        <f t="shared" ref="O12:O13" si="24">M12-N12</f>
        <v>2242.64</v>
      </c>
      <c r="P12" s="158">
        <f t="shared" ref="P12:P13" si="25">VLOOKUP(M12,Tarifa1,3)</f>
        <v>0.10879999999999999</v>
      </c>
      <c r="Q12" s="157">
        <f t="shared" ref="Q12:Q13" si="26">O12*P12</f>
        <v>243.99923199999998</v>
      </c>
      <c r="R12" s="159">
        <f t="shared" ref="R12:R13" si="27">VLOOKUP(M12,Tarifa1,2)</f>
        <v>183.45</v>
      </c>
      <c r="S12" s="157">
        <f t="shared" ref="S12:S13" si="28">Q12+R12</f>
        <v>427.44923199999994</v>
      </c>
      <c r="T12" s="157">
        <f t="shared" ref="T12:T13" si="29">VLOOKUP(M12,Credito1,2)</f>
        <v>0</v>
      </c>
      <c r="U12" s="157">
        <f t="shared" ref="U12:U13" si="30">ROUND(S12-T12,2)</f>
        <v>427.45</v>
      </c>
      <c r="V12" s="156">
        <f t="shared" ref="V12:V13" si="31">-IF(U12&gt;0,0,0)</f>
        <v>0</v>
      </c>
      <c r="W12" s="156">
        <f t="shared" ref="W12:W13" si="32">IF(I12/15&lt;=SMG,0,IF(U12&lt;0,0,U12))</f>
        <v>427.45</v>
      </c>
      <c r="X12" s="156">
        <f t="shared" si="8"/>
        <v>427.45</v>
      </c>
      <c r="Y12" s="156">
        <f t="shared" si="9"/>
        <v>4939.55</v>
      </c>
      <c r="Z12" s="92"/>
    </row>
    <row r="13" spans="1:26" s="93" customFormat="1" ht="96" customHeight="1" x14ac:dyDescent="0.3">
      <c r="A13" s="110"/>
      <c r="B13" s="149" t="s">
        <v>130</v>
      </c>
      <c r="C13" s="149" t="s">
        <v>109</v>
      </c>
      <c r="D13" s="189" t="s">
        <v>126</v>
      </c>
      <c r="E13" s="221">
        <v>43101</v>
      </c>
      <c r="F13" s="151" t="s">
        <v>128</v>
      </c>
      <c r="G13" s="152">
        <v>15</v>
      </c>
      <c r="H13" s="153">
        <f>I13/G13</f>
        <v>356.03333333333336</v>
      </c>
      <c r="I13" s="154">
        <v>5340.5</v>
      </c>
      <c r="J13" s="155">
        <v>0</v>
      </c>
      <c r="K13" s="156">
        <f t="shared" si="20"/>
        <v>5340.5</v>
      </c>
      <c r="L13" s="157">
        <f t="shared" si="21"/>
        <v>0</v>
      </c>
      <c r="M13" s="157">
        <f t="shared" si="22"/>
        <v>5340.5</v>
      </c>
      <c r="N13" s="157">
        <f t="shared" si="23"/>
        <v>3124.36</v>
      </c>
      <c r="O13" s="157">
        <f t="shared" si="24"/>
        <v>2216.14</v>
      </c>
      <c r="P13" s="158">
        <f t="shared" si="25"/>
        <v>0.10879999999999999</v>
      </c>
      <c r="Q13" s="157">
        <f t="shared" si="26"/>
        <v>241.11603199999996</v>
      </c>
      <c r="R13" s="159">
        <f t="shared" si="27"/>
        <v>183.45</v>
      </c>
      <c r="S13" s="157">
        <f t="shared" si="28"/>
        <v>424.56603199999995</v>
      </c>
      <c r="T13" s="157">
        <f t="shared" si="29"/>
        <v>0</v>
      </c>
      <c r="U13" s="157">
        <f t="shared" si="30"/>
        <v>424.57</v>
      </c>
      <c r="V13" s="156">
        <f t="shared" si="31"/>
        <v>0</v>
      </c>
      <c r="W13" s="156">
        <f t="shared" si="32"/>
        <v>424.57</v>
      </c>
      <c r="X13" s="156">
        <f t="shared" si="8"/>
        <v>424.57</v>
      </c>
      <c r="Y13" s="156">
        <f t="shared" si="9"/>
        <v>4915.93</v>
      </c>
      <c r="Z13" s="92"/>
    </row>
    <row r="14" spans="1:26" s="93" customFormat="1" ht="96" customHeight="1" x14ac:dyDescent="0.3">
      <c r="A14" s="110"/>
      <c r="B14" s="181">
        <v>328</v>
      </c>
      <c r="C14" s="149" t="s">
        <v>109</v>
      </c>
      <c r="D14" s="210" t="s">
        <v>355</v>
      </c>
      <c r="E14" s="221">
        <v>45505</v>
      </c>
      <c r="F14" s="151" t="s">
        <v>128</v>
      </c>
      <c r="G14" s="152">
        <v>15</v>
      </c>
      <c r="H14" s="153">
        <f>I14/G14</f>
        <v>356.03333333333336</v>
      </c>
      <c r="I14" s="154">
        <v>5340.5</v>
      </c>
      <c r="J14" s="155">
        <v>0</v>
      </c>
      <c r="K14" s="156">
        <f t="shared" ref="K14" si="33">SUM(I14:J14)</f>
        <v>5340.5</v>
      </c>
      <c r="L14" s="157">
        <f t="shared" ref="L14" si="34">IF(I14/15&lt;=SMG,0,J14/2)</f>
        <v>0</v>
      </c>
      <c r="M14" s="157">
        <f t="shared" ref="M14" si="35">I14+L14</f>
        <v>5340.5</v>
      </c>
      <c r="N14" s="157">
        <f t="shared" ref="N14" si="36">VLOOKUP(M14,Tarifa1,1)</f>
        <v>3124.36</v>
      </c>
      <c r="O14" s="157">
        <f t="shared" ref="O14" si="37">M14-N14</f>
        <v>2216.14</v>
      </c>
      <c r="P14" s="158">
        <f t="shared" ref="P14" si="38">VLOOKUP(M14,Tarifa1,3)</f>
        <v>0.10879999999999999</v>
      </c>
      <c r="Q14" s="157">
        <f t="shared" ref="Q14" si="39">O14*P14</f>
        <v>241.11603199999996</v>
      </c>
      <c r="R14" s="159">
        <f t="shared" ref="R14" si="40">VLOOKUP(M14,Tarifa1,2)</f>
        <v>183.45</v>
      </c>
      <c r="S14" s="157">
        <f t="shared" ref="S14" si="41">Q14+R14</f>
        <v>424.56603199999995</v>
      </c>
      <c r="T14" s="157">
        <f t="shared" ref="T14" si="42">VLOOKUP(M14,Credito1,2)</f>
        <v>0</v>
      </c>
      <c r="U14" s="157">
        <f t="shared" ref="U14" si="43">ROUND(S14-T14,2)</f>
        <v>424.57</v>
      </c>
      <c r="V14" s="156">
        <f t="shared" si="17"/>
        <v>0</v>
      </c>
      <c r="W14" s="156">
        <f t="shared" ref="W14" si="44">IF(I14/15&lt;=SMG,0,IF(U14&lt;0,0,U14))</f>
        <v>424.57</v>
      </c>
      <c r="X14" s="156">
        <f t="shared" si="8"/>
        <v>424.57</v>
      </c>
      <c r="Y14" s="156">
        <f t="shared" si="9"/>
        <v>4915.93</v>
      </c>
      <c r="Z14" s="92"/>
    </row>
    <row r="15" spans="1:26" ht="40.5" customHeight="1" thickBot="1" x14ac:dyDescent="0.35">
      <c r="A15" s="291" t="s">
        <v>44</v>
      </c>
      <c r="B15" s="292"/>
      <c r="C15" s="292"/>
      <c r="D15" s="292"/>
      <c r="E15" s="292"/>
      <c r="F15" s="292"/>
      <c r="G15" s="292"/>
      <c r="H15" s="293"/>
      <c r="I15" s="160">
        <f>SUM(I9:I14)</f>
        <v>37189</v>
      </c>
      <c r="J15" s="160">
        <f>SUM(J9:J14)</f>
        <v>0</v>
      </c>
      <c r="K15" s="160">
        <f>SUM(K9:K14)</f>
        <v>37189</v>
      </c>
      <c r="L15" s="161">
        <f t="shared" ref="L15:U15" si="45">SUM(L10:L14)</f>
        <v>0</v>
      </c>
      <c r="M15" s="161">
        <f t="shared" si="45"/>
        <v>27355.5</v>
      </c>
      <c r="N15" s="161">
        <f t="shared" si="45"/>
        <v>17988.2</v>
      </c>
      <c r="O15" s="161">
        <f t="shared" si="45"/>
        <v>9367.2999999999993</v>
      </c>
      <c r="P15" s="161">
        <f t="shared" si="45"/>
        <v>0.59519999999999995</v>
      </c>
      <c r="Q15" s="161">
        <f t="shared" si="45"/>
        <v>1042.1889279999998</v>
      </c>
      <c r="R15" s="161">
        <f t="shared" si="45"/>
        <v>1174.8000000000002</v>
      </c>
      <c r="S15" s="161">
        <f t="shared" si="45"/>
        <v>2216.9889279999998</v>
      </c>
      <c r="T15" s="161">
        <f t="shared" si="45"/>
        <v>0</v>
      </c>
      <c r="U15" s="161">
        <f t="shared" si="45"/>
        <v>2217</v>
      </c>
      <c r="V15" s="160">
        <f>SUM(V9:V14)</f>
        <v>0</v>
      </c>
      <c r="W15" s="160">
        <f>SUM(W9:W14)</f>
        <v>3494.37</v>
      </c>
      <c r="X15" s="160">
        <f>SUM(X9:X14)</f>
        <v>3494.37</v>
      </c>
      <c r="Y15" s="160">
        <f>SUM(Y9:Y14)</f>
        <v>33694.630000000005</v>
      </c>
    </row>
    <row r="16" spans="1:26" ht="18" thickTop="1" x14ac:dyDescent="0.3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</row>
    <row r="17" spans="1:25" ht="17.399999999999999" x14ac:dyDescent="0.3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</row>
    <row r="18" spans="1:25" ht="17.399999999999999" x14ac:dyDescent="0.3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</row>
  </sheetData>
  <mergeCells count="7">
    <mergeCell ref="A15:H15"/>
    <mergeCell ref="A1:Z1"/>
    <mergeCell ref="A2:Z2"/>
    <mergeCell ref="A3:Z3"/>
    <mergeCell ref="I5:K5"/>
    <mergeCell ref="N5:S5"/>
    <mergeCell ref="W5:X5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4"/>
  </dataValidations>
  <pageMargins left="0.27559055118110237" right="0.27559055118110237" top="0.55118110236220474" bottom="0.35433070866141736" header="0.31496062992125984" footer="0.31496062992125984"/>
  <pageSetup scale="42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B1" zoomScale="70" zoomScaleNormal="70" workbookViewId="0">
      <pane ySplit="1" topLeftCell="A21" activePane="bottomLeft" state="frozen"/>
      <selection activeCell="B1" sqref="B1"/>
      <selection pane="bottomLeft" activeCell="B25" sqref="A25:XFD30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94" t="s">
        <v>76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32" ht="19.8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32" ht="19.8" x14ac:dyDescent="0.3">
      <c r="A3" s="295" t="s">
        <v>353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32" ht="18.75" customHeight="1" x14ac:dyDescent="0.3">
      <c r="A4" s="42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32" s="52" customFormat="1" ht="15.6" x14ac:dyDescent="0.3">
      <c r="A5" s="48"/>
      <c r="B5" s="120"/>
      <c r="C5" s="120"/>
      <c r="D5" s="120"/>
      <c r="E5" s="120"/>
      <c r="F5" s="262"/>
      <c r="G5" s="121" t="s">
        <v>22</v>
      </c>
      <c r="H5" s="265" t="s">
        <v>5</v>
      </c>
      <c r="I5" s="296" t="s">
        <v>1</v>
      </c>
      <c r="J5" s="297"/>
      <c r="K5" s="298"/>
      <c r="L5" s="122" t="s">
        <v>25</v>
      </c>
      <c r="M5" s="123"/>
      <c r="N5" s="299" t="s">
        <v>8</v>
      </c>
      <c r="O5" s="300"/>
      <c r="P5" s="300"/>
      <c r="Q5" s="300"/>
      <c r="R5" s="300"/>
      <c r="S5" s="301"/>
      <c r="T5" s="122" t="s">
        <v>52</v>
      </c>
      <c r="U5" s="122" t="s">
        <v>9</v>
      </c>
      <c r="V5" s="121" t="s">
        <v>52</v>
      </c>
      <c r="W5" s="302" t="s">
        <v>2</v>
      </c>
      <c r="X5" s="303"/>
      <c r="Y5" s="121" t="s">
        <v>0</v>
      </c>
      <c r="Z5" s="48"/>
    </row>
    <row r="6" spans="1:32" s="52" customFormat="1" ht="29.25" customHeight="1" x14ac:dyDescent="0.3">
      <c r="A6" s="53" t="s">
        <v>20</v>
      </c>
      <c r="B6" s="124" t="s">
        <v>98</v>
      </c>
      <c r="C6" s="124" t="s">
        <v>117</v>
      </c>
      <c r="D6" s="125" t="s">
        <v>21</v>
      </c>
      <c r="E6" s="125"/>
      <c r="F6" s="263"/>
      <c r="G6" s="268" t="s">
        <v>23</v>
      </c>
      <c r="H6" s="266" t="s">
        <v>24</v>
      </c>
      <c r="I6" s="121" t="s">
        <v>5</v>
      </c>
      <c r="J6" s="121" t="s">
        <v>57</v>
      </c>
      <c r="K6" s="121" t="s">
        <v>27</v>
      </c>
      <c r="L6" s="126" t="s">
        <v>26</v>
      </c>
      <c r="M6" s="123" t="s">
        <v>31</v>
      </c>
      <c r="N6" s="123" t="s">
        <v>11</v>
      </c>
      <c r="O6" s="123" t="s">
        <v>33</v>
      </c>
      <c r="P6" s="123" t="s">
        <v>35</v>
      </c>
      <c r="Q6" s="123" t="s">
        <v>36</v>
      </c>
      <c r="R6" s="123" t="s">
        <v>13</v>
      </c>
      <c r="S6" s="123" t="s">
        <v>9</v>
      </c>
      <c r="T6" s="126" t="s">
        <v>39</v>
      </c>
      <c r="U6" s="126" t="s">
        <v>40</v>
      </c>
      <c r="V6" s="125" t="s">
        <v>30</v>
      </c>
      <c r="W6" s="121" t="s">
        <v>256</v>
      </c>
      <c r="X6" s="121" t="s">
        <v>6</v>
      </c>
      <c r="Y6" s="125" t="s">
        <v>3</v>
      </c>
      <c r="Z6" s="53" t="s">
        <v>56</v>
      </c>
    </row>
    <row r="7" spans="1:32" s="52" customFormat="1" ht="15.6" x14ac:dyDescent="0.3">
      <c r="A7" s="61"/>
      <c r="B7" s="127"/>
      <c r="C7" s="127"/>
      <c r="D7" s="128"/>
      <c r="E7" s="128"/>
      <c r="F7" s="264"/>
      <c r="G7" s="128"/>
      <c r="H7" s="267"/>
      <c r="I7" s="128" t="s">
        <v>46</v>
      </c>
      <c r="J7" s="128" t="s">
        <v>58</v>
      </c>
      <c r="K7" s="128" t="s">
        <v>28</v>
      </c>
      <c r="L7" s="129" t="s">
        <v>42</v>
      </c>
      <c r="M7" s="122" t="s">
        <v>32</v>
      </c>
      <c r="N7" s="122" t="s">
        <v>12</v>
      </c>
      <c r="O7" s="122" t="s">
        <v>34</v>
      </c>
      <c r="P7" s="122" t="s">
        <v>34</v>
      </c>
      <c r="Q7" s="122" t="s">
        <v>37</v>
      </c>
      <c r="R7" s="122" t="s">
        <v>14</v>
      </c>
      <c r="S7" s="122" t="s">
        <v>38</v>
      </c>
      <c r="T7" s="126" t="s">
        <v>51</v>
      </c>
      <c r="U7" s="130" t="s">
        <v>190</v>
      </c>
      <c r="V7" s="128" t="s">
        <v>51</v>
      </c>
      <c r="W7" s="128"/>
      <c r="X7" s="128" t="s">
        <v>43</v>
      </c>
      <c r="Y7" s="128" t="s">
        <v>4</v>
      </c>
      <c r="Z7" s="58"/>
    </row>
    <row r="8" spans="1:32" s="52" customFormat="1" ht="43.5" customHeight="1" x14ac:dyDescent="0.3">
      <c r="A8" s="207"/>
      <c r="B8" s="225" t="s">
        <v>98</v>
      </c>
      <c r="C8" s="225" t="s">
        <v>117</v>
      </c>
      <c r="D8" s="226" t="s">
        <v>61</v>
      </c>
      <c r="E8" s="225" t="s">
        <v>265</v>
      </c>
      <c r="F8" s="207" t="s">
        <v>60</v>
      </c>
      <c r="G8" s="207"/>
      <c r="H8" s="207"/>
      <c r="I8" s="227">
        <f>SUM(I9:I11)</f>
        <v>48804.5</v>
      </c>
      <c r="J8" s="227">
        <f>SUM(J9:J11)</f>
        <v>0</v>
      </c>
      <c r="K8" s="227">
        <f>SUM(K9:K11)</f>
        <v>48804.5</v>
      </c>
      <c r="L8" s="207"/>
      <c r="M8" s="207"/>
      <c r="N8" s="207"/>
      <c r="O8" s="207"/>
      <c r="P8" s="207"/>
      <c r="Q8" s="207"/>
      <c r="R8" s="207"/>
      <c r="S8" s="207"/>
      <c r="T8" s="207"/>
      <c r="U8" s="228"/>
      <c r="V8" s="227">
        <f>SUM(V9:V11)</f>
        <v>0</v>
      </c>
      <c r="W8" s="227">
        <f>SUM(W9:W11)</f>
        <v>8588.43</v>
      </c>
      <c r="X8" s="227">
        <f>SUM(X9:X11)</f>
        <v>8588.43</v>
      </c>
      <c r="Y8" s="227" t="e">
        <f>SUM(Y9:Y11)</f>
        <v>#REF!</v>
      </c>
      <c r="Z8" s="64"/>
    </row>
    <row r="9" spans="1:32" s="52" customFormat="1" ht="105" customHeight="1" x14ac:dyDescent="0.35">
      <c r="A9" s="149" t="s">
        <v>82</v>
      </c>
      <c r="B9" s="148" t="s">
        <v>183</v>
      </c>
      <c r="C9" s="149" t="s">
        <v>109</v>
      </c>
      <c r="D9" s="211" t="s">
        <v>184</v>
      </c>
      <c r="E9" s="216">
        <v>43374</v>
      </c>
      <c r="F9" s="151" t="s">
        <v>185</v>
      </c>
      <c r="G9" s="152">
        <v>15</v>
      </c>
      <c r="H9" s="153">
        <v>1677.25</v>
      </c>
      <c r="I9" s="154">
        <v>28536</v>
      </c>
      <c r="J9" s="155">
        <v>0</v>
      </c>
      <c r="K9" s="156">
        <f>SUM(I9:J9)</f>
        <v>28536</v>
      </c>
      <c r="L9" s="157">
        <f>IF(I9/15&lt;=SMG,0,J9/2)</f>
        <v>0</v>
      </c>
      <c r="M9" s="157">
        <f>I9+L9</f>
        <v>28536</v>
      </c>
      <c r="N9" s="157">
        <f>VLOOKUP(M9,Tarifa1,1)</f>
        <v>24292.66</v>
      </c>
      <c r="O9" s="157">
        <f>M9-N9</f>
        <v>4243.34</v>
      </c>
      <c r="P9" s="158">
        <f>VLOOKUP(M9,Tarifa1,3)</f>
        <v>0.3</v>
      </c>
      <c r="Q9" s="157">
        <f>O9*P9</f>
        <v>1273.002</v>
      </c>
      <c r="R9" s="159">
        <f>VLOOKUP(M9,Tarifa1,2)</f>
        <v>4557.75</v>
      </c>
      <c r="S9" s="157">
        <f>Q9+R9</f>
        <v>5830.7520000000004</v>
      </c>
      <c r="T9" s="157">
        <f>VLOOKUP(M9,Credito1,2)</f>
        <v>0</v>
      </c>
      <c r="U9" s="157">
        <f>ROUND(S9-T9,2)</f>
        <v>5830.75</v>
      </c>
      <c r="V9" s="156">
        <f>-IF(U9&gt;0,0,0)</f>
        <v>0</v>
      </c>
      <c r="W9" s="156">
        <f>IF(I9/15&lt;=SMG,0,IF(U9&lt;0,0,U9))</f>
        <v>5830.75</v>
      </c>
      <c r="X9" s="156">
        <f>SUM(W9:W9)</f>
        <v>5830.75</v>
      </c>
      <c r="Y9" s="156">
        <f>K9+V9-X9</f>
        <v>22705.25</v>
      </c>
      <c r="Z9" s="59"/>
    </row>
    <row r="10" spans="1:32" s="52" customFormat="1" ht="105" customHeight="1" x14ac:dyDescent="0.35">
      <c r="A10" s="149" t="s">
        <v>83</v>
      </c>
      <c r="B10" s="148" t="s">
        <v>149</v>
      </c>
      <c r="C10" s="149" t="s">
        <v>109</v>
      </c>
      <c r="D10" s="211" t="s">
        <v>141</v>
      </c>
      <c r="E10" s="216">
        <v>43101</v>
      </c>
      <c r="F10" s="151" t="s">
        <v>186</v>
      </c>
      <c r="G10" s="152">
        <v>15</v>
      </c>
      <c r="H10" s="153">
        <v>850.15</v>
      </c>
      <c r="I10" s="154">
        <v>14464.5</v>
      </c>
      <c r="J10" s="155">
        <v>0</v>
      </c>
      <c r="K10" s="156">
        <f>SUM(I10:J10)</f>
        <v>14464.5</v>
      </c>
      <c r="L10" s="157">
        <f>IF(I10/15&lt;=SMG,0,J10/2)</f>
        <v>0</v>
      </c>
      <c r="M10" s="157">
        <f t="shared" ref="M10" si="0">I10+L10</f>
        <v>14464.5</v>
      </c>
      <c r="N10" s="157">
        <f>VLOOKUP(M10,Tarifa1,1)</f>
        <v>7641.91</v>
      </c>
      <c r="O10" s="157">
        <f t="shared" ref="O10" si="1">M10-N10</f>
        <v>6822.59</v>
      </c>
      <c r="P10" s="158">
        <f>VLOOKUP(M10,Tarifa1,3)</f>
        <v>0.21360000000000001</v>
      </c>
      <c r="Q10" s="157">
        <f t="shared" ref="Q10" si="2">O10*P10</f>
        <v>1457.3052240000002</v>
      </c>
      <c r="R10" s="159">
        <f>VLOOKUP(M10,Tarifa1,2)</f>
        <v>809.25</v>
      </c>
      <c r="S10" s="157">
        <f t="shared" ref="S10" si="3">Q10+R10</f>
        <v>2266.5552240000002</v>
      </c>
      <c r="T10" s="157">
        <f>VLOOKUP(M10,Credito1,2)</f>
        <v>0</v>
      </c>
      <c r="U10" s="157">
        <f t="shared" ref="U10" si="4">ROUND(S10-T10,2)</f>
        <v>2266.56</v>
      </c>
      <c r="V10" s="156">
        <f>-IF(U10&gt;0,0,0)</f>
        <v>0</v>
      </c>
      <c r="W10" s="156">
        <f>IF(I10/15&lt;=SMG,0,IF(U10&lt;0,0,U10))</f>
        <v>2266.56</v>
      </c>
      <c r="X10" s="156">
        <f>SUM(W10:W10)</f>
        <v>2266.56</v>
      </c>
      <c r="Y10" s="156">
        <f>K10+V10-X10</f>
        <v>12197.94</v>
      </c>
      <c r="Z10" s="59"/>
      <c r="AF10" s="60"/>
    </row>
    <row r="11" spans="1:32" s="52" customFormat="1" ht="105" customHeight="1" x14ac:dyDescent="0.35">
      <c r="A11" s="149"/>
      <c r="B11" s="149" t="s">
        <v>104</v>
      </c>
      <c r="C11" s="148" t="s">
        <v>109</v>
      </c>
      <c r="D11" s="211" t="s">
        <v>64</v>
      </c>
      <c r="E11" s="216">
        <v>40026</v>
      </c>
      <c r="F11" s="150" t="s">
        <v>62</v>
      </c>
      <c r="G11" s="152">
        <v>15</v>
      </c>
      <c r="H11" s="153">
        <v>341.11</v>
      </c>
      <c r="I11" s="154">
        <v>5804</v>
      </c>
      <c r="J11" s="155">
        <v>0</v>
      </c>
      <c r="K11" s="156">
        <f>SUM(I11:J11)</f>
        <v>5804</v>
      </c>
      <c r="L11" s="157">
        <f>IF(I11/15&lt;=SMG,0,J11/2)</f>
        <v>0</v>
      </c>
      <c r="M11" s="157">
        <f t="shared" ref="M11" si="5">I11+L11</f>
        <v>5804</v>
      </c>
      <c r="N11" s="157">
        <f>VLOOKUP(M11,Tarifa1,1)</f>
        <v>5490.76</v>
      </c>
      <c r="O11" s="157">
        <f t="shared" ref="O11" si="6">M11-N11</f>
        <v>313.23999999999978</v>
      </c>
      <c r="P11" s="158">
        <f>VLOOKUP(M11,Tarifa1,3)</f>
        <v>0.16</v>
      </c>
      <c r="Q11" s="157">
        <f t="shared" ref="Q11" si="7">O11*P11</f>
        <v>50.118399999999966</v>
      </c>
      <c r="R11" s="159">
        <f>VLOOKUP(M11,Tarifa1,2)</f>
        <v>441</v>
      </c>
      <c r="S11" s="157">
        <f t="shared" ref="S11" si="8">Q11+R11</f>
        <v>491.11839999999995</v>
      </c>
      <c r="T11" s="157">
        <f>VLOOKUP(M11,Credito1,2)</f>
        <v>0</v>
      </c>
      <c r="U11" s="157">
        <f t="shared" ref="U11" si="9">ROUND(S11-T11,2)</f>
        <v>491.12</v>
      </c>
      <c r="V11" s="156">
        <f>-IF(U11&gt;0,0,0)</f>
        <v>0</v>
      </c>
      <c r="W11" s="156">
        <f>IF(I11/15&lt;=SMG,0,IF(U11&lt;0,0,U11))</f>
        <v>491.12</v>
      </c>
      <c r="X11" s="156">
        <f>SUM(W11:W11)</f>
        <v>491.12</v>
      </c>
      <c r="Y11" s="156" t="e">
        <f>K11+V11-X11-#REF!</f>
        <v>#REF!</v>
      </c>
      <c r="Z11" s="59"/>
      <c r="AF11" s="60"/>
    </row>
    <row r="12" spans="1:32" s="52" customFormat="1" ht="57.75" customHeight="1" x14ac:dyDescent="0.3">
      <c r="A12" s="149"/>
      <c r="B12" s="225" t="s">
        <v>98</v>
      </c>
      <c r="C12" s="225" t="s">
        <v>117</v>
      </c>
      <c r="D12" s="240" t="s">
        <v>113</v>
      </c>
      <c r="E12" s="225" t="s">
        <v>265</v>
      </c>
      <c r="F12" s="207" t="s">
        <v>60</v>
      </c>
      <c r="G12" s="207"/>
      <c r="H12" s="207"/>
      <c r="I12" s="227">
        <f>SUM(I13)</f>
        <v>6498</v>
      </c>
      <c r="J12" s="227">
        <f>SUM(J13)</f>
        <v>0</v>
      </c>
      <c r="K12" s="227">
        <f>SUM(K13)</f>
        <v>6498</v>
      </c>
      <c r="L12" s="207"/>
      <c r="M12" s="207"/>
      <c r="N12" s="207"/>
      <c r="O12" s="207"/>
      <c r="P12" s="207"/>
      <c r="Q12" s="207"/>
      <c r="R12" s="229"/>
      <c r="S12" s="207"/>
      <c r="T12" s="207"/>
      <c r="U12" s="228"/>
      <c r="V12" s="227">
        <f>SUM(V13)</f>
        <v>0</v>
      </c>
      <c r="W12" s="227">
        <f>SUM(W13)</f>
        <v>604.29</v>
      </c>
      <c r="X12" s="227">
        <f>SUM(X13)</f>
        <v>604.29</v>
      </c>
      <c r="Y12" s="227">
        <f>SUM(Y13)</f>
        <v>5893.71</v>
      </c>
      <c r="Z12" s="64"/>
      <c r="AF12" s="60"/>
    </row>
    <row r="13" spans="1:32" s="52" customFormat="1" ht="105" customHeight="1" x14ac:dyDescent="0.35">
      <c r="A13" s="149" t="s">
        <v>84</v>
      </c>
      <c r="B13" s="149" t="s">
        <v>246</v>
      </c>
      <c r="C13" s="148" t="s">
        <v>109</v>
      </c>
      <c r="D13" s="211" t="s">
        <v>241</v>
      </c>
      <c r="E13" s="216">
        <v>44743</v>
      </c>
      <c r="F13" s="151" t="s">
        <v>95</v>
      </c>
      <c r="G13" s="152">
        <v>15</v>
      </c>
      <c r="H13" s="153">
        <v>381.95</v>
      </c>
      <c r="I13" s="154">
        <v>6498</v>
      </c>
      <c r="J13" s="155">
        <v>0</v>
      </c>
      <c r="K13" s="156">
        <f>I13</f>
        <v>6498</v>
      </c>
      <c r="L13" s="157">
        <f>IF(I13/15&lt;=SMG,0,J13/2)</f>
        <v>0</v>
      </c>
      <c r="M13" s="157">
        <f t="shared" ref="M13" si="10">I13+L13</f>
        <v>6498</v>
      </c>
      <c r="N13" s="157">
        <f>VLOOKUP(M13,Tarifa1,1)</f>
        <v>6382.81</v>
      </c>
      <c r="O13" s="157">
        <f t="shared" ref="O13" si="11">M13-N13</f>
        <v>115.1899999999996</v>
      </c>
      <c r="P13" s="158">
        <f>VLOOKUP(M13,Tarifa1,3)</f>
        <v>0.1792</v>
      </c>
      <c r="Q13" s="157">
        <f t="shared" ref="Q13" si="12">O13*P13</f>
        <v>20.642047999999928</v>
      </c>
      <c r="R13" s="159">
        <f>VLOOKUP(M13,Tarifa1,2)</f>
        <v>583.65</v>
      </c>
      <c r="S13" s="157">
        <f t="shared" ref="S13" si="13">Q13+R13</f>
        <v>604.29204799999991</v>
      </c>
      <c r="T13" s="157">
        <f>VLOOKUP(M13,Credito1,2)</f>
        <v>0</v>
      </c>
      <c r="U13" s="157">
        <f t="shared" ref="U13" si="14">ROUND(S13-T13,2)</f>
        <v>604.29</v>
      </c>
      <c r="V13" s="156">
        <f>-IF(U13&gt;0,0,0)</f>
        <v>0</v>
      </c>
      <c r="W13" s="156">
        <f>IF(I13/15&lt;=SMG,0,IF(U13&lt;0,0,U13))</f>
        <v>604.29</v>
      </c>
      <c r="X13" s="156">
        <f>SUM(W13:W13)</f>
        <v>604.29</v>
      </c>
      <c r="Y13" s="156">
        <f>K13+V13-X13</f>
        <v>5893.71</v>
      </c>
      <c r="Z13" s="59"/>
      <c r="AF13" s="60"/>
    </row>
    <row r="14" spans="1:32" s="52" customFormat="1" ht="63" customHeight="1" x14ac:dyDescent="0.3">
      <c r="A14" s="149"/>
      <c r="B14" s="225" t="s">
        <v>98</v>
      </c>
      <c r="C14" s="225" t="s">
        <v>117</v>
      </c>
      <c r="D14" s="226" t="s">
        <v>114</v>
      </c>
      <c r="E14" s="225" t="s">
        <v>265</v>
      </c>
      <c r="F14" s="207" t="s">
        <v>60</v>
      </c>
      <c r="G14" s="207"/>
      <c r="H14" s="207"/>
      <c r="I14" s="227">
        <v>4896.5</v>
      </c>
      <c r="J14" s="227">
        <f>SUM(J15)</f>
        <v>0</v>
      </c>
      <c r="K14" s="227">
        <f>SUM(K15)</f>
        <v>5771.25</v>
      </c>
      <c r="L14" s="207"/>
      <c r="M14" s="207"/>
      <c r="N14" s="207"/>
      <c r="O14" s="207"/>
      <c r="P14" s="207"/>
      <c r="Q14" s="207"/>
      <c r="R14" s="229"/>
      <c r="S14" s="207"/>
      <c r="T14" s="207"/>
      <c r="U14" s="228"/>
      <c r="V14" s="227">
        <f>SUM(V15)</f>
        <v>0</v>
      </c>
      <c r="W14" s="227">
        <f>SUM(W15)</f>
        <v>485.88</v>
      </c>
      <c r="X14" s="227">
        <f>SUM(X15)</f>
        <v>485.88</v>
      </c>
      <c r="Y14" s="227">
        <f>SUM(Y15)</f>
        <v>5285.37</v>
      </c>
      <c r="Z14" s="64"/>
      <c r="AF14" s="60"/>
    </row>
    <row r="15" spans="1:32" s="52" customFormat="1" ht="105" customHeight="1" x14ac:dyDescent="0.35">
      <c r="A15" s="149" t="s">
        <v>86</v>
      </c>
      <c r="B15" s="149" t="s">
        <v>193</v>
      </c>
      <c r="C15" s="149" t="s">
        <v>317</v>
      </c>
      <c r="D15" s="211" t="s">
        <v>208</v>
      </c>
      <c r="E15" s="216">
        <v>44470</v>
      </c>
      <c r="F15" s="151" t="s">
        <v>244</v>
      </c>
      <c r="G15" s="152">
        <v>15</v>
      </c>
      <c r="H15" s="153">
        <v>305.35000000000002</v>
      </c>
      <c r="I15" s="154">
        <v>5771.25</v>
      </c>
      <c r="J15" s="155">
        <v>0</v>
      </c>
      <c r="K15" s="156">
        <f>SUM(I15:J15)</f>
        <v>5771.25</v>
      </c>
      <c r="L15" s="157">
        <f>IF(I15/15&lt;=SMG,0,J15/2)</f>
        <v>0</v>
      </c>
      <c r="M15" s="157">
        <f t="shared" ref="M15" si="15">I15+L15</f>
        <v>5771.25</v>
      </c>
      <c r="N15" s="157">
        <f>VLOOKUP(M15,Tarifa1,1)</f>
        <v>5490.76</v>
      </c>
      <c r="O15" s="157">
        <f t="shared" ref="O15" si="16">M15-N15</f>
        <v>280.48999999999978</v>
      </c>
      <c r="P15" s="158">
        <f>VLOOKUP(M15,Tarifa1,3)</f>
        <v>0.16</v>
      </c>
      <c r="Q15" s="157">
        <f t="shared" ref="Q15" si="17">O15*P15</f>
        <v>44.878399999999964</v>
      </c>
      <c r="R15" s="159">
        <f>VLOOKUP(M15,Tarifa1,2)</f>
        <v>441</v>
      </c>
      <c r="S15" s="157">
        <f t="shared" ref="S15" si="18">Q15+R15</f>
        <v>485.87839999999994</v>
      </c>
      <c r="T15" s="157">
        <f>VLOOKUP(M15,Credito1,2)</f>
        <v>0</v>
      </c>
      <c r="U15" s="157">
        <f t="shared" ref="U15" si="19">ROUND(S15-T15,2)</f>
        <v>485.88</v>
      </c>
      <c r="V15" s="156">
        <f>-IF(U15&gt;0,0,0)</f>
        <v>0</v>
      </c>
      <c r="W15" s="156">
        <f>IF(I15/15&lt;=SMG,0,IF(U15&lt;0,0,U15))</f>
        <v>485.88</v>
      </c>
      <c r="X15" s="156">
        <f>SUM(W15:W15)</f>
        <v>485.88</v>
      </c>
      <c r="Y15" s="156">
        <f>K15+V15-X15</f>
        <v>5285.37</v>
      </c>
      <c r="Z15" s="59"/>
      <c r="AF15" s="65"/>
    </row>
    <row r="16" spans="1:32" s="52" customFormat="1" ht="50.25" customHeight="1" x14ac:dyDescent="0.3">
      <c r="A16" s="149"/>
      <c r="B16" s="225" t="s">
        <v>98</v>
      </c>
      <c r="C16" s="225" t="s">
        <v>117</v>
      </c>
      <c r="D16" s="226" t="s">
        <v>115</v>
      </c>
      <c r="E16" s="225" t="s">
        <v>265</v>
      </c>
      <c r="F16" s="207" t="s">
        <v>60</v>
      </c>
      <c r="G16" s="207"/>
      <c r="H16" s="207"/>
      <c r="I16" s="227">
        <f>SUM(I17:I18)</f>
        <v>14978</v>
      </c>
      <c r="J16" s="227">
        <f>SUM(J17:J18)</f>
        <v>0</v>
      </c>
      <c r="K16" s="227">
        <f>SUM(K17:K18)</f>
        <v>14978</v>
      </c>
      <c r="L16" s="207"/>
      <c r="M16" s="207"/>
      <c r="N16" s="207"/>
      <c r="O16" s="207"/>
      <c r="P16" s="207"/>
      <c r="Q16" s="207"/>
      <c r="R16" s="229"/>
      <c r="S16" s="207"/>
      <c r="T16" s="207"/>
      <c r="U16" s="228"/>
      <c r="V16" s="227">
        <f>SUM(V17:V18)</f>
        <v>0</v>
      </c>
      <c r="W16" s="227">
        <f>SUM(W17:W18)</f>
        <v>1604.98</v>
      </c>
      <c r="X16" s="227">
        <f>SUM(X17:X18)</f>
        <v>1604.98</v>
      </c>
      <c r="Y16" s="227">
        <f>SUM(Y17:Y18)</f>
        <v>13373.02</v>
      </c>
      <c r="Z16" s="64"/>
      <c r="AF16" s="65"/>
    </row>
    <row r="17" spans="1:32" s="52" customFormat="1" ht="105" customHeight="1" x14ac:dyDescent="0.35">
      <c r="A17" s="149" t="s">
        <v>87</v>
      </c>
      <c r="B17" s="148" t="s">
        <v>145</v>
      </c>
      <c r="C17" s="149" t="s">
        <v>109</v>
      </c>
      <c r="D17" s="211" t="s">
        <v>132</v>
      </c>
      <c r="E17" s="216">
        <v>43374</v>
      </c>
      <c r="F17" s="151" t="s">
        <v>81</v>
      </c>
      <c r="G17" s="152">
        <v>15</v>
      </c>
      <c r="H17" s="153">
        <v>625.85200000000009</v>
      </c>
      <c r="I17" s="154">
        <v>10972.5</v>
      </c>
      <c r="J17" s="155">
        <v>0</v>
      </c>
      <c r="K17" s="156">
        <f>I17</f>
        <v>10972.5</v>
      </c>
      <c r="L17" s="157">
        <f>IF(I17/15&lt;=SMG,0,J17/2)</f>
        <v>0</v>
      </c>
      <c r="M17" s="157">
        <f t="shared" ref="M17" si="20">I17+L17</f>
        <v>10972.5</v>
      </c>
      <c r="N17" s="157">
        <f>VLOOKUP(M17,Tarifa1,1)</f>
        <v>7641.91</v>
      </c>
      <c r="O17" s="157">
        <f t="shared" ref="O17" si="21">M17-N17</f>
        <v>3330.59</v>
      </c>
      <c r="P17" s="158">
        <f>VLOOKUP(M17,Tarifa1,3)</f>
        <v>0.21360000000000001</v>
      </c>
      <c r="Q17" s="157">
        <f t="shared" ref="Q17" si="22">O17*P17</f>
        <v>711.41402400000004</v>
      </c>
      <c r="R17" s="159">
        <f>VLOOKUP(M17,Tarifa1,2)</f>
        <v>809.25</v>
      </c>
      <c r="S17" s="157">
        <f t="shared" ref="S17" si="23">Q17+R17</f>
        <v>1520.6640240000002</v>
      </c>
      <c r="T17" s="157">
        <f>VLOOKUP(M17,Credito1,2)</f>
        <v>0</v>
      </c>
      <c r="U17" s="157">
        <f t="shared" ref="U17" si="24">ROUND(S17-T17,2)</f>
        <v>1520.66</v>
      </c>
      <c r="V17" s="156">
        <f>-IF(U17&gt;0,0,0)</f>
        <v>0</v>
      </c>
      <c r="W17" s="156">
        <f>IF(I17/15&lt;=SMG,0,IF(U17&lt;0,0,U17))</f>
        <v>1520.66</v>
      </c>
      <c r="X17" s="156">
        <f>SUM(W17:W17)</f>
        <v>1520.66</v>
      </c>
      <c r="Y17" s="156">
        <f>K17+V17-X17</f>
        <v>9451.84</v>
      </c>
      <c r="Z17" s="59"/>
      <c r="AF17" s="65"/>
    </row>
    <row r="18" spans="1:32" s="52" customFormat="1" ht="105" customHeight="1" x14ac:dyDescent="0.35">
      <c r="A18" s="261"/>
      <c r="B18" s="251" t="s">
        <v>267</v>
      </c>
      <c r="C18" s="162" t="s">
        <v>109</v>
      </c>
      <c r="D18" s="256" t="s">
        <v>268</v>
      </c>
      <c r="E18" s="252">
        <v>44991</v>
      </c>
      <c r="F18" s="253" t="s">
        <v>62</v>
      </c>
      <c r="G18" s="254">
        <v>10</v>
      </c>
      <c r="H18" s="255"/>
      <c r="I18" s="154">
        <v>4005.5</v>
      </c>
      <c r="J18" s="155">
        <v>0</v>
      </c>
      <c r="K18" s="156">
        <f>SUM(I18:J18)</f>
        <v>4005.5</v>
      </c>
      <c r="L18" s="157">
        <f>IF(I18/15&lt;=SMG,0,J18/2)</f>
        <v>0</v>
      </c>
      <c r="M18" s="157">
        <f t="shared" ref="M18" si="25">I18+L18</f>
        <v>4005.5</v>
      </c>
      <c r="N18" s="157">
        <f>VLOOKUP(M18,Tarifa1,1)</f>
        <v>3124.36</v>
      </c>
      <c r="O18" s="157">
        <f t="shared" ref="O18" si="26">M18-N18</f>
        <v>881.13999999999987</v>
      </c>
      <c r="P18" s="158">
        <f>VLOOKUP(M18,Tarifa1,3)</f>
        <v>0.10879999999999999</v>
      </c>
      <c r="Q18" s="157">
        <f t="shared" ref="Q18" si="27">O18*P18</f>
        <v>95.868031999999985</v>
      </c>
      <c r="R18" s="159">
        <f>VLOOKUP(M18,Tarifa1,2)</f>
        <v>183.45</v>
      </c>
      <c r="S18" s="157">
        <f t="shared" ref="S18" si="28">Q18+R18</f>
        <v>279.31803199999996</v>
      </c>
      <c r="T18" s="157">
        <f>VLOOKUP(M18,Credito1,2)</f>
        <v>195</v>
      </c>
      <c r="U18" s="157">
        <f t="shared" ref="U18" si="29">ROUND(S18-T18,2)</f>
        <v>84.32</v>
      </c>
      <c r="V18" s="156">
        <f>-IF(U18&gt;0,0,0)</f>
        <v>0</v>
      </c>
      <c r="W18" s="156">
        <f>IF(I18/15&lt;=SMG,0,IF(U18&lt;0,0,U18))</f>
        <v>84.32</v>
      </c>
      <c r="X18" s="156">
        <f>SUM(W18:W18)</f>
        <v>84.32</v>
      </c>
      <c r="Y18" s="156">
        <f>K18+V18-X18</f>
        <v>3921.18</v>
      </c>
      <c r="Z18" s="57"/>
      <c r="AF18" s="65"/>
    </row>
    <row r="19" spans="1:32" s="52" customFormat="1" ht="126" customHeight="1" x14ac:dyDescent="0.3">
      <c r="A19" s="261"/>
      <c r="B19" s="191" t="s">
        <v>98</v>
      </c>
      <c r="C19" s="191" t="s">
        <v>117</v>
      </c>
      <c r="D19" s="191" t="s">
        <v>338</v>
      </c>
      <c r="E19" s="191" t="s">
        <v>265</v>
      </c>
      <c r="F19" s="242" t="s">
        <v>60</v>
      </c>
      <c r="G19" s="242"/>
      <c r="H19" s="207"/>
      <c r="I19" s="227">
        <f>SUM(I20:I20)</f>
        <v>3042.5</v>
      </c>
      <c r="J19" s="227">
        <f>SUM(J20:J20)</f>
        <v>0</v>
      </c>
      <c r="K19" s="227">
        <f>SUM(K20:K20)</f>
        <v>3042.5</v>
      </c>
      <c r="L19" s="207"/>
      <c r="M19" s="207"/>
      <c r="N19" s="207"/>
      <c r="O19" s="207"/>
      <c r="P19" s="207"/>
      <c r="Q19" s="207"/>
      <c r="R19" s="229"/>
      <c r="S19" s="207"/>
      <c r="T19" s="207"/>
      <c r="U19" s="228"/>
      <c r="V19" s="227">
        <f>SUM(V20:V20)</f>
        <v>0</v>
      </c>
      <c r="W19" s="227">
        <f>SUM(W20:W20)</f>
        <v>0</v>
      </c>
      <c r="X19" s="227">
        <f>SUM(X20:X20)</f>
        <v>0</v>
      </c>
      <c r="Y19" s="227">
        <f>SUM(Y20:Y20)</f>
        <v>3042.5</v>
      </c>
      <c r="Z19" s="64"/>
      <c r="AF19" s="65"/>
    </row>
    <row r="20" spans="1:32" s="52" customFormat="1" ht="105" customHeight="1" x14ac:dyDescent="0.35">
      <c r="A20" s="261"/>
      <c r="B20" s="149" t="s">
        <v>341</v>
      </c>
      <c r="C20" s="149" t="s">
        <v>109</v>
      </c>
      <c r="D20" s="213" t="s">
        <v>339</v>
      </c>
      <c r="E20" s="216">
        <v>42171</v>
      </c>
      <c r="F20" s="272" t="s">
        <v>340</v>
      </c>
      <c r="G20" s="164">
        <v>15</v>
      </c>
      <c r="H20" s="153">
        <v>178.81533333333334</v>
      </c>
      <c r="I20" s="154">
        <v>3042.5</v>
      </c>
      <c r="J20" s="155">
        <v>0</v>
      </c>
      <c r="K20" s="156">
        <f t="shared" ref="K20" si="30">SUM(I20:J20)</f>
        <v>3042.5</v>
      </c>
      <c r="L20" s="157">
        <f t="shared" ref="L20" si="31">IF(I20/15&lt;=SMG,0,J20/2)</f>
        <v>0</v>
      </c>
      <c r="M20" s="157">
        <f t="shared" ref="M20" si="32">I20+L20</f>
        <v>3042.5</v>
      </c>
      <c r="N20" s="157">
        <f>VLOOKUP(M20,Tarifa1,1)</f>
        <v>368.11</v>
      </c>
      <c r="O20" s="157">
        <f t="shared" ref="O20" si="33">M20-N20</f>
        <v>2674.39</v>
      </c>
      <c r="P20" s="158">
        <f>VLOOKUP(M20,Tarifa1,3)</f>
        <v>6.4000000000000001E-2</v>
      </c>
      <c r="Q20" s="157">
        <f t="shared" ref="Q20" si="34">O20*P20</f>
        <v>171.16095999999999</v>
      </c>
      <c r="R20" s="159">
        <f>VLOOKUP(M20,Tarifa1,2)</f>
        <v>7.05</v>
      </c>
      <c r="S20" s="157">
        <f t="shared" ref="S20" si="35">Q20+R20</f>
        <v>178.21096</v>
      </c>
      <c r="T20" s="157">
        <f>VLOOKUP(M20,Credito1,2)</f>
        <v>195</v>
      </c>
      <c r="U20" s="157">
        <f t="shared" ref="U20" si="36">ROUND(S20-T20,2)</f>
        <v>-16.79</v>
      </c>
      <c r="V20" s="156">
        <v>0</v>
      </c>
      <c r="W20" s="279">
        <f>IF(I20/15&lt;=SMG,0,IF(U20&lt;0,0,U20))</f>
        <v>0</v>
      </c>
      <c r="X20" s="156">
        <f>SUM(W20:W20)</f>
        <v>0</v>
      </c>
      <c r="Y20" s="279">
        <f>K20+V20-X20</f>
        <v>3042.5</v>
      </c>
      <c r="Z20" s="280"/>
      <c r="AF20" s="65"/>
    </row>
    <row r="21" spans="1:32" s="52" customFormat="1" ht="21.75" customHeight="1" x14ac:dyDescent="0.3">
      <c r="A21" s="231"/>
      <c r="B21" s="232"/>
      <c r="C21" s="232"/>
      <c r="D21" s="233"/>
      <c r="E21" s="233"/>
      <c r="F21" s="233"/>
      <c r="G21" s="190"/>
      <c r="H21" s="234"/>
      <c r="I21" s="235"/>
      <c r="J21" s="236"/>
      <c r="K21" s="237"/>
      <c r="L21" s="238"/>
      <c r="M21" s="238"/>
      <c r="N21" s="238"/>
      <c r="O21" s="238"/>
      <c r="P21" s="239"/>
      <c r="Q21" s="238"/>
      <c r="R21" s="238"/>
      <c r="S21" s="238"/>
      <c r="T21" s="238"/>
      <c r="U21" s="238"/>
      <c r="V21" s="237"/>
      <c r="W21" s="237"/>
      <c r="X21" s="237"/>
      <c r="Y21" s="237"/>
      <c r="Z21" s="59"/>
    </row>
    <row r="22" spans="1:32" s="52" customFormat="1" ht="41.25" customHeight="1" thickBot="1" x14ac:dyDescent="0.35">
      <c r="A22" s="291" t="s">
        <v>44</v>
      </c>
      <c r="B22" s="292"/>
      <c r="C22" s="292"/>
      <c r="D22" s="292"/>
      <c r="E22" s="292"/>
      <c r="F22" s="292"/>
      <c r="G22" s="292"/>
      <c r="H22" s="293"/>
      <c r="I22" s="160">
        <f>I8+I12+I14+I16+I19</f>
        <v>78219.5</v>
      </c>
      <c r="J22" s="160">
        <f>J8+J12+J14+J16+J19</f>
        <v>0</v>
      </c>
      <c r="K22" s="160">
        <f>K8+K12+K14+K16+K19</f>
        <v>79094.25</v>
      </c>
      <c r="L22" s="161">
        <f t="shared" ref="L22:U22" si="37">SUM(L9:L20)</f>
        <v>0</v>
      </c>
      <c r="M22" s="161">
        <f t="shared" si="37"/>
        <v>79094.25</v>
      </c>
      <c r="N22" s="161">
        <f t="shared" si="37"/>
        <v>60433.279999999999</v>
      </c>
      <c r="O22" s="161">
        <f t="shared" si="37"/>
        <v>18660.97</v>
      </c>
      <c r="P22" s="161">
        <f t="shared" si="37"/>
        <v>1.3992000000000002</v>
      </c>
      <c r="Q22" s="161">
        <f t="shared" si="37"/>
        <v>3824.3890879999999</v>
      </c>
      <c r="R22" s="161">
        <f t="shared" si="37"/>
        <v>7832.4</v>
      </c>
      <c r="S22" s="161">
        <f t="shared" si="37"/>
        <v>11656.789087999998</v>
      </c>
      <c r="T22" s="161">
        <f t="shared" si="37"/>
        <v>390</v>
      </c>
      <c r="U22" s="161">
        <f t="shared" si="37"/>
        <v>11266.789999999999</v>
      </c>
      <c r="V22" s="160">
        <f>V8+V12+V14+V16+V19</f>
        <v>0</v>
      </c>
      <c r="W22" s="160">
        <f>W8+W12+W14+W16+W19</f>
        <v>11283.58</v>
      </c>
      <c r="X22" s="160">
        <f>X8+X12+X14+X16+X19</f>
        <v>11283.58</v>
      </c>
      <c r="Y22" s="160" t="e">
        <f>Y8+Y12+Y14+Y16+Y19</f>
        <v>#REF!</v>
      </c>
    </row>
    <row r="23" spans="1:32" s="52" customFormat="1" ht="12" customHeight="1" thickTop="1" x14ac:dyDescent="0.3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</row>
    <row r="24" spans="1:32" s="52" customFormat="1" ht="12" customHeight="1" x14ac:dyDescent="0.2"/>
    <row r="34" spans="11:11" x14ac:dyDescent="0.25">
      <c r="K34" s="4" t="s">
        <v>219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47244094488188981" bottom="3.937007874015748E-2" header="0.31496062992125984" footer="0.31496062992125984"/>
  <pageSetup scale="38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4" zoomScale="75" zoomScaleNormal="75" workbookViewId="0">
      <selection activeCell="B24" sqref="A24:XFD28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4.44140625" customWidth="1"/>
    <col min="25" max="25" width="14.33203125" customWidth="1"/>
    <col min="26" max="26" width="52.33203125" customWidth="1"/>
  </cols>
  <sheetData>
    <row r="1" spans="1:27" ht="17.399999999999999" x14ac:dyDescent="0.3">
      <c r="A1" s="304" t="s">
        <v>77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7" ht="17.399999999999999" x14ac:dyDescent="0.3">
      <c r="A2" s="304" t="s">
        <v>63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7" ht="19.8" x14ac:dyDescent="0.3">
      <c r="A3" s="192" t="s">
        <v>310</v>
      </c>
      <c r="B3" s="295" t="str">
        <f>PRESIDENCIA!A3</f>
        <v>SUELDO  DEL 01 AL 15 DE AGOSTO DE 2024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182</v>
      </c>
      <c r="I6" s="305" t="s">
        <v>1</v>
      </c>
      <c r="J6" s="306"/>
      <c r="K6" s="307"/>
      <c r="L6" s="24" t="s">
        <v>25</v>
      </c>
      <c r="M6" s="25"/>
      <c r="N6" s="308" t="s">
        <v>8</v>
      </c>
      <c r="O6" s="309"/>
      <c r="P6" s="309"/>
      <c r="Q6" s="309"/>
      <c r="R6" s="309"/>
      <c r="S6" s="310"/>
      <c r="T6" s="24" t="s">
        <v>29</v>
      </c>
      <c r="U6" s="24" t="s">
        <v>9</v>
      </c>
      <c r="V6" s="23" t="s">
        <v>52</v>
      </c>
      <c r="W6" s="311" t="s">
        <v>2</v>
      </c>
      <c r="X6" s="312"/>
      <c r="Y6" s="23" t="s">
        <v>0</v>
      </c>
      <c r="Z6" s="34"/>
    </row>
    <row r="7" spans="1:27" ht="21" x14ac:dyDescent="0.25">
      <c r="A7" s="26" t="s">
        <v>20</v>
      </c>
      <c r="B7" s="45" t="s">
        <v>98</v>
      </c>
      <c r="C7" s="45" t="s">
        <v>110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6" t="s">
        <v>256</v>
      </c>
      <c r="X7" s="23" t="s">
        <v>6</v>
      </c>
      <c r="Y7" s="26" t="s">
        <v>3</v>
      </c>
      <c r="Z7" s="36" t="s">
        <v>56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91" t="s">
        <v>98</v>
      </c>
      <c r="C9" s="191" t="s">
        <v>117</v>
      </c>
      <c r="D9" s="240" t="s">
        <v>227</v>
      </c>
      <c r="E9" s="225" t="s">
        <v>265</v>
      </c>
      <c r="F9" s="207" t="s">
        <v>60</v>
      </c>
      <c r="G9" s="242"/>
      <c r="H9" s="207"/>
      <c r="I9" s="243">
        <f>I10</f>
        <v>10972.5</v>
      </c>
      <c r="J9" s="243">
        <f>J10</f>
        <v>0</v>
      </c>
      <c r="K9" s="243">
        <f>K10</f>
        <v>10972.5</v>
      </c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3">
        <f>V10</f>
        <v>0</v>
      </c>
      <c r="W9" s="243">
        <f>W10</f>
        <v>1520.66</v>
      </c>
      <c r="X9" s="243">
        <f>X10</f>
        <v>1520.66</v>
      </c>
      <c r="Y9" s="243">
        <f>Y10</f>
        <v>9451.84</v>
      </c>
      <c r="Z9" s="135"/>
    </row>
    <row r="10" spans="1:27" ht="146.25" customHeight="1" x14ac:dyDescent="0.35">
      <c r="A10" s="241"/>
      <c r="B10" s="165">
        <v>161</v>
      </c>
      <c r="C10" s="148" t="s">
        <v>109</v>
      </c>
      <c r="D10" s="211" t="s">
        <v>228</v>
      </c>
      <c r="E10" s="216">
        <v>43374</v>
      </c>
      <c r="F10" s="151" t="s">
        <v>229</v>
      </c>
      <c r="G10" s="166">
        <v>15</v>
      </c>
      <c r="H10" s="167">
        <f>I10/G10</f>
        <v>731.5</v>
      </c>
      <c r="I10" s="154">
        <v>10972.5</v>
      </c>
      <c r="J10" s="155">
        <v>0</v>
      </c>
      <c r="K10" s="156">
        <f>I10</f>
        <v>10972.5</v>
      </c>
      <c r="L10" s="157">
        <f>IF(I10/15&lt;=SMG,0,J10/2)</f>
        <v>0</v>
      </c>
      <c r="M10" s="157">
        <f t="shared" ref="M10" si="0">I10+L10</f>
        <v>10972.5</v>
      </c>
      <c r="N10" s="157">
        <f>VLOOKUP(M10,Tarifa1,1)</f>
        <v>7641.91</v>
      </c>
      <c r="O10" s="157">
        <f t="shared" ref="O10" si="1">M10-N10</f>
        <v>3330.59</v>
      </c>
      <c r="P10" s="158">
        <f>VLOOKUP(M10,Tarifa1,3)</f>
        <v>0.21360000000000001</v>
      </c>
      <c r="Q10" s="157">
        <f t="shared" ref="Q10" si="2">O10*P10</f>
        <v>711.41402400000004</v>
      </c>
      <c r="R10" s="159">
        <f>VLOOKUP(M10,Tarifa1,2)</f>
        <v>809.25</v>
      </c>
      <c r="S10" s="157">
        <f t="shared" ref="S10" si="3">Q10+R10</f>
        <v>1520.6640240000002</v>
      </c>
      <c r="T10" s="157">
        <f>VLOOKUP(M10,Credito1,2)</f>
        <v>0</v>
      </c>
      <c r="U10" s="157">
        <f t="shared" ref="U10" si="4">ROUND(S10-T10,2)</f>
        <v>1520.66</v>
      </c>
      <c r="V10" s="156">
        <f>-IF(U10&gt;0,0,0)</f>
        <v>0</v>
      </c>
      <c r="W10" s="156">
        <f>IF(I10/15&lt;=SMG,0,IF(U10&lt;0,0,U10))</f>
        <v>1520.66</v>
      </c>
      <c r="X10" s="156">
        <f>SUM(W10:W10)</f>
        <v>1520.66</v>
      </c>
      <c r="Y10" s="156">
        <f>K10+V10-X10</f>
        <v>9451.84</v>
      </c>
      <c r="Z10" s="111"/>
    </row>
    <row r="11" spans="1:27" ht="52.5" customHeight="1" x14ac:dyDescent="0.3">
      <c r="A11" s="207"/>
      <c r="B11" s="191" t="s">
        <v>98</v>
      </c>
      <c r="C11" s="191" t="s">
        <v>117</v>
      </c>
      <c r="D11" s="240" t="s">
        <v>119</v>
      </c>
      <c r="E11" s="230"/>
      <c r="F11" s="207" t="s">
        <v>60</v>
      </c>
      <c r="G11" s="242"/>
      <c r="H11" s="207"/>
      <c r="I11" s="243">
        <f>I12</f>
        <v>8057.5</v>
      </c>
      <c r="J11" s="243">
        <f>J12</f>
        <v>0</v>
      </c>
      <c r="K11" s="243">
        <f>K12</f>
        <v>8057.5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3">
        <f>V12</f>
        <v>0</v>
      </c>
      <c r="W11" s="243">
        <f>W12</f>
        <v>898.02</v>
      </c>
      <c r="X11" s="243">
        <f>X12</f>
        <v>898.02</v>
      </c>
      <c r="Y11" s="243">
        <f>Y12</f>
        <v>7159.48</v>
      </c>
      <c r="Z11" s="244"/>
    </row>
    <row r="12" spans="1:27" ht="145.5" customHeight="1" x14ac:dyDescent="0.35">
      <c r="A12" s="171"/>
      <c r="B12" s="148" t="s">
        <v>224</v>
      </c>
      <c r="C12" s="149" t="s">
        <v>109</v>
      </c>
      <c r="D12" s="211" t="s">
        <v>225</v>
      </c>
      <c r="E12" s="216">
        <v>44487</v>
      </c>
      <c r="F12" s="151" t="s">
        <v>226</v>
      </c>
      <c r="G12" s="152">
        <v>13</v>
      </c>
      <c r="H12" s="153">
        <f t="shared" ref="H12" si="5">I12/G12</f>
        <v>619.80769230769226</v>
      </c>
      <c r="I12" s="154">
        <v>8057.5</v>
      </c>
      <c r="J12" s="155">
        <v>0</v>
      </c>
      <c r="K12" s="156">
        <f t="shared" ref="K12" si="6">SUM(I12:J12)</f>
        <v>8057.5</v>
      </c>
      <c r="L12" s="157">
        <f t="shared" ref="L12" si="7">IF(I12/15&lt;=SMG,0,J12/2)</f>
        <v>0</v>
      </c>
      <c r="M12" s="157">
        <f t="shared" ref="M12" si="8">I12+L12</f>
        <v>8057.5</v>
      </c>
      <c r="N12" s="157">
        <f t="shared" ref="N12" si="9">VLOOKUP(M12,Tarifa1,1)</f>
        <v>7641.91</v>
      </c>
      <c r="O12" s="157">
        <f t="shared" ref="O12" si="10">M12-N12</f>
        <v>415.59000000000015</v>
      </c>
      <c r="P12" s="158">
        <f t="shared" ref="P12" si="11">VLOOKUP(M12,Tarifa1,3)</f>
        <v>0.21360000000000001</v>
      </c>
      <c r="Q12" s="157">
        <f t="shared" ref="Q12" si="12">O12*P12</f>
        <v>88.770024000000035</v>
      </c>
      <c r="R12" s="159">
        <f t="shared" ref="R12" si="13">VLOOKUP(M12,Tarifa1,2)</f>
        <v>809.25</v>
      </c>
      <c r="S12" s="157">
        <f t="shared" ref="S12" si="14">Q12+R12</f>
        <v>898.02002400000003</v>
      </c>
      <c r="T12" s="157">
        <f t="shared" ref="T12" si="15">VLOOKUP(M12,Credito1,2)</f>
        <v>0</v>
      </c>
      <c r="U12" s="157">
        <f t="shared" ref="U12" si="16">ROUND(S12-T12,2)</f>
        <v>898.02</v>
      </c>
      <c r="V12" s="156">
        <f>-IF(U12&gt;0,0,0)</f>
        <v>0</v>
      </c>
      <c r="W12" s="156">
        <f t="shared" ref="W12" si="17">IF(I12/15&lt;=SMG,0,IF(U12&lt;0,0,U12))</f>
        <v>898.02</v>
      </c>
      <c r="X12" s="156">
        <f>SUM(W12:W12)</f>
        <v>898.02</v>
      </c>
      <c r="Y12" s="156">
        <f>K12+V12-X12</f>
        <v>7159.48</v>
      </c>
      <c r="Z12" s="111"/>
    </row>
    <row r="13" spans="1:27" ht="53.25" customHeight="1" x14ac:dyDescent="0.3">
      <c r="A13" s="171"/>
      <c r="B13" s="191" t="s">
        <v>98</v>
      </c>
      <c r="C13" s="191" t="s">
        <v>117</v>
      </c>
      <c r="D13" s="226" t="s">
        <v>75</v>
      </c>
      <c r="E13" s="230"/>
      <c r="F13" s="207" t="s">
        <v>60</v>
      </c>
      <c r="G13" s="207"/>
      <c r="H13" s="207"/>
      <c r="I13" s="243">
        <f>SUM(I14)</f>
        <v>12455.5</v>
      </c>
      <c r="J13" s="243">
        <f>SUM(J14)</f>
        <v>0</v>
      </c>
      <c r="K13" s="243">
        <f>SUM(K14)</f>
        <v>12455.5</v>
      </c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3">
        <f>SUM(V14)</f>
        <v>0</v>
      </c>
      <c r="W13" s="243">
        <f>SUM(W14)</f>
        <v>1837.43</v>
      </c>
      <c r="X13" s="243">
        <f>SUM(X14)</f>
        <v>1837.43</v>
      </c>
      <c r="Y13" s="243">
        <f>SUM(Y14)</f>
        <v>10618.07</v>
      </c>
      <c r="Z13" s="244"/>
    </row>
    <row r="14" spans="1:27" ht="145.5" customHeight="1" x14ac:dyDescent="0.35">
      <c r="A14" s="171"/>
      <c r="B14" s="165">
        <v>290</v>
      </c>
      <c r="C14" s="148" t="s">
        <v>109</v>
      </c>
      <c r="D14" s="211" t="s">
        <v>232</v>
      </c>
      <c r="E14" s="216">
        <v>44593</v>
      </c>
      <c r="F14" s="150" t="s">
        <v>75</v>
      </c>
      <c r="G14" s="166">
        <v>15</v>
      </c>
      <c r="H14" s="167">
        <f>I14/G14</f>
        <v>830.36666666666667</v>
      </c>
      <c r="I14" s="168">
        <v>12455.5</v>
      </c>
      <c r="J14" s="169">
        <v>0</v>
      </c>
      <c r="K14" s="170">
        <f>SUM(I14:J14)</f>
        <v>12455.5</v>
      </c>
      <c r="L14" s="157">
        <f>IF(I14/15&lt;=SMG,0,J14/2)</f>
        <v>0</v>
      </c>
      <c r="M14" s="157">
        <f>I14+L14</f>
        <v>12455.5</v>
      </c>
      <c r="N14" s="157">
        <f>VLOOKUP(M14,Tarifa1,1)</f>
        <v>7641.91</v>
      </c>
      <c r="O14" s="157">
        <f>M14-N14</f>
        <v>4813.59</v>
      </c>
      <c r="P14" s="158">
        <f>VLOOKUP(M14,Tarifa1,3)</f>
        <v>0.21360000000000001</v>
      </c>
      <c r="Q14" s="157">
        <f>O14*P14</f>
        <v>1028.182824</v>
      </c>
      <c r="R14" s="159">
        <f>VLOOKUP(M14,Tarifa1,2)</f>
        <v>809.25</v>
      </c>
      <c r="S14" s="157">
        <f>Q14+R14</f>
        <v>1837.432824</v>
      </c>
      <c r="T14" s="157">
        <f>VLOOKUP(M14,Credito1,2)</f>
        <v>0</v>
      </c>
      <c r="U14" s="157">
        <f>ROUND(S14-T14,2)</f>
        <v>1837.43</v>
      </c>
      <c r="V14" s="156">
        <f>-IF(U14&gt;0,0,0)</f>
        <v>0</v>
      </c>
      <c r="W14" s="156">
        <f>IF(I14/15&lt;=SMG,0,IF(U14&lt;0,0,U14))</f>
        <v>1837.43</v>
      </c>
      <c r="X14" s="156">
        <f>SUM(W14:W14)</f>
        <v>1837.43</v>
      </c>
      <c r="Y14" s="156">
        <f>K14+V14-X14</f>
        <v>10618.07</v>
      </c>
      <c r="Z14" s="111"/>
    </row>
    <row r="15" spans="1:27" ht="40.5" customHeight="1" thickBot="1" x14ac:dyDescent="0.35">
      <c r="A15" s="291" t="s">
        <v>44</v>
      </c>
      <c r="B15" s="292"/>
      <c r="C15" s="292"/>
      <c r="D15" s="292"/>
      <c r="E15" s="292"/>
      <c r="F15" s="292"/>
      <c r="G15" s="292"/>
      <c r="H15" s="293"/>
      <c r="I15" s="205">
        <f>I9+I11+I13</f>
        <v>31485.5</v>
      </c>
      <c r="J15" s="205">
        <f>J9+J11+J13</f>
        <v>0</v>
      </c>
      <c r="K15" s="205">
        <f>K9+K11+K13</f>
        <v>31485.5</v>
      </c>
      <c r="L15" s="161">
        <f t="shared" ref="L15:U15" si="18">SUM(L12:L12)</f>
        <v>0</v>
      </c>
      <c r="M15" s="161">
        <f t="shared" si="18"/>
        <v>8057.5</v>
      </c>
      <c r="N15" s="161">
        <f t="shared" si="18"/>
        <v>7641.91</v>
      </c>
      <c r="O15" s="161">
        <f t="shared" si="18"/>
        <v>415.59000000000015</v>
      </c>
      <c r="P15" s="161">
        <f t="shared" si="18"/>
        <v>0.21360000000000001</v>
      </c>
      <c r="Q15" s="161">
        <f t="shared" si="18"/>
        <v>88.770024000000035</v>
      </c>
      <c r="R15" s="161">
        <f t="shared" si="18"/>
        <v>809.25</v>
      </c>
      <c r="S15" s="161">
        <f t="shared" si="18"/>
        <v>898.02002400000003</v>
      </c>
      <c r="T15" s="161">
        <f t="shared" si="18"/>
        <v>0</v>
      </c>
      <c r="U15" s="161">
        <f t="shared" si="18"/>
        <v>898.02</v>
      </c>
      <c r="V15" s="205">
        <f>V9+V11+V13</f>
        <v>0</v>
      </c>
      <c r="W15" s="205">
        <f>W9+W11+W13</f>
        <v>4256.1100000000006</v>
      </c>
      <c r="X15" s="205">
        <f>X9+X11+X13</f>
        <v>4256.1100000000006</v>
      </c>
      <c r="Y15" s="205">
        <f>Y9+Y11+Y13</f>
        <v>27229.39</v>
      </c>
      <c r="Z15" s="112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opLeftCell="B40" zoomScale="66" zoomScaleNormal="66" workbookViewId="0">
      <selection activeCell="B45" sqref="A45:XFD50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94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32" ht="19.8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32" ht="19.8" x14ac:dyDescent="0.3">
      <c r="A3" s="295" t="str">
        <f>PRESIDENCIA!A3</f>
        <v>SUELDO  DEL 01 AL 15 DE AGOSTO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12.75" customHeight="1" x14ac:dyDescent="0.25">
      <c r="A5" s="48"/>
      <c r="B5" s="48"/>
      <c r="C5" s="313" t="s">
        <v>110</v>
      </c>
      <c r="D5" s="48"/>
      <c r="E5" s="48"/>
      <c r="F5" s="48"/>
      <c r="G5" s="49" t="s">
        <v>22</v>
      </c>
      <c r="H5" s="49" t="s">
        <v>5</v>
      </c>
      <c r="I5" s="316" t="s">
        <v>1</v>
      </c>
      <c r="J5" s="317"/>
      <c r="K5" s="318"/>
      <c r="L5" s="50" t="s">
        <v>25</v>
      </c>
      <c r="M5" s="51"/>
      <c r="N5" s="319" t="s">
        <v>8</v>
      </c>
      <c r="O5" s="320"/>
      <c r="P5" s="320"/>
      <c r="Q5" s="320"/>
      <c r="R5" s="320"/>
      <c r="S5" s="321"/>
      <c r="T5" s="50" t="s">
        <v>29</v>
      </c>
      <c r="U5" s="50" t="s">
        <v>9</v>
      </c>
      <c r="V5" s="49" t="s">
        <v>52</v>
      </c>
      <c r="W5" s="322" t="s">
        <v>2</v>
      </c>
      <c r="X5" s="323"/>
      <c r="Y5" s="49" t="s">
        <v>0</v>
      </c>
      <c r="Z5" s="48"/>
    </row>
    <row r="6" spans="1:32" s="52" customFormat="1" ht="24" x14ac:dyDescent="0.25">
      <c r="A6" s="53" t="s">
        <v>20</v>
      </c>
      <c r="B6" s="47" t="s">
        <v>98</v>
      </c>
      <c r="C6" s="314"/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51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256</v>
      </c>
      <c r="X6" s="49" t="s">
        <v>6</v>
      </c>
      <c r="Y6" s="53" t="s">
        <v>3</v>
      </c>
      <c r="Z6" s="53" t="s">
        <v>56</v>
      </c>
    </row>
    <row r="7" spans="1:32" s="52" customFormat="1" ht="12" x14ac:dyDescent="0.25">
      <c r="A7" s="61"/>
      <c r="B7" s="61"/>
      <c r="C7" s="315"/>
      <c r="D7" s="61"/>
      <c r="E7" s="61"/>
      <c r="F7" s="61"/>
      <c r="G7" s="61"/>
      <c r="H7" s="61"/>
      <c r="I7" s="61" t="s">
        <v>46</v>
      </c>
      <c r="J7" s="61" t="s">
        <v>58</v>
      </c>
      <c r="K7" s="61" t="s">
        <v>28</v>
      </c>
      <c r="L7" s="62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50" t="s">
        <v>14</v>
      </c>
      <c r="S7" s="50" t="s">
        <v>38</v>
      </c>
      <c r="T7" s="55" t="s">
        <v>18</v>
      </c>
      <c r="U7" s="56" t="s">
        <v>118</v>
      </c>
      <c r="V7" s="61" t="s">
        <v>51</v>
      </c>
      <c r="W7" s="61"/>
      <c r="X7" s="61" t="s">
        <v>43</v>
      </c>
      <c r="Y7" s="61" t="s">
        <v>4</v>
      </c>
      <c r="Z7" s="58"/>
    </row>
    <row r="8" spans="1:32" s="52" customFormat="1" ht="35.25" customHeight="1" x14ac:dyDescent="0.3">
      <c r="A8" s="63"/>
      <c r="B8" s="133"/>
      <c r="C8" s="133"/>
      <c r="D8" s="132" t="s">
        <v>67</v>
      </c>
      <c r="E8" s="131" t="s">
        <v>265</v>
      </c>
      <c r="F8" s="133" t="s">
        <v>60</v>
      </c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/>
      <c r="V8" s="133"/>
      <c r="W8" s="133"/>
      <c r="X8" s="133"/>
      <c r="Y8" s="133"/>
      <c r="Z8" s="64"/>
    </row>
    <row r="9" spans="1:32" s="93" customFormat="1" ht="154.5" customHeight="1" x14ac:dyDescent="0.35">
      <c r="A9" s="110" t="s">
        <v>84</v>
      </c>
      <c r="B9" s="148" t="s">
        <v>161</v>
      </c>
      <c r="C9" s="149" t="s">
        <v>109</v>
      </c>
      <c r="D9" s="211" t="s">
        <v>159</v>
      </c>
      <c r="E9" s="216">
        <v>43512</v>
      </c>
      <c r="F9" s="151" t="s">
        <v>266</v>
      </c>
      <c r="G9" s="152">
        <v>15</v>
      </c>
      <c r="H9" s="153">
        <f t="shared" ref="H9:H11" si="0">I9/G9</f>
        <v>779.9666666666667</v>
      </c>
      <c r="I9" s="154">
        <v>11699.5</v>
      </c>
      <c r="J9" s="155">
        <v>0</v>
      </c>
      <c r="K9" s="156">
        <f>SUM(I9:J9)</f>
        <v>11699.5</v>
      </c>
      <c r="L9" s="157">
        <f>IF(I9/15&lt;=SMG,0,J9/2)</f>
        <v>0</v>
      </c>
      <c r="M9" s="157">
        <f t="shared" ref="M9:M10" si="1">I9+L9</f>
        <v>11699.5</v>
      </c>
      <c r="N9" s="157">
        <f t="shared" ref="N9" si="2">VLOOKUP(M9,Tarifa1,1)</f>
        <v>7641.91</v>
      </c>
      <c r="O9" s="157">
        <f t="shared" ref="O9:O10" si="3">M9-N9</f>
        <v>4057.59</v>
      </c>
      <c r="P9" s="158">
        <f t="shared" ref="P9" si="4">VLOOKUP(M9,Tarifa1,3)</f>
        <v>0.21360000000000001</v>
      </c>
      <c r="Q9" s="157">
        <f t="shared" ref="Q9:Q10" si="5">O9*P9</f>
        <v>866.70122400000002</v>
      </c>
      <c r="R9" s="159">
        <f t="shared" ref="R9" si="6">VLOOKUP(M9,Tarifa1,2)</f>
        <v>809.25</v>
      </c>
      <c r="S9" s="157">
        <f t="shared" ref="S9:S10" si="7">Q9+R9</f>
        <v>1675.9512239999999</v>
      </c>
      <c r="T9" s="157">
        <f t="shared" ref="T9" si="8">VLOOKUP(M9,Credito1,2)</f>
        <v>0</v>
      </c>
      <c r="U9" s="157">
        <f t="shared" ref="U9:U10" si="9">ROUND(S9-T9,2)</f>
        <v>1675.95</v>
      </c>
      <c r="V9" s="156">
        <f>-IF(U9&gt;0,0,0)</f>
        <v>0</v>
      </c>
      <c r="W9" s="156">
        <f t="shared" ref="W9" si="10">IF(I9/15&lt;=SMG,0,IF(U9&lt;0,0,U9))</f>
        <v>1675.95</v>
      </c>
      <c r="X9" s="156">
        <f t="shared" ref="X9:X15" si="11">SUM(W9:W9)</f>
        <v>1675.95</v>
      </c>
      <c r="Y9" s="156">
        <f>K9+V9-X9</f>
        <v>10023.549999999999</v>
      </c>
      <c r="Z9" s="111"/>
      <c r="AA9" s="95"/>
      <c r="AF9" s="96"/>
    </row>
    <row r="10" spans="1:32" s="93" customFormat="1" ht="154.5" customHeight="1" x14ac:dyDescent="0.35">
      <c r="A10" s="110"/>
      <c r="B10" s="148" t="s">
        <v>284</v>
      </c>
      <c r="C10" s="149" t="s">
        <v>109</v>
      </c>
      <c r="D10" s="211" t="s">
        <v>291</v>
      </c>
      <c r="E10" s="216">
        <v>45139</v>
      </c>
      <c r="F10" s="151" t="s">
        <v>292</v>
      </c>
      <c r="G10" s="152"/>
      <c r="H10" s="153"/>
      <c r="I10" s="154">
        <v>4509</v>
      </c>
      <c r="J10" s="155">
        <v>0</v>
      </c>
      <c r="K10" s="156">
        <f>SUM(I10:J10)</f>
        <v>4509</v>
      </c>
      <c r="L10" s="157">
        <f>IF(I10/15&lt;=SMG,0,J10/2)</f>
        <v>0</v>
      </c>
      <c r="M10" s="157">
        <f t="shared" si="1"/>
        <v>4509</v>
      </c>
      <c r="N10" s="157">
        <f>VLOOKUP(M10,Tarifa1,1)</f>
        <v>3124.36</v>
      </c>
      <c r="O10" s="157">
        <f t="shared" si="3"/>
        <v>1384.6399999999999</v>
      </c>
      <c r="P10" s="158">
        <f>VLOOKUP(M10,Tarifa1,3)</f>
        <v>0.10879999999999999</v>
      </c>
      <c r="Q10" s="157">
        <f t="shared" si="5"/>
        <v>150.64883199999997</v>
      </c>
      <c r="R10" s="159">
        <f>VLOOKUP(M10,Tarifa1,2)</f>
        <v>183.45</v>
      </c>
      <c r="S10" s="157">
        <f t="shared" si="7"/>
        <v>334.09883199999996</v>
      </c>
      <c r="T10" s="157">
        <f>VLOOKUP(M10,Credito1,2)</f>
        <v>195</v>
      </c>
      <c r="U10" s="157">
        <f t="shared" si="9"/>
        <v>139.1</v>
      </c>
      <c r="V10" s="156">
        <f t="shared" ref="V10:V15" si="12">-IF(U10&gt;0,0,0)</f>
        <v>0</v>
      </c>
      <c r="W10" s="156">
        <f>IF(I10/15&lt;=SMG,0,IF(U10&lt;0,0,U10))</f>
        <v>139.1</v>
      </c>
      <c r="X10" s="156">
        <f t="shared" si="11"/>
        <v>139.1</v>
      </c>
      <c r="Y10" s="156">
        <f>K10+V10-X10</f>
        <v>4369.8999999999996</v>
      </c>
      <c r="Z10" s="111"/>
      <c r="AA10" s="95"/>
      <c r="AF10" s="96"/>
    </row>
    <row r="11" spans="1:32" s="93" customFormat="1" ht="154.5" customHeight="1" x14ac:dyDescent="0.35">
      <c r="A11" s="110"/>
      <c r="B11" s="149" t="s">
        <v>176</v>
      </c>
      <c r="C11" s="149" t="s">
        <v>109</v>
      </c>
      <c r="D11" s="211" t="s">
        <v>177</v>
      </c>
      <c r="E11" s="216">
        <v>43983</v>
      </c>
      <c r="F11" s="151" t="s">
        <v>234</v>
      </c>
      <c r="G11" s="152">
        <v>15</v>
      </c>
      <c r="H11" s="153">
        <f t="shared" si="0"/>
        <v>779.9666666666667</v>
      </c>
      <c r="I11" s="154">
        <v>11699.5</v>
      </c>
      <c r="J11" s="155">
        <v>0</v>
      </c>
      <c r="K11" s="156">
        <f>SUM(I11:J11)</f>
        <v>11699.5</v>
      </c>
      <c r="L11" s="157">
        <f>IF(I11/15&lt;=SMG,0,J11/2)</f>
        <v>0</v>
      </c>
      <c r="M11" s="157">
        <f t="shared" ref="M11:M12" si="13">I11+L11</f>
        <v>11699.5</v>
      </c>
      <c r="N11" s="157">
        <f t="shared" ref="N11:N12" si="14">VLOOKUP(M11,Tarifa1,1)</f>
        <v>7641.91</v>
      </c>
      <c r="O11" s="157">
        <f t="shared" ref="O11:O12" si="15">M11-N11</f>
        <v>4057.59</v>
      </c>
      <c r="P11" s="158">
        <f t="shared" ref="P11:P12" si="16">VLOOKUP(M11,Tarifa1,3)</f>
        <v>0.21360000000000001</v>
      </c>
      <c r="Q11" s="157">
        <f t="shared" ref="Q11:Q12" si="17">O11*P11</f>
        <v>866.70122400000002</v>
      </c>
      <c r="R11" s="159">
        <f t="shared" ref="R11:R12" si="18">VLOOKUP(M11,Tarifa1,2)</f>
        <v>809.25</v>
      </c>
      <c r="S11" s="157">
        <f t="shared" ref="S11:S12" si="19">Q11+R11</f>
        <v>1675.9512239999999</v>
      </c>
      <c r="T11" s="157">
        <f t="shared" ref="T11:T12" si="20">VLOOKUP(M11,Credito1,2)</f>
        <v>0</v>
      </c>
      <c r="U11" s="157">
        <f t="shared" ref="U11:U12" si="21">ROUND(S11-T11,2)</f>
        <v>1675.95</v>
      </c>
      <c r="V11" s="156">
        <f t="shared" si="12"/>
        <v>0</v>
      </c>
      <c r="W11" s="156">
        <f t="shared" ref="W11:W12" si="22">IF(I11/15&lt;=SMG,0,IF(U11&lt;0,0,U11))</f>
        <v>1675.95</v>
      </c>
      <c r="X11" s="156">
        <f t="shared" si="11"/>
        <v>1675.95</v>
      </c>
      <c r="Y11" s="156">
        <f>K11+V11-X11</f>
        <v>10023.549999999999</v>
      </c>
      <c r="Z11" s="111"/>
      <c r="AA11" s="95"/>
      <c r="AF11" s="96"/>
    </row>
    <row r="12" spans="1:32" s="93" customFormat="1" ht="154.5" customHeight="1" x14ac:dyDescent="0.35">
      <c r="A12" s="110"/>
      <c r="B12" s="148" t="s">
        <v>254</v>
      </c>
      <c r="C12" s="148" t="s">
        <v>109</v>
      </c>
      <c r="D12" s="213" t="s">
        <v>255</v>
      </c>
      <c r="E12" s="224">
        <v>44866</v>
      </c>
      <c r="F12" s="151" t="s">
        <v>66</v>
      </c>
      <c r="G12" s="152"/>
      <c r="H12" s="153"/>
      <c r="I12" s="154">
        <v>6440.5</v>
      </c>
      <c r="J12" s="155">
        <v>0</v>
      </c>
      <c r="K12" s="154">
        <f>I12</f>
        <v>6440.5</v>
      </c>
      <c r="L12" s="157">
        <f t="shared" ref="L12" si="23">IF(I12/15&lt;=SMG,0,J12/2)</f>
        <v>0</v>
      </c>
      <c r="M12" s="157">
        <f t="shared" si="13"/>
        <v>6440.5</v>
      </c>
      <c r="N12" s="157">
        <f t="shared" si="14"/>
        <v>6382.81</v>
      </c>
      <c r="O12" s="157">
        <f t="shared" si="15"/>
        <v>57.6899999999996</v>
      </c>
      <c r="P12" s="158">
        <f t="shared" si="16"/>
        <v>0.1792</v>
      </c>
      <c r="Q12" s="157">
        <f t="shared" si="17"/>
        <v>10.338047999999928</v>
      </c>
      <c r="R12" s="159">
        <f t="shared" si="18"/>
        <v>583.65</v>
      </c>
      <c r="S12" s="157">
        <f t="shared" si="19"/>
        <v>593.98804799999994</v>
      </c>
      <c r="T12" s="157">
        <f t="shared" si="20"/>
        <v>0</v>
      </c>
      <c r="U12" s="157">
        <f t="shared" si="21"/>
        <v>593.99</v>
      </c>
      <c r="V12" s="156">
        <f t="shared" si="12"/>
        <v>0</v>
      </c>
      <c r="W12" s="156">
        <f t="shared" si="22"/>
        <v>593.99</v>
      </c>
      <c r="X12" s="156">
        <f t="shared" si="11"/>
        <v>593.99</v>
      </c>
      <c r="Y12" s="156">
        <f>K12+V12-X12+J12</f>
        <v>5846.51</v>
      </c>
      <c r="Z12" s="111"/>
      <c r="AF12" s="96"/>
    </row>
    <row r="13" spans="1:32" s="93" customFormat="1" ht="154.5" customHeight="1" x14ac:dyDescent="0.35">
      <c r="A13" s="110"/>
      <c r="B13" s="148" t="s">
        <v>271</v>
      </c>
      <c r="C13" s="148" t="s">
        <v>109</v>
      </c>
      <c r="D13" s="213" t="s">
        <v>270</v>
      </c>
      <c r="E13" s="222">
        <v>45042</v>
      </c>
      <c r="F13" s="151" t="s">
        <v>66</v>
      </c>
      <c r="G13" s="152"/>
      <c r="H13" s="153"/>
      <c r="I13" s="154">
        <v>6440.5</v>
      </c>
      <c r="J13" s="155">
        <v>0</v>
      </c>
      <c r="K13" s="154">
        <f>I13</f>
        <v>6440.5</v>
      </c>
      <c r="L13" s="157">
        <f t="shared" ref="L13:L15" si="24">IF(I13/15&lt;=SMG,0,J13/2)</f>
        <v>0</v>
      </c>
      <c r="M13" s="157">
        <f t="shared" ref="M13:M15" si="25">I13+L13</f>
        <v>6440.5</v>
      </c>
      <c r="N13" s="157">
        <f t="shared" ref="N13:N15" si="26">VLOOKUP(M13,Tarifa1,1)</f>
        <v>6382.81</v>
      </c>
      <c r="O13" s="157">
        <f t="shared" ref="O13:O15" si="27">M13-N13</f>
        <v>57.6899999999996</v>
      </c>
      <c r="P13" s="158">
        <f t="shared" ref="P13:P15" si="28">VLOOKUP(M13,Tarifa1,3)</f>
        <v>0.1792</v>
      </c>
      <c r="Q13" s="157">
        <f t="shared" ref="Q13:Q15" si="29">O13*P13</f>
        <v>10.338047999999928</v>
      </c>
      <c r="R13" s="159">
        <f t="shared" ref="R13:R15" si="30">VLOOKUP(M13,Tarifa1,2)</f>
        <v>583.65</v>
      </c>
      <c r="S13" s="157">
        <f t="shared" ref="S13:S15" si="31">Q13+R13</f>
        <v>593.98804799999994</v>
      </c>
      <c r="T13" s="157">
        <f t="shared" ref="T13:T15" si="32">VLOOKUP(M13,Credito1,2)</f>
        <v>0</v>
      </c>
      <c r="U13" s="157">
        <f t="shared" ref="U13:U15" si="33">ROUND(S13-T13,2)</f>
        <v>593.99</v>
      </c>
      <c r="V13" s="156">
        <f t="shared" si="12"/>
        <v>0</v>
      </c>
      <c r="W13" s="156">
        <f t="shared" ref="W13:W15" si="34">IF(I13/15&lt;=SMG,0,IF(U13&lt;0,0,U13))</f>
        <v>593.99</v>
      </c>
      <c r="X13" s="156">
        <f t="shared" si="11"/>
        <v>593.99</v>
      </c>
      <c r="Y13" s="156">
        <f>K13+V13-X13+J13</f>
        <v>5846.51</v>
      </c>
      <c r="Z13" s="111"/>
      <c r="AF13" s="96"/>
    </row>
    <row r="14" spans="1:32" s="93" customFormat="1" ht="154.5" customHeight="1" x14ac:dyDescent="0.35">
      <c r="A14" s="176"/>
      <c r="B14" s="148" t="s">
        <v>274</v>
      </c>
      <c r="C14" s="148" t="s">
        <v>109</v>
      </c>
      <c r="D14" s="213" t="s">
        <v>275</v>
      </c>
      <c r="E14" s="222">
        <v>45078</v>
      </c>
      <c r="F14" s="151" t="s">
        <v>276</v>
      </c>
      <c r="G14" s="152"/>
      <c r="H14" s="153"/>
      <c r="I14" s="154">
        <v>9400</v>
      </c>
      <c r="J14" s="155">
        <v>0</v>
      </c>
      <c r="K14" s="156">
        <f t="shared" ref="K14" si="35">SUM(I14:J14)</f>
        <v>9400</v>
      </c>
      <c r="L14" s="157">
        <f t="shared" si="24"/>
        <v>0</v>
      </c>
      <c r="M14" s="157">
        <f t="shared" si="25"/>
        <v>9400</v>
      </c>
      <c r="N14" s="157">
        <f t="shared" si="26"/>
        <v>7641.91</v>
      </c>
      <c r="O14" s="157">
        <f t="shared" si="27"/>
        <v>1758.0900000000001</v>
      </c>
      <c r="P14" s="158">
        <f t="shared" si="28"/>
        <v>0.21360000000000001</v>
      </c>
      <c r="Q14" s="157">
        <f t="shared" si="29"/>
        <v>375.52802400000007</v>
      </c>
      <c r="R14" s="159">
        <f t="shared" si="30"/>
        <v>809.25</v>
      </c>
      <c r="S14" s="157">
        <f t="shared" si="31"/>
        <v>1184.7780240000002</v>
      </c>
      <c r="T14" s="157">
        <f t="shared" si="32"/>
        <v>0</v>
      </c>
      <c r="U14" s="157">
        <f t="shared" si="33"/>
        <v>1184.78</v>
      </c>
      <c r="V14" s="156">
        <f t="shared" si="12"/>
        <v>0</v>
      </c>
      <c r="W14" s="156">
        <f t="shared" si="34"/>
        <v>1184.78</v>
      </c>
      <c r="X14" s="156">
        <f t="shared" si="11"/>
        <v>1184.78</v>
      </c>
      <c r="Y14" s="156">
        <f>K14+V14-X14</f>
        <v>8215.2199999999993</v>
      </c>
      <c r="Z14" s="111"/>
      <c r="AF14" s="96"/>
    </row>
    <row r="15" spans="1:32" s="93" customFormat="1" ht="154.5" customHeight="1" x14ac:dyDescent="0.35">
      <c r="A15" s="176"/>
      <c r="B15" s="149" t="s">
        <v>160</v>
      </c>
      <c r="C15" s="149" t="s">
        <v>109</v>
      </c>
      <c r="D15" s="209" t="s">
        <v>153</v>
      </c>
      <c r="E15" s="215">
        <v>43512</v>
      </c>
      <c r="F15" s="151" t="s">
        <v>152</v>
      </c>
      <c r="G15" s="152">
        <v>15</v>
      </c>
      <c r="H15" s="153"/>
      <c r="I15" s="154">
        <v>8808.5</v>
      </c>
      <c r="J15" s="155">
        <v>0</v>
      </c>
      <c r="K15" s="156">
        <f t="shared" ref="K15" si="36">SUM(I15:J15)</f>
        <v>8808.5</v>
      </c>
      <c r="L15" s="157">
        <f t="shared" si="24"/>
        <v>0</v>
      </c>
      <c r="M15" s="157">
        <f t="shared" si="25"/>
        <v>8808.5</v>
      </c>
      <c r="N15" s="157">
        <f t="shared" si="26"/>
        <v>7641.91</v>
      </c>
      <c r="O15" s="157">
        <f t="shared" si="27"/>
        <v>1166.5900000000001</v>
      </c>
      <c r="P15" s="158">
        <f t="shared" si="28"/>
        <v>0.21360000000000001</v>
      </c>
      <c r="Q15" s="157">
        <f t="shared" si="29"/>
        <v>249.18362400000004</v>
      </c>
      <c r="R15" s="159">
        <f t="shared" si="30"/>
        <v>809.25</v>
      </c>
      <c r="S15" s="157">
        <f t="shared" si="31"/>
        <v>1058.433624</v>
      </c>
      <c r="T15" s="157">
        <f t="shared" si="32"/>
        <v>0</v>
      </c>
      <c r="U15" s="157">
        <f t="shared" si="33"/>
        <v>1058.43</v>
      </c>
      <c r="V15" s="156">
        <f t="shared" si="12"/>
        <v>0</v>
      </c>
      <c r="W15" s="156">
        <f t="shared" si="34"/>
        <v>1058.43</v>
      </c>
      <c r="X15" s="156">
        <f t="shared" si="11"/>
        <v>1058.43</v>
      </c>
      <c r="Y15" s="156">
        <f>K15+V15-X15</f>
        <v>7750.07</v>
      </c>
      <c r="Z15" s="111"/>
      <c r="AF15" s="96"/>
    </row>
    <row r="16" spans="1:32" s="93" customFormat="1" ht="17.25" customHeight="1" x14ac:dyDescent="0.3">
      <c r="A16" s="176"/>
      <c r="B16" s="188"/>
      <c r="C16" s="188"/>
      <c r="D16" s="193"/>
      <c r="E16" s="194"/>
      <c r="F16" s="195"/>
      <c r="G16" s="196"/>
      <c r="H16" s="197"/>
      <c r="I16" s="198"/>
      <c r="J16" s="199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112"/>
      <c r="AF16" s="96"/>
    </row>
    <row r="17" spans="1:32" s="93" customFormat="1" ht="17.25" customHeight="1" x14ac:dyDescent="0.3">
      <c r="A17" s="176"/>
      <c r="B17" s="188"/>
      <c r="C17" s="188"/>
      <c r="D17" s="193"/>
      <c r="E17" s="194"/>
      <c r="F17" s="195"/>
      <c r="G17" s="196"/>
      <c r="H17" s="197"/>
      <c r="I17" s="198"/>
      <c r="J17" s="199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112"/>
      <c r="AF17" s="96"/>
    </row>
    <row r="18" spans="1:32" s="93" customFormat="1" ht="17.25" customHeight="1" x14ac:dyDescent="0.3">
      <c r="A18" s="176"/>
      <c r="B18" s="188"/>
      <c r="C18" s="188"/>
      <c r="D18" s="193"/>
      <c r="E18" s="194"/>
      <c r="F18" s="195"/>
      <c r="G18" s="196"/>
      <c r="H18" s="197"/>
      <c r="I18" s="198"/>
      <c r="J18" s="199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112"/>
      <c r="AF18" s="96"/>
    </row>
    <row r="19" spans="1:32" s="93" customFormat="1" ht="17.25" customHeight="1" x14ac:dyDescent="0.3">
      <c r="A19" s="176"/>
      <c r="B19" s="188"/>
      <c r="C19" s="188"/>
      <c r="D19" s="193"/>
      <c r="E19" s="194"/>
      <c r="F19" s="195"/>
      <c r="G19" s="196"/>
      <c r="H19" s="197"/>
      <c r="I19" s="198"/>
      <c r="J19" s="199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112"/>
      <c r="AF19" s="96"/>
    </row>
    <row r="20" spans="1:32" s="93" customFormat="1" ht="17.25" customHeight="1" x14ac:dyDescent="0.3">
      <c r="A20" s="176"/>
      <c r="B20" s="188"/>
      <c r="C20" s="188"/>
      <c r="D20" s="193"/>
      <c r="E20" s="194"/>
      <c r="F20" s="195"/>
      <c r="G20" s="196"/>
      <c r="H20" s="197"/>
      <c r="I20" s="198"/>
      <c r="J20" s="199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112"/>
      <c r="AF20" s="96"/>
    </row>
    <row r="21" spans="1:32" s="93" customFormat="1" ht="17.25" customHeight="1" x14ac:dyDescent="0.3">
      <c r="A21" s="176"/>
      <c r="B21" s="188"/>
      <c r="C21" s="188"/>
      <c r="D21" s="193"/>
      <c r="E21" s="194"/>
      <c r="F21" s="195"/>
      <c r="G21" s="196"/>
      <c r="H21" s="197"/>
      <c r="I21" s="198"/>
      <c r="J21" s="199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112"/>
      <c r="AF21" s="96"/>
    </row>
    <row r="22" spans="1:32" s="93" customFormat="1" ht="17.25" customHeight="1" x14ac:dyDescent="0.3">
      <c r="A22" s="176"/>
      <c r="B22" s="188"/>
      <c r="C22" s="188"/>
      <c r="D22" s="193"/>
      <c r="E22" s="194"/>
      <c r="F22" s="195"/>
      <c r="G22" s="196"/>
      <c r="H22" s="197"/>
      <c r="I22" s="198"/>
      <c r="J22" s="199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112"/>
      <c r="AF22" s="96"/>
    </row>
    <row r="23" spans="1:32" s="93" customFormat="1" ht="17.25" customHeight="1" x14ac:dyDescent="0.3">
      <c r="A23" s="176"/>
      <c r="B23" s="188"/>
      <c r="C23" s="188"/>
      <c r="D23" s="193"/>
      <c r="E23" s="194"/>
      <c r="F23" s="195"/>
      <c r="G23" s="196"/>
      <c r="H23" s="197"/>
      <c r="I23" s="198"/>
      <c r="J23" s="199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112"/>
      <c r="AF23" s="96"/>
    </row>
    <row r="24" spans="1:32" s="93" customFormat="1" ht="17.25" customHeight="1" x14ac:dyDescent="0.3">
      <c r="A24" s="176"/>
      <c r="B24" s="188"/>
      <c r="C24" s="188"/>
      <c r="D24" s="193"/>
      <c r="E24" s="194"/>
      <c r="F24" s="195"/>
      <c r="G24" s="196"/>
      <c r="H24" s="197"/>
      <c r="I24" s="198"/>
      <c r="J24" s="199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112"/>
      <c r="AF24" s="96"/>
    </row>
    <row r="25" spans="1:32" s="93" customFormat="1" ht="17.25" customHeight="1" x14ac:dyDescent="0.3">
      <c r="A25" s="176"/>
      <c r="B25" s="188"/>
      <c r="C25" s="188"/>
      <c r="D25" s="193"/>
      <c r="E25" s="194"/>
      <c r="F25" s="195"/>
      <c r="G25" s="196"/>
      <c r="H25" s="197"/>
      <c r="I25" s="198"/>
      <c r="J25" s="199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112"/>
      <c r="AF25" s="96"/>
    </row>
    <row r="26" spans="1:32" s="93" customFormat="1" ht="17.25" customHeight="1" x14ac:dyDescent="0.3">
      <c r="A26" s="176"/>
      <c r="B26" s="188"/>
      <c r="C26" s="188"/>
      <c r="D26" s="193"/>
      <c r="E26" s="194"/>
      <c r="F26" s="195"/>
      <c r="G26" s="196"/>
      <c r="H26" s="197"/>
      <c r="I26" s="198"/>
      <c r="J26" s="199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112"/>
      <c r="AF26" s="96"/>
    </row>
    <row r="27" spans="1:32" s="93" customFormat="1" ht="17.25" customHeight="1" x14ac:dyDescent="0.3">
      <c r="A27" s="176"/>
      <c r="B27" s="188"/>
      <c r="C27" s="188"/>
      <c r="D27" s="193"/>
      <c r="E27" s="194"/>
      <c r="F27" s="195"/>
      <c r="G27" s="196"/>
      <c r="H27" s="197"/>
      <c r="I27" s="198"/>
      <c r="J27" s="199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112"/>
      <c r="AF27" s="96"/>
    </row>
    <row r="28" spans="1:32" s="93" customFormat="1" ht="17.25" customHeight="1" x14ac:dyDescent="0.3">
      <c r="A28" s="176"/>
      <c r="B28" s="188"/>
      <c r="C28" s="188"/>
      <c r="D28" s="193"/>
      <c r="E28" s="194"/>
      <c r="F28" s="195"/>
      <c r="G28" s="196"/>
      <c r="H28" s="197"/>
      <c r="I28" s="198"/>
      <c r="J28" s="199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112"/>
      <c r="AF28" s="96"/>
    </row>
    <row r="29" spans="1:32" s="93" customFormat="1" ht="29.25" customHeight="1" x14ac:dyDescent="0.3">
      <c r="A29" s="176"/>
      <c r="B29" s="294" t="s">
        <v>77</v>
      </c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F29" s="96"/>
    </row>
    <row r="30" spans="1:32" s="93" customFormat="1" ht="28.5" customHeight="1" x14ac:dyDescent="0.3">
      <c r="A30" s="176"/>
      <c r="B30" s="294" t="s">
        <v>63</v>
      </c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F30" s="96"/>
    </row>
    <row r="31" spans="1:32" s="93" customFormat="1" ht="28.5" customHeight="1" x14ac:dyDescent="0.3">
      <c r="A31" s="176"/>
      <c r="B31" s="295" t="str">
        <f>PRESIDENCIA!A3</f>
        <v>SUELDO  DEL 01 AL 15 DE AGOSTO DE 2024</v>
      </c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F31" s="96"/>
    </row>
    <row r="32" spans="1:32" s="93" customFormat="1" ht="28.5" customHeight="1" x14ac:dyDescent="0.3">
      <c r="A32" s="176"/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F32" s="96"/>
    </row>
    <row r="33" spans="1:32" s="93" customFormat="1" ht="134.25" customHeight="1" x14ac:dyDescent="0.35">
      <c r="A33" s="176"/>
      <c r="B33" s="149" t="s">
        <v>165</v>
      </c>
      <c r="C33" s="149" t="s">
        <v>109</v>
      </c>
      <c r="D33" s="209" t="s">
        <v>166</v>
      </c>
      <c r="E33" s="215">
        <v>43632</v>
      </c>
      <c r="F33" s="151" t="s">
        <v>152</v>
      </c>
      <c r="G33" s="152">
        <v>15</v>
      </c>
      <c r="H33" s="153"/>
      <c r="I33" s="154">
        <v>8808.5</v>
      </c>
      <c r="J33" s="155">
        <v>0</v>
      </c>
      <c r="K33" s="156">
        <f t="shared" ref="K33" si="37">SUM(I33:J33)</f>
        <v>8808.5</v>
      </c>
      <c r="L33" s="157">
        <f t="shared" ref="L33" si="38">IF(I33/15&lt;=SMG,0,J33/2)</f>
        <v>0</v>
      </c>
      <c r="M33" s="157">
        <f t="shared" ref="M33" si="39">I33+L33</f>
        <v>8808.5</v>
      </c>
      <c r="N33" s="157">
        <f t="shared" ref="N33" si="40">VLOOKUP(M33,Tarifa1,1)</f>
        <v>7641.91</v>
      </c>
      <c r="O33" s="157">
        <f t="shared" ref="O33" si="41">M33-N33</f>
        <v>1166.5900000000001</v>
      </c>
      <c r="P33" s="158">
        <f t="shared" ref="P33" si="42">VLOOKUP(M33,Tarifa1,3)</f>
        <v>0.21360000000000001</v>
      </c>
      <c r="Q33" s="157">
        <f t="shared" ref="Q33" si="43">O33*P33</f>
        <v>249.18362400000004</v>
      </c>
      <c r="R33" s="159">
        <f t="shared" ref="R33" si="44">VLOOKUP(M33,Tarifa1,2)</f>
        <v>809.25</v>
      </c>
      <c r="S33" s="157">
        <f t="shared" ref="S33" si="45">Q33+R33</f>
        <v>1058.433624</v>
      </c>
      <c r="T33" s="157">
        <f t="shared" ref="T33" si="46">VLOOKUP(M33,Credito1,2)</f>
        <v>0</v>
      </c>
      <c r="U33" s="157">
        <f t="shared" ref="U33" si="47">ROUND(S33-T33,2)</f>
        <v>1058.43</v>
      </c>
      <c r="V33" s="156">
        <f>-IF(U33&gt;0,0,0)</f>
        <v>0</v>
      </c>
      <c r="W33" s="156">
        <f t="shared" ref="W33" si="48">IF(I33/15&lt;=SMG,0,IF(U33&lt;0,0,U33))</f>
        <v>1058.43</v>
      </c>
      <c r="X33" s="156">
        <f t="shared" ref="X33:X40" si="49">SUM(W33:W33)</f>
        <v>1058.43</v>
      </c>
      <c r="Y33" s="156">
        <f t="shared" ref="Y33:Y38" si="50">K33+V33-X33</f>
        <v>7750.07</v>
      </c>
      <c r="Z33" s="111"/>
      <c r="AA33" s="192"/>
      <c r="AF33" s="96"/>
    </row>
    <row r="34" spans="1:32" s="93" customFormat="1" ht="134.25" customHeight="1" x14ac:dyDescent="0.35">
      <c r="A34" s="110"/>
      <c r="B34" s="149" t="s">
        <v>236</v>
      </c>
      <c r="C34" s="149" t="s">
        <v>109</v>
      </c>
      <c r="D34" s="209" t="s">
        <v>237</v>
      </c>
      <c r="E34" s="215">
        <v>44728</v>
      </c>
      <c r="F34" s="151" t="s">
        <v>152</v>
      </c>
      <c r="G34" s="152"/>
      <c r="H34" s="153"/>
      <c r="I34" s="154">
        <v>8808.5</v>
      </c>
      <c r="J34" s="155">
        <v>0</v>
      </c>
      <c r="K34" s="156">
        <f>SUM(I34:J34)</f>
        <v>8808.5</v>
      </c>
      <c r="L34" s="157">
        <f t="shared" ref="L34:L39" si="51">IF(I34/15&lt;=SMG,0,J34/2)</f>
        <v>0</v>
      </c>
      <c r="M34" s="157">
        <f t="shared" ref="M34:M39" si="52">I34+L34</f>
        <v>8808.5</v>
      </c>
      <c r="N34" s="157">
        <f t="shared" ref="N34:N39" si="53">VLOOKUP(M34,Tarifa1,1)</f>
        <v>7641.91</v>
      </c>
      <c r="O34" s="157">
        <f t="shared" ref="O34:O39" si="54">M34-N34</f>
        <v>1166.5900000000001</v>
      </c>
      <c r="P34" s="158">
        <f t="shared" ref="P34:P39" si="55">VLOOKUP(M34,Tarifa1,3)</f>
        <v>0.21360000000000001</v>
      </c>
      <c r="Q34" s="157">
        <f t="shared" ref="Q34:Q39" si="56">O34*P34</f>
        <v>249.18362400000004</v>
      </c>
      <c r="R34" s="159">
        <f t="shared" ref="R34:R39" si="57">VLOOKUP(M34,Tarifa1,2)</f>
        <v>809.25</v>
      </c>
      <c r="S34" s="157">
        <f t="shared" ref="S34:S39" si="58">Q34+R34</f>
        <v>1058.433624</v>
      </c>
      <c r="T34" s="157">
        <f t="shared" ref="T34:T39" si="59">VLOOKUP(M34,Credito1,2)</f>
        <v>0</v>
      </c>
      <c r="U34" s="157">
        <f t="shared" ref="U34:U39" si="60">ROUND(S34-T34,2)</f>
        <v>1058.43</v>
      </c>
      <c r="V34" s="156">
        <f t="shared" ref="V34:V40" si="61">-IF(U34&gt;0,0,0)</f>
        <v>0</v>
      </c>
      <c r="W34" s="156">
        <f t="shared" ref="W34:W39" si="62">IF(I34/15&lt;=SMG,0,IF(U34&lt;0,0,U34))</f>
        <v>1058.43</v>
      </c>
      <c r="X34" s="156">
        <f t="shared" si="49"/>
        <v>1058.43</v>
      </c>
      <c r="Y34" s="156">
        <f t="shared" si="50"/>
        <v>7750.07</v>
      </c>
      <c r="Z34" s="111"/>
      <c r="AF34" s="96"/>
    </row>
    <row r="35" spans="1:32" s="93" customFormat="1" ht="134.25" customHeight="1" x14ac:dyDescent="0.35">
      <c r="A35" s="110"/>
      <c r="B35" s="149" t="s">
        <v>269</v>
      </c>
      <c r="C35" s="149" t="s">
        <v>109</v>
      </c>
      <c r="D35" s="211" t="s">
        <v>272</v>
      </c>
      <c r="E35" s="216">
        <v>45033</v>
      </c>
      <c r="F35" s="151" t="s">
        <v>152</v>
      </c>
      <c r="G35" s="152"/>
      <c r="H35" s="153"/>
      <c r="I35" s="154">
        <v>7048</v>
      </c>
      <c r="J35" s="155">
        <v>0</v>
      </c>
      <c r="K35" s="156">
        <f>SUM(I35:J35)</f>
        <v>7048</v>
      </c>
      <c r="L35" s="157">
        <f t="shared" ref="L35" si="63">IF(I35/15&lt;=SMG,0,J35/2)</f>
        <v>0</v>
      </c>
      <c r="M35" s="157">
        <f t="shared" ref="M35" si="64">I35+L35</f>
        <v>7048</v>
      </c>
      <c r="N35" s="157">
        <f t="shared" ref="N35" si="65">VLOOKUP(M35,Tarifa1,1)</f>
        <v>6382.81</v>
      </c>
      <c r="O35" s="157">
        <f t="shared" ref="O35" si="66">M35-N35</f>
        <v>665.1899999999996</v>
      </c>
      <c r="P35" s="158">
        <f t="shared" ref="P35" si="67">VLOOKUP(M35,Tarifa1,3)</f>
        <v>0.1792</v>
      </c>
      <c r="Q35" s="157">
        <f t="shared" ref="Q35" si="68">O35*P35</f>
        <v>119.20204799999993</v>
      </c>
      <c r="R35" s="159">
        <f t="shared" ref="R35" si="69">VLOOKUP(M35,Tarifa1,2)</f>
        <v>583.65</v>
      </c>
      <c r="S35" s="157">
        <f t="shared" ref="S35" si="70">Q35+R35</f>
        <v>702.85204799999997</v>
      </c>
      <c r="T35" s="157">
        <f t="shared" ref="T35" si="71">VLOOKUP(M35,Credito1,2)</f>
        <v>0</v>
      </c>
      <c r="U35" s="157">
        <f t="shared" ref="U35" si="72">ROUND(S35-T35,2)</f>
        <v>702.85</v>
      </c>
      <c r="V35" s="156">
        <f t="shared" si="61"/>
        <v>0</v>
      </c>
      <c r="W35" s="156">
        <f t="shared" ref="W35" si="73">IF(I35/15&lt;=SMG,0,IF(U35&lt;0,0,U35))</f>
        <v>702.85</v>
      </c>
      <c r="X35" s="156">
        <f t="shared" si="49"/>
        <v>702.85</v>
      </c>
      <c r="Y35" s="156">
        <f t="shared" si="50"/>
        <v>6345.15</v>
      </c>
      <c r="Z35" s="111"/>
      <c r="AF35" s="96"/>
    </row>
    <row r="36" spans="1:32" s="93" customFormat="1" ht="134.25" customHeight="1" x14ac:dyDescent="0.3">
      <c r="A36" s="110"/>
      <c r="B36" s="149" t="s">
        <v>311</v>
      </c>
      <c r="C36" s="149" t="s">
        <v>109</v>
      </c>
      <c r="D36" s="151" t="s">
        <v>312</v>
      </c>
      <c r="E36" s="271">
        <v>45475</v>
      </c>
      <c r="F36" s="151" t="s">
        <v>152</v>
      </c>
      <c r="G36" s="153"/>
      <c r="H36" s="154">
        <v>6843</v>
      </c>
      <c r="I36" s="154">
        <v>7048</v>
      </c>
      <c r="J36" s="155">
        <v>0</v>
      </c>
      <c r="K36" s="156">
        <f>SUM(I36:J36)</f>
        <v>7048</v>
      </c>
      <c r="L36" s="157">
        <f t="shared" ref="L36" si="74">IF(I36/15&lt;=SMG,0,J36/2)</f>
        <v>0</v>
      </c>
      <c r="M36" s="157">
        <f t="shared" ref="M36:M37" si="75">I36+L36</f>
        <v>7048</v>
      </c>
      <c r="N36" s="157">
        <f t="shared" ref="N36" si="76">VLOOKUP(M36,Tarifa1,1)</f>
        <v>6382.81</v>
      </c>
      <c r="O36" s="157">
        <f t="shared" ref="O36:O37" si="77">M36-N36</f>
        <v>665.1899999999996</v>
      </c>
      <c r="P36" s="158">
        <f t="shared" ref="P36" si="78">VLOOKUP(M36,Tarifa1,3)</f>
        <v>0.1792</v>
      </c>
      <c r="Q36" s="157">
        <f t="shared" ref="Q36:Q37" si="79">O36*P36</f>
        <v>119.20204799999993</v>
      </c>
      <c r="R36" s="159">
        <f t="shared" ref="R36" si="80">VLOOKUP(M36,Tarifa1,2)</f>
        <v>583.65</v>
      </c>
      <c r="S36" s="157">
        <f t="shared" ref="S36:S37" si="81">Q36+R36</f>
        <v>702.85204799999997</v>
      </c>
      <c r="T36" s="157">
        <f t="shared" ref="T36" si="82">VLOOKUP(M36,Credito1,2)</f>
        <v>0</v>
      </c>
      <c r="U36" s="157">
        <f t="shared" ref="U36:U37" si="83">ROUND(S36-T36,2)</f>
        <v>702.85</v>
      </c>
      <c r="V36" s="156">
        <f t="shared" ref="V36:V37" si="84">-IF(U36&gt;0,0,0)</f>
        <v>0</v>
      </c>
      <c r="W36" s="156">
        <f t="shared" ref="W36" si="85">IF(I36/15&lt;=SMG,0,IF(U36&lt;0,0,U36))</f>
        <v>702.85</v>
      </c>
      <c r="X36" s="156">
        <f t="shared" si="49"/>
        <v>702.85</v>
      </c>
      <c r="Y36" s="156">
        <f t="shared" si="50"/>
        <v>6345.15</v>
      </c>
      <c r="Z36" s="111"/>
      <c r="AF36" s="96"/>
    </row>
    <row r="37" spans="1:32" s="93" customFormat="1" ht="134.25" customHeight="1" x14ac:dyDescent="0.3">
      <c r="A37" s="110"/>
      <c r="B37" s="149" t="s">
        <v>350</v>
      </c>
      <c r="C37" s="149" t="s">
        <v>109</v>
      </c>
      <c r="D37" s="151" t="s">
        <v>356</v>
      </c>
      <c r="E37" s="271">
        <v>45474</v>
      </c>
      <c r="F37" s="151" t="s">
        <v>152</v>
      </c>
      <c r="G37" s="152"/>
      <c r="H37" s="153"/>
      <c r="I37" s="154">
        <v>7048</v>
      </c>
      <c r="J37" s="155">
        <v>0</v>
      </c>
      <c r="K37" s="156">
        <f>SUM(I37:J37)</f>
        <v>7048</v>
      </c>
      <c r="L37" s="157">
        <f t="shared" ref="L37" si="86">IF(I37/15&lt;=SMG,0,J37/2)</f>
        <v>0</v>
      </c>
      <c r="M37" s="157">
        <f t="shared" si="75"/>
        <v>7048</v>
      </c>
      <c r="N37" s="157">
        <f t="shared" ref="N37" si="87">VLOOKUP(M37,Tarifa1,1)</f>
        <v>6382.81</v>
      </c>
      <c r="O37" s="157">
        <f t="shared" si="77"/>
        <v>665.1899999999996</v>
      </c>
      <c r="P37" s="158">
        <f t="shared" ref="P37" si="88">VLOOKUP(M37,Tarifa1,3)</f>
        <v>0.1792</v>
      </c>
      <c r="Q37" s="157">
        <f t="shared" si="79"/>
        <v>119.20204799999993</v>
      </c>
      <c r="R37" s="159">
        <f t="shared" ref="R37" si="89">VLOOKUP(M37,Tarifa1,2)</f>
        <v>583.65</v>
      </c>
      <c r="S37" s="157">
        <f t="shared" si="81"/>
        <v>702.85204799999997</v>
      </c>
      <c r="T37" s="157">
        <f t="shared" ref="T37" si="90">VLOOKUP(M37,Credito1,2)</f>
        <v>0</v>
      </c>
      <c r="U37" s="157">
        <f t="shared" si="83"/>
        <v>702.85</v>
      </c>
      <c r="V37" s="156">
        <f t="shared" si="84"/>
        <v>0</v>
      </c>
      <c r="W37" s="156">
        <f t="shared" ref="W37" si="91">IF(I37/15&lt;=SMG,0,IF(U37&lt;0,0,U37))</f>
        <v>702.85</v>
      </c>
      <c r="X37" s="156">
        <f t="shared" si="49"/>
        <v>702.85</v>
      </c>
      <c r="Y37" s="156">
        <f t="shared" si="50"/>
        <v>6345.15</v>
      </c>
      <c r="Z37" s="111"/>
      <c r="AF37" s="96"/>
    </row>
    <row r="38" spans="1:32" s="93" customFormat="1" ht="134.25" customHeight="1" x14ac:dyDescent="0.3">
      <c r="A38" s="110"/>
      <c r="B38" s="149" t="s">
        <v>326</v>
      </c>
      <c r="C38" s="149" t="s">
        <v>109</v>
      </c>
      <c r="D38" s="272" t="s">
        <v>324</v>
      </c>
      <c r="E38" s="271">
        <v>45383</v>
      </c>
      <c r="F38" s="151" t="s">
        <v>325</v>
      </c>
      <c r="G38" s="153"/>
      <c r="H38" s="154"/>
      <c r="I38" s="154">
        <v>12559.69</v>
      </c>
      <c r="J38" s="155">
        <v>0</v>
      </c>
      <c r="K38" s="156">
        <f>SUM(I38:J38)</f>
        <v>12559.69</v>
      </c>
      <c r="L38" s="157">
        <f>IF(I38/15&lt;=SMG,0,J38/2)</f>
        <v>0</v>
      </c>
      <c r="M38" s="157">
        <f t="shared" ref="M38" si="92">I38+L38</f>
        <v>12559.69</v>
      </c>
      <c r="N38" s="157">
        <f t="shared" ref="N38" si="93">VLOOKUP(M38,Tarifa1,1)</f>
        <v>7641.91</v>
      </c>
      <c r="O38" s="157">
        <f t="shared" ref="O38" si="94">M38-N38</f>
        <v>4917.7800000000007</v>
      </c>
      <c r="P38" s="158">
        <f t="shared" ref="P38" si="95">VLOOKUP(M38,Tarifa1,3)</f>
        <v>0.21360000000000001</v>
      </c>
      <c r="Q38" s="157">
        <f t="shared" ref="Q38" si="96">O38*P38</f>
        <v>1050.4378080000001</v>
      </c>
      <c r="R38" s="159">
        <f t="shared" ref="R38" si="97">VLOOKUP(M38,Tarifa1,2)</f>
        <v>809.25</v>
      </c>
      <c r="S38" s="157">
        <f t="shared" ref="S38" si="98">Q38+R38</f>
        <v>1859.6878080000001</v>
      </c>
      <c r="T38" s="157">
        <f t="shared" ref="T38" si="99">VLOOKUP(M38,Credito1,2)</f>
        <v>0</v>
      </c>
      <c r="U38" s="157">
        <f t="shared" ref="U38" si="100">ROUND(S38-T38,2)</f>
        <v>1859.69</v>
      </c>
      <c r="V38" s="156">
        <f t="shared" si="61"/>
        <v>0</v>
      </c>
      <c r="W38" s="156">
        <f t="shared" ref="W38" si="101">IF(I38/15&lt;=SMG,0,IF(U38&lt;0,0,U38))</f>
        <v>1859.69</v>
      </c>
      <c r="X38" s="156">
        <f t="shared" si="49"/>
        <v>1859.69</v>
      </c>
      <c r="Y38" s="156">
        <f t="shared" si="50"/>
        <v>10700</v>
      </c>
      <c r="Z38" s="111"/>
      <c r="AF38" s="96"/>
    </row>
    <row r="39" spans="1:32" s="93" customFormat="1" ht="134.25" customHeight="1" x14ac:dyDescent="0.35">
      <c r="A39" s="110"/>
      <c r="B39" s="149" t="s">
        <v>240</v>
      </c>
      <c r="C39" s="149" t="s">
        <v>109</v>
      </c>
      <c r="D39" s="209" t="s">
        <v>238</v>
      </c>
      <c r="E39" s="216">
        <v>44728</v>
      </c>
      <c r="F39" s="151" t="s">
        <v>239</v>
      </c>
      <c r="G39" s="152"/>
      <c r="H39" s="153"/>
      <c r="I39" s="154">
        <v>6440.5</v>
      </c>
      <c r="J39" s="155">
        <v>0</v>
      </c>
      <c r="K39" s="154">
        <f>I39</f>
        <v>6440.5</v>
      </c>
      <c r="L39" s="157">
        <f t="shared" si="51"/>
        <v>0</v>
      </c>
      <c r="M39" s="157">
        <f t="shared" si="52"/>
        <v>6440.5</v>
      </c>
      <c r="N39" s="157">
        <f t="shared" si="53"/>
        <v>6382.81</v>
      </c>
      <c r="O39" s="157">
        <f t="shared" si="54"/>
        <v>57.6899999999996</v>
      </c>
      <c r="P39" s="158">
        <f t="shared" si="55"/>
        <v>0.1792</v>
      </c>
      <c r="Q39" s="157">
        <f t="shared" si="56"/>
        <v>10.338047999999928</v>
      </c>
      <c r="R39" s="159">
        <f t="shared" si="57"/>
        <v>583.65</v>
      </c>
      <c r="S39" s="157">
        <f t="shared" si="58"/>
        <v>593.98804799999994</v>
      </c>
      <c r="T39" s="157">
        <f t="shared" si="59"/>
        <v>0</v>
      </c>
      <c r="U39" s="157">
        <f t="shared" si="60"/>
        <v>593.99</v>
      </c>
      <c r="V39" s="156">
        <f t="shared" si="61"/>
        <v>0</v>
      </c>
      <c r="W39" s="156">
        <f t="shared" si="62"/>
        <v>593.99</v>
      </c>
      <c r="X39" s="156">
        <f t="shared" si="49"/>
        <v>593.99</v>
      </c>
      <c r="Y39" s="156">
        <f>K39+V39-X39+J39</f>
        <v>5846.51</v>
      </c>
      <c r="Z39" s="111"/>
      <c r="AF39" s="96"/>
    </row>
    <row r="40" spans="1:32" s="93" customFormat="1" ht="134.25" customHeight="1" x14ac:dyDescent="0.35">
      <c r="A40" s="110"/>
      <c r="B40" s="149" t="s">
        <v>303</v>
      </c>
      <c r="C40" s="149" t="s">
        <v>109</v>
      </c>
      <c r="D40" s="209" t="s">
        <v>302</v>
      </c>
      <c r="E40" s="215">
        <v>45188</v>
      </c>
      <c r="F40" s="151" t="s">
        <v>301</v>
      </c>
      <c r="G40" s="152"/>
      <c r="H40" s="153"/>
      <c r="I40" s="154">
        <v>4601</v>
      </c>
      <c r="J40" s="155">
        <v>0</v>
      </c>
      <c r="K40" s="156">
        <f>SUM(I40:J40)</f>
        <v>4601</v>
      </c>
      <c r="L40" s="157">
        <f>IF(I40/15&lt;=SMG,0,J40/2)</f>
        <v>0</v>
      </c>
      <c r="M40" s="157">
        <f t="shared" ref="M40" si="102">I40+L40</f>
        <v>4601</v>
      </c>
      <c r="N40" s="157">
        <f t="shared" ref="N40" si="103">VLOOKUP(M40,Tarifa1,1)</f>
        <v>3124.36</v>
      </c>
      <c r="O40" s="157">
        <f t="shared" ref="O40" si="104">M40-N40</f>
        <v>1476.6399999999999</v>
      </c>
      <c r="P40" s="158">
        <f t="shared" ref="P40" si="105">VLOOKUP(M40,Tarifa1,3)</f>
        <v>0.10879999999999999</v>
      </c>
      <c r="Q40" s="157">
        <f t="shared" ref="Q40" si="106">O40*P40</f>
        <v>160.65843199999998</v>
      </c>
      <c r="R40" s="159">
        <f t="shared" ref="R40" si="107">VLOOKUP(M40,Tarifa1,2)</f>
        <v>183.45</v>
      </c>
      <c r="S40" s="157">
        <f t="shared" ref="S40" si="108">Q40+R40</f>
        <v>344.10843199999999</v>
      </c>
      <c r="T40" s="157">
        <f t="shared" ref="T40" si="109">VLOOKUP(M40,Credito1,2)</f>
        <v>0</v>
      </c>
      <c r="U40" s="157">
        <f t="shared" ref="U40" si="110">ROUND(S40-T40,2)</f>
        <v>344.11</v>
      </c>
      <c r="V40" s="156">
        <f t="shared" si="61"/>
        <v>0</v>
      </c>
      <c r="W40" s="156">
        <f t="shared" ref="W40" si="111">IF(I40/15&lt;=SMG,0,IF(U40&lt;0,0,U40))</f>
        <v>344.11</v>
      </c>
      <c r="X40" s="156">
        <f t="shared" si="49"/>
        <v>344.11</v>
      </c>
      <c r="Y40" s="156">
        <f>K40+V40-X40</f>
        <v>4256.8900000000003</v>
      </c>
      <c r="Z40" s="111"/>
      <c r="AF40" s="96"/>
    </row>
    <row r="41" spans="1:32" s="52" customFormat="1" ht="39" customHeight="1" thickBot="1" x14ac:dyDescent="0.35">
      <c r="A41" s="291" t="s">
        <v>44</v>
      </c>
      <c r="B41" s="292"/>
      <c r="C41" s="292"/>
      <c r="D41" s="292"/>
      <c r="E41" s="292"/>
      <c r="F41" s="292"/>
      <c r="G41" s="292"/>
      <c r="H41" s="293"/>
      <c r="I41" s="160">
        <f t="shared" ref="I41:Y41" si="112">SUM(I9:I40)</f>
        <v>121359.69</v>
      </c>
      <c r="J41" s="160">
        <f t="shared" si="112"/>
        <v>0</v>
      </c>
      <c r="K41" s="160">
        <f t="shared" si="112"/>
        <v>121359.69</v>
      </c>
      <c r="L41" s="161">
        <f t="shared" si="112"/>
        <v>0</v>
      </c>
      <c r="M41" s="161">
        <f t="shared" si="112"/>
        <v>121359.69</v>
      </c>
      <c r="N41" s="161">
        <f t="shared" si="112"/>
        <v>98038.950000000012</v>
      </c>
      <c r="O41" s="161">
        <f t="shared" si="112"/>
        <v>23320.739999999994</v>
      </c>
      <c r="P41" s="161">
        <f t="shared" si="112"/>
        <v>2.7879999999999998</v>
      </c>
      <c r="Q41" s="161">
        <f t="shared" si="112"/>
        <v>4606.8467040000014</v>
      </c>
      <c r="R41" s="161">
        <f t="shared" si="112"/>
        <v>9533.5499999999993</v>
      </c>
      <c r="S41" s="161">
        <f t="shared" si="112"/>
        <v>14140.396704000003</v>
      </c>
      <c r="T41" s="161">
        <f t="shared" si="112"/>
        <v>195</v>
      </c>
      <c r="U41" s="161">
        <f t="shared" si="112"/>
        <v>13945.390000000001</v>
      </c>
      <c r="V41" s="160">
        <f t="shared" si="112"/>
        <v>0</v>
      </c>
      <c r="W41" s="160">
        <f t="shared" si="112"/>
        <v>13945.390000000001</v>
      </c>
      <c r="X41" s="160">
        <f t="shared" si="112"/>
        <v>13945.390000000001</v>
      </c>
      <c r="Y41" s="160">
        <f t="shared" si="112"/>
        <v>107414.29999999999</v>
      </c>
      <c r="Z41" s="112"/>
    </row>
    <row r="42" spans="1:32" s="52" customFormat="1" ht="39" customHeight="1" thickTop="1" x14ac:dyDescent="0.25">
      <c r="A42" s="106"/>
      <c r="B42" s="106"/>
      <c r="C42" s="106"/>
      <c r="D42" s="106"/>
      <c r="E42" s="106"/>
      <c r="F42" s="106"/>
      <c r="G42" s="106"/>
      <c r="H42" s="106"/>
      <c r="I42" s="107"/>
      <c r="J42" s="107"/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7"/>
      <c r="W42" s="107"/>
      <c r="X42" s="107"/>
      <c r="Y42" s="107"/>
    </row>
    <row r="43" spans="1:32" s="52" customFormat="1" ht="11.4" x14ac:dyDescent="0.2"/>
    <row r="44" spans="1:32" s="52" customFormat="1" ht="11.4" x14ac:dyDescent="0.2"/>
  </sheetData>
  <mergeCells count="11">
    <mergeCell ref="A41:H41"/>
    <mergeCell ref="C5:C7"/>
    <mergeCell ref="A1:Z1"/>
    <mergeCell ref="A2:Z2"/>
    <mergeCell ref="A3:Z3"/>
    <mergeCell ref="I5:K5"/>
    <mergeCell ref="N5:S5"/>
    <mergeCell ref="W5:X5"/>
    <mergeCell ref="B29:AA29"/>
    <mergeCell ref="B30:AA30"/>
    <mergeCell ref="B31:AA3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4:E35 D34:D39 D40:E40 D33:E33 D15:E28"/>
  </dataValidations>
  <pageMargins left="0.27559055118110237" right="0.27559055118110237" top="0.74803149606299213" bottom="0.15748031496062992" header="0.31496062992125984" footer="0.31496062992125984"/>
  <pageSetup scale="3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opLeftCell="B32" zoomScale="69" zoomScaleNormal="69" workbookViewId="0">
      <selection activeCell="B41" sqref="A41:XFD4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304" t="s">
        <v>77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tr">
        <f>PRESIDENCIA!A3</f>
        <v>SUELDO  DEL 01 AL 15 DE AGOSTO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2" customFormat="1" ht="12" x14ac:dyDescent="0.25">
      <c r="A5" s="48"/>
      <c r="B5" s="48"/>
      <c r="C5" s="48"/>
      <c r="D5" s="48"/>
      <c r="E5" s="48"/>
      <c r="F5" s="48"/>
      <c r="G5" s="49" t="s">
        <v>22</v>
      </c>
      <c r="H5" s="49" t="s">
        <v>5</v>
      </c>
      <c r="I5" s="316" t="s">
        <v>1</v>
      </c>
      <c r="J5" s="317"/>
      <c r="K5" s="318"/>
      <c r="L5" s="50" t="s">
        <v>25</v>
      </c>
      <c r="M5" s="51"/>
      <c r="N5" s="319" t="s">
        <v>8</v>
      </c>
      <c r="O5" s="320"/>
      <c r="P5" s="320"/>
      <c r="Q5" s="320"/>
      <c r="R5" s="320"/>
      <c r="S5" s="321"/>
      <c r="T5" s="50" t="s">
        <v>29</v>
      </c>
      <c r="U5" s="50" t="s">
        <v>9</v>
      </c>
      <c r="V5" s="49" t="s">
        <v>52</v>
      </c>
      <c r="W5" s="322" t="s">
        <v>2</v>
      </c>
      <c r="X5" s="323"/>
      <c r="Y5" s="49" t="s">
        <v>0</v>
      </c>
      <c r="Z5" s="48"/>
    </row>
    <row r="6" spans="1:26" s="52" customFormat="1" ht="24" x14ac:dyDescent="0.25">
      <c r="A6" s="53" t="s">
        <v>103</v>
      </c>
      <c r="B6" s="47" t="s">
        <v>98</v>
      </c>
      <c r="C6" s="47" t="s">
        <v>117</v>
      </c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85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256</v>
      </c>
      <c r="X6" s="49" t="s">
        <v>6</v>
      </c>
      <c r="Y6" s="53" t="s">
        <v>3</v>
      </c>
      <c r="Z6" s="53" t="s">
        <v>56</v>
      </c>
    </row>
    <row r="7" spans="1:26" s="52" customFormat="1" ht="12" x14ac:dyDescent="0.25">
      <c r="A7" s="53"/>
      <c r="B7" s="53"/>
      <c r="C7" s="53"/>
      <c r="D7" s="53"/>
      <c r="E7" s="53"/>
      <c r="F7" s="53"/>
      <c r="G7" s="53"/>
      <c r="H7" s="53"/>
      <c r="I7" s="53" t="s">
        <v>46</v>
      </c>
      <c r="J7" s="53" t="s">
        <v>58</v>
      </c>
      <c r="K7" s="53" t="s">
        <v>28</v>
      </c>
      <c r="L7" s="55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86" t="s">
        <v>14</v>
      </c>
      <c r="S7" s="50" t="s">
        <v>38</v>
      </c>
      <c r="T7" s="55" t="s">
        <v>18</v>
      </c>
      <c r="U7" s="56" t="s">
        <v>118</v>
      </c>
      <c r="V7" s="53" t="s">
        <v>51</v>
      </c>
      <c r="W7" s="53"/>
      <c r="X7" s="53" t="s">
        <v>43</v>
      </c>
      <c r="Y7" s="53" t="s">
        <v>4</v>
      </c>
      <c r="Z7" s="57"/>
    </row>
    <row r="8" spans="1:26" s="4" customFormat="1" ht="39.75" customHeight="1" x14ac:dyDescent="0.3">
      <c r="A8" s="98"/>
      <c r="B8" s="117"/>
      <c r="C8" s="117"/>
      <c r="D8" s="117" t="s">
        <v>68</v>
      </c>
      <c r="E8" s="136" t="s">
        <v>265</v>
      </c>
      <c r="F8" s="117" t="s">
        <v>60</v>
      </c>
      <c r="G8" s="117"/>
      <c r="H8" s="117"/>
      <c r="I8" s="118">
        <f>SUM(I9:I19)</f>
        <v>50441.83</v>
      </c>
      <c r="J8" s="118">
        <f>SUM(J9:J19)</f>
        <v>1449.29</v>
      </c>
      <c r="K8" s="118">
        <f>SUM(K9:K19)</f>
        <v>51891.119999999995</v>
      </c>
      <c r="L8" s="117"/>
      <c r="M8" s="117"/>
      <c r="N8" s="117"/>
      <c r="O8" s="117"/>
      <c r="P8" s="117"/>
      <c r="Q8" s="117"/>
      <c r="R8" s="119"/>
      <c r="S8" s="117"/>
      <c r="T8" s="117"/>
      <c r="U8" s="117"/>
      <c r="V8" s="118">
        <f>SUM(V9:V19)</f>
        <v>0</v>
      </c>
      <c r="W8" s="118">
        <f>SUM(W9:W19)</f>
        <v>2224.7400000000002</v>
      </c>
      <c r="X8" s="118">
        <f>SUM(X9:X19)</f>
        <v>2224.7400000000002</v>
      </c>
      <c r="Y8" s="118">
        <f>SUM(Y9:Y19)</f>
        <v>49666.38</v>
      </c>
      <c r="Z8" s="99"/>
    </row>
    <row r="9" spans="1:26" s="4" customFormat="1" ht="77.25" customHeight="1" x14ac:dyDescent="0.35">
      <c r="A9" s="44"/>
      <c r="B9" s="149" t="s">
        <v>162</v>
      </c>
      <c r="C9" s="149" t="s">
        <v>109</v>
      </c>
      <c r="D9" s="211" t="s">
        <v>158</v>
      </c>
      <c r="E9" s="216">
        <v>43512</v>
      </c>
      <c r="F9" s="151" t="s">
        <v>157</v>
      </c>
      <c r="G9" s="152">
        <v>15</v>
      </c>
      <c r="H9" s="153">
        <f>I9/G9</f>
        <v>300.60000000000002</v>
      </c>
      <c r="I9" s="154">
        <v>4509</v>
      </c>
      <c r="J9" s="155">
        <v>0</v>
      </c>
      <c r="K9" s="156">
        <f>SUM(I9:J9)</f>
        <v>4509</v>
      </c>
      <c r="L9" s="157">
        <f>IF(I9/15&lt;=SMG,0,J9/2)</f>
        <v>0</v>
      </c>
      <c r="M9" s="157">
        <f t="shared" ref="M9:M10" si="0">I9+L9</f>
        <v>4509</v>
      </c>
      <c r="N9" s="157">
        <f>VLOOKUP(M9,Tarifa1,1)</f>
        <v>3124.36</v>
      </c>
      <c r="O9" s="157">
        <f t="shared" ref="O9:O10" si="1">M9-N9</f>
        <v>1384.6399999999999</v>
      </c>
      <c r="P9" s="158">
        <f>VLOOKUP(M9,Tarifa1,3)</f>
        <v>0.10879999999999999</v>
      </c>
      <c r="Q9" s="157">
        <f t="shared" ref="Q9:Q10" si="2">O9*P9</f>
        <v>150.64883199999997</v>
      </c>
      <c r="R9" s="159">
        <f>VLOOKUP(M9,Tarifa1,2)</f>
        <v>183.45</v>
      </c>
      <c r="S9" s="157">
        <f t="shared" ref="S9:S10" si="3">Q9+R9</f>
        <v>334.09883199999996</v>
      </c>
      <c r="T9" s="157">
        <f>VLOOKUP(M9,Credito1,2)</f>
        <v>195</v>
      </c>
      <c r="U9" s="157">
        <f t="shared" ref="U9:U10" si="4">ROUND(S9-T9,2)</f>
        <v>139.1</v>
      </c>
      <c r="V9" s="156">
        <f>-IF(U9&gt;0,0,0)</f>
        <v>0</v>
      </c>
      <c r="W9" s="156">
        <f>IF(I9/15&lt;=SMG,0,IF(U9&lt;0,0,U9))</f>
        <v>139.1</v>
      </c>
      <c r="X9" s="156">
        <f t="shared" ref="X9:X19" si="5">SUM(W9:W9)</f>
        <v>139.1</v>
      </c>
      <c r="Y9" s="156">
        <f t="shared" ref="Y9:Y19" si="6">K9+V9-X9</f>
        <v>4369.8999999999996</v>
      </c>
      <c r="Z9" s="89"/>
    </row>
    <row r="10" spans="1:26" s="4" customFormat="1" ht="77.25" customHeight="1" x14ac:dyDescent="0.35">
      <c r="A10" s="44"/>
      <c r="B10" s="149" t="s">
        <v>100</v>
      </c>
      <c r="C10" s="149" t="s">
        <v>109</v>
      </c>
      <c r="D10" s="211" t="s">
        <v>69</v>
      </c>
      <c r="E10" s="216">
        <v>39448</v>
      </c>
      <c r="F10" s="151" t="s">
        <v>70</v>
      </c>
      <c r="G10" s="152">
        <v>15</v>
      </c>
      <c r="H10" s="153">
        <f>I10/G10</f>
        <v>300.60000000000002</v>
      </c>
      <c r="I10" s="154">
        <v>4509</v>
      </c>
      <c r="J10" s="155">
        <v>0</v>
      </c>
      <c r="K10" s="156">
        <f>SUM(I10:J10)</f>
        <v>4509</v>
      </c>
      <c r="L10" s="157">
        <f>IF(I10/15&lt;=SMG,0,J10/2)</f>
        <v>0</v>
      </c>
      <c r="M10" s="157">
        <f t="shared" si="0"/>
        <v>4509</v>
      </c>
      <c r="N10" s="157">
        <f>VLOOKUP(M10,Tarifa1,1)</f>
        <v>3124.36</v>
      </c>
      <c r="O10" s="157">
        <f t="shared" si="1"/>
        <v>1384.6399999999999</v>
      </c>
      <c r="P10" s="158">
        <f>VLOOKUP(M10,Tarifa1,3)</f>
        <v>0.10879999999999999</v>
      </c>
      <c r="Q10" s="157">
        <f t="shared" si="2"/>
        <v>150.64883199999997</v>
      </c>
      <c r="R10" s="159">
        <f>VLOOKUP(M10,Tarifa1,2)</f>
        <v>183.45</v>
      </c>
      <c r="S10" s="157">
        <f t="shared" si="3"/>
        <v>334.09883199999996</v>
      </c>
      <c r="T10" s="157">
        <f>VLOOKUP(M10,Credito1,2)</f>
        <v>195</v>
      </c>
      <c r="U10" s="157">
        <f t="shared" si="4"/>
        <v>139.1</v>
      </c>
      <c r="V10" s="156">
        <f t="shared" ref="V10:V19" si="7">-IF(U10&gt;0,0,0)</f>
        <v>0</v>
      </c>
      <c r="W10" s="156">
        <f>IF(I10/15&lt;=SMG,0,IF(U10&lt;0,0,U10))</f>
        <v>139.1</v>
      </c>
      <c r="X10" s="156">
        <f t="shared" si="5"/>
        <v>139.1</v>
      </c>
      <c r="Y10" s="156">
        <f t="shared" si="6"/>
        <v>4369.8999999999996</v>
      </c>
      <c r="Z10" s="89"/>
    </row>
    <row r="11" spans="1:26" s="4" customFormat="1" ht="77.25" customHeight="1" x14ac:dyDescent="0.35">
      <c r="A11" s="44"/>
      <c r="B11" s="149" t="s">
        <v>242</v>
      </c>
      <c r="C11" s="149" t="s">
        <v>109</v>
      </c>
      <c r="D11" s="211" t="s">
        <v>245</v>
      </c>
      <c r="E11" s="222">
        <v>44743</v>
      </c>
      <c r="F11" s="151" t="s">
        <v>157</v>
      </c>
      <c r="G11" s="152">
        <v>15</v>
      </c>
      <c r="H11" s="153"/>
      <c r="I11" s="154">
        <v>4509</v>
      </c>
      <c r="J11" s="155">
        <v>0</v>
      </c>
      <c r="K11" s="156">
        <f>SUM(I11:J11)</f>
        <v>4509</v>
      </c>
      <c r="L11" s="157">
        <f>IF(I11/15&lt;=SMG,0,J11/2)</f>
        <v>0</v>
      </c>
      <c r="M11" s="157">
        <f t="shared" ref="M11:M12" si="8">I11+L11</f>
        <v>4509</v>
      </c>
      <c r="N11" s="157">
        <f>VLOOKUP(M11,Tarifa1,1)</f>
        <v>3124.36</v>
      </c>
      <c r="O11" s="157">
        <f t="shared" ref="O11:O12" si="9">M11-N11</f>
        <v>1384.6399999999999</v>
      </c>
      <c r="P11" s="158">
        <f>VLOOKUP(M11,Tarifa1,3)</f>
        <v>0.10879999999999999</v>
      </c>
      <c r="Q11" s="157">
        <f t="shared" ref="Q11:Q12" si="10">O11*P11</f>
        <v>150.64883199999997</v>
      </c>
      <c r="R11" s="159">
        <f>VLOOKUP(M11,Tarifa1,2)</f>
        <v>183.45</v>
      </c>
      <c r="S11" s="157">
        <f t="shared" ref="S11:S12" si="11">Q11+R11</f>
        <v>334.09883199999996</v>
      </c>
      <c r="T11" s="157">
        <f>VLOOKUP(M11,Credito1,2)</f>
        <v>195</v>
      </c>
      <c r="U11" s="157">
        <f t="shared" ref="U11:U12" si="12">ROUND(S11-T11,2)</f>
        <v>139.1</v>
      </c>
      <c r="V11" s="156">
        <f t="shared" ref="V11" si="13">-IF(U11&gt;0,0,0)</f>
        <v>0</v>
      </c>
      <c r="W11" s="156">
        <f>IF(I11/15&lt;=SMG,0,IF(U11&lt;0,0,U11))</f>
        <v>139.1</v>
      </c>
      <c r="X11" s="156">
        <f t="shared" si="5"/>
        <v>139.1</v>
      </c>
      <c r="Y11" s="156">
        <f t="shared" si="6"/>
        <v>4369.8999999999996</v>
      </c>
      <c r="Z11" s="89"/>
    </row>
    <row r="12" spans="1:26" s="4" customFormat="1" ht="77.25" customHeight="1" x14ac:dyDescent="0.35">
      <c r="A12" s="44"/>
      <c r="B12" s="149" t="s">
        <v>125</v>
      </c>
      <c r="C12" s="149" t="s">
        <v>109</v>
      </c>
      <c r="D12" s="213" t="s">
        <v>124</v>
      </c>
      <c r="E12" s="220">
        <v>42948</v>
      </c>
      <c r="F12" s="151" t="s">
        <v>273</v>
      </c>
      <c r="G12" s="152">
        <v>15</v>
      </c>
      <c r="H12" s="153">
        <f>I12/G12</f>
        <v>362.322</v>
      </c>
      <c r="I12" s="154">
        <v>5434.83</v>
      </c>
      <c r="J12" s="155">
        <v>1449.29</v>
      </c>
      <c r="K12" s="156">
        <f>SUM(I12:J12)</f>
        <v>6884.12</v>
      </c>
      <c r="L12" s="157">
        <f>IF(I12/15&lt;=SMG,0,J12/2)</f>
        <v>724.64499999999998</v>
      </c>
      <c r="M12" s="157">
        <f t="shared" si="8"/>
        <v>6159.4750000000004</v>
      </c>
      <c r="N12" s="157">
        <f>VLOOKUP(M12,Tarifa1,1)</f>
        <v>5490.76</v>
      </c>
      <c r="O12" s="157">
        <f t="shared" si="9"/>
        <v>668.71500000000015</v>
      </c>
      <c r="P12" s="158">
        <f>VLOOKUP(M12,Tarifa1,3)</f>
        <v>0.16</v>
      </c>
      <c r="Q12" s="157">
        <f t="shared" si="10"/>
        <v>106.99440000000003</v>
      </c>
      <c r="R12" s="159">
        <f>VLOOKUP(M12,Tarifa1,2)</f>
        <v>441</v>
      </c>
      <c r="S12" s="157">
        <f t="shared" si="11"/>
        <v>547.99440000000004</v>
      </c>
      <c r="T12" s="157">
        <f>VLOOKUP(M12,Credito1,2)</f>
        <v>0</v>
      </c>
      <c r="U12" s="157">
        <f t="shared" si="12"/>
        <v>547.99</v>
      </c>
      <c r="V12" s="156">
        <f>-IF(U12&gt;0,0,0)</f>
        <v>0</v>
      </c>
      <c r="W12" s="156">
        <f>IF(I12/15&lt;=SMG,0,IF(U12&lt;0,0,U12))</f>
        <v>547.99</v>
      </c>
      <c r="X12" s="156">
        <f t="shared" si="5"/>
        <v>547.99</v>
      </c>
      <c r="Y12" s="156">
        <f t="shared" si="6"/>
        <v>6336.13</v>
      </c>
      <c r="Z12" s="89"/>
    </row>
    <row r="13" spans="1:26" s="4" customFormat="1" ht="77.25" customHeight="1" x14ac:dyDescent="0.35">
      <c r="A13" s="44"/>
      <c r="B13" s="149" t="s">
        <v>281</v>
      </c>
      <c r="C13" s="149" t="s">
        <v>109</v>
      </c>
      <c r="D13" s="213" t="s">
        <v>282</v>
      </c>
      <c r="E13" s="220">
        <v>45078</v>
      </c>
      <c r="F13" s="151" t="s">
        <v>99</v>
      </c>
      <c r="G13" s="152"/>
      <c r="H13" s="153"/>
      <c r="I13" s="154">
        <v>4153.5</v>
      </c>
      <c r="J13" s="155">
        <v>0</v>
      </c>
      <c r="K13" s="156">
        <f t="shared" ref="K13" si="14">SUM(I13:J13)</f>
        <v>4153.5</v>
      </c>
      <c r="L13" s="157">
        <f t="shared" ref="L13" si="15">IF(I13/15&lt;=SMG,0,J13/2)</f>
        <v>0</v>
      </c>
      <c r="M13" s="157">
        <f t="shared" ref="M13:M14" si="16">I13+L13</f>
        <v>4153.5</v>
      </c>
      <c r="N13" s="157">
        <f t="shared" ref="N13" si="17">VLOOKUP(M13,Tarifa1,1)</f>
        <v>3124.36</v>
      </c>
      <c r="O13" s="157">
        <f t="shared" ref="O13:O14" si="18">M13-N13</f>
        <v>1029.1399999999999</v>
      </c>
      <c r="P13" s="158">
        <f t="shared" ref="P13" si="19">VLOOKUP(M13,Tarifa1,3)</f>
        <v>0.10879999999999999</v>
      </c>
      <c r="Q13" s="157">
        <f t="shared" ref="Q13:Q14" si="20">O13*P13</f>
        <v>111.97043199999997</v>
      </c>
      <c r="R13" s="159">
        <f t="shared" ref="R13" si="21">VLOOKUP(M13,Tarifa1,2)</f>
        <v>183.45</v>
      </c>
      <c r="S13" s="157">
        <f t="shared" ref="S13:S14" si="22">Q13+R13</f>
        <v>295.42043199999995</v>
      </c>
      <c r="T13" s="157">
        <f t="shared" ref="T13" si="23">VLOOKUP(M13,Credito1,2)</f>
        <v>195</v>
      </c>
      <c r="U13" s="157">
        <f t="shared" ref="U13:U14" si="24">ROUND(S13-T13,2)</f>
        <v>100.42</v>
      </c>
      <c r="V13" s="156">
        <f t="shared" si="7"/>
        <v>0</v>
      </c>
      <c r="W13" s="156">
        <f t="shared" ref="W13" si="25">IF(I13/15&lt;=SMG,0,IF(U13&lt;0,0,U13))</f>
        <v>100.42</v>
      </c>
      <c r="X13" s="156">
        <f t="shared" si="5"/>
        <v>100.42</v>
      </c>
      <c r="Y13" s="156">
        <f t="shared" si="6"/>
        <v>4053.08</v>
      </c>
      <c r="Z13" s="89"/>
    </row>
    <row r="14" spans="1:26" s="4" customFormat="1" ht="77.25" customHeight="1" x14ac:dyDescent="0.35">
      <c r="A14" s="44"/>
      <c r="B14" s="149" t="s">
        <v>171</v>
      </c>
      <c r="C14" s="149" t="s">
        <v>109</v>
      </c>
      <c r="D14" s="213" t="s">
        <v>172</v>
      </c>
      <c r="E14" s="220">
        <v>43709</v>
      </c>
      <c r="F14" s="151" t="s">
        <v>221</v>
      </c>
      <c r="G14" s="152">
        <v>15</v>
      </c>
      <c r="H14" s="153"/>
      <c r="I14" s="154">
        <v>4005.5</v>
      </c>
      <c r="J14" s="155">
        <v>0</v>
      </c>
      <c r="K14" s="156">
        <f>SUM(I14:J14)</f>
        <v>4005.5</v>
      </c>
      <c r="L14" s="157">
        <f>IF(I14/15&lt;=SMG,0,J14/2)</f>
        <v>0</v>
      </c>
      <c r="M14" s="157">
        <f t="shared" si="16"/>
        <v>4005.5</v>
      </c>
      <c r="N14" s="157">
        <f>VLOOKUP(M14,Tarifa1,1)</f>
        <v>3124.36</v>
      </c>
      <c r="O14" s="157">
        <f t="shared" si="18"/>
        <v>881.13999999999987</v>
      </c>
      <c r="P14" s="158">
        <f>VLOOKUP(M14,Tarifa1,3)</f>
        <v>0.10879999999999999</v>
      </c>
      <c r="Q14" s="157">
        <f t="shared" si="20"/>
        <v>95.868031999999985</v>
      </c>
      <c r="R14" s="159">
        <f>VLOOKUP(M14,Tarifa1,2)</f>
        <v>183.45</v>
      </c>
      <c r="S14" s="157">
        <f t="shared" si="22"/>
        <v>279.31803199999996</v>
      </c>
      <c r="T14" s="157">
        <f>VLOOKUP(M14,Credito1,2)</f>
        <v>195</v>
      </c>
      <c r="U14" s="157">
        <f t="shared" si="24"/>
        <v>84.32</v>
      </c>
      <c r="V14" s="156">
        <f t="shared" si="7"/>
        <v>0</v>
      </c>
      <c r="W14" s="156">
        <f>IF(I14/15&lt;=SMG,0,IF(U14&lt;0,0,U14))</f>
        <v>84.32</v>
      </c>
      <c r="X14" s="156">
        <f t="shared" si="5"/>
        <v>84.32</v>
      </c>
      <c r="Y14" s="156">
        <f t="shared" si="6"/>
        <v>3921.18</v>
      </c>
      <c r="Z14" s="89"/>
    </row>
    <row r="15" spans="1:26" s="4" customFormat="1" ht="77.25" customHeight="1" x14ac:dyDescent="0.35">
      <c r="A15" s="44"/>
      <c r="B15" s="149" t="s">
        <v>290</v>
      </c>
      <c r="C15" s="149" t="s">
        <v>109</v>
      </c>
      <c r="D15" s="213" t="s">
        <v>289</v>
      </c>
      <c r="E15" s="220">
        <v>45123</v>
      </c>
      <c r="F15" s="151" t="s">
        <v>288</v>
      </c>
      <c r="G15" s="152">
        <v>15</v>
      </c>
      <c r="H15" s="153"/>
      <c r="I15" s="154">
        <v>4442.5</v>
      </c>
      <c r="J15" s="155">
        <v>0</v>
      </c>
      <c r="K15" s="156">
        <f>SUM(I15:J15)</f>
        <v>4442.5</v>
      </c>
      <c r="L15" s="157">
        <f t="shared" ref="L15" si="26">IF(I15/15&lt;=SMG,0,J15/2)</f>
        <v>0</v>
      </c>
      <c r="M15" s="157">
        <f t="shared" ref="M15:M19" si="27">I15+L15</f>
        <v>4442.5</v>
      </c>
      <c r="N15" s="157">
        <f t="shared" ref="N15:N18" si="28">VLOOKUP(M15,Tarifa1,1)</f>
        <v>3124.36</v>
      </c>
      <c r="O15" s="157">
        <f t="shared" ref="O15:O19" si="29">M15-N15</f>
        <v>1318.1399999999999</v>
      </c>
      <c r="P15" s="158">
        <f t="shared" ref="P15:P18" si="30">VLOOKUP(M15,Tarifa1,3)</f>
        <v>0.10879999999999999</v>
      </c>
      <c r="Q15" s="157">
        <f t="shared" ref="Q15:Q19" si="31">O15*P15</f>
        <v>143.41363199999998</v>
      </c>
      <c r="R15" s="159">
        <f t="shared" ref="R15:R18" si="32">VLOOKUP(M15,Tarifa1,2)</f>
        <v>183.45</v>
      </c>
      <c r="S15" s="157">
        <f t="shared" ref="S15:S19" si="33">Q15+R15</f>
        <v>326.86363199999994</v>
      </c>
      <c r="T15" s="157">
        <f t="shared" ref="T15:T18" si="34">VLOOKUP(M15,Credito1,2)</f>
        <v>195</v>
      </c>
      <c r="U15" s="157">
        <f t="shared" ref="U15:U19" si="35">ROUND(S15-T15,2)</f>
        <v>131.86000000000001</v>
      </c>
      <c r="V15" s="156">
        <f t="shared" si="7"/>
        <v>0</v>
      </c>
      <c r="W15" s="156">
        <f t="shared" ref="W15:W18" si="36">IF(I15/15&lt;=SMG,0,IF(U15&lt;0,0,U15))</f>
        <v>131.86000000000001</v>
      </c>
      <c r="X15" s="156">
        <f t="shared" si="5"/>
        <v>131.86000000000001</v>
      </c>
      <c r="Y15" s="156">
        <f t="shared" si="6"/>
        <v>4310.6400000000003</v>
      </c>
      <c r="Z15" s="89"/>
    </row>
    <row r="16" spans="1:26" s="4" customFormat="1" ht="77.25" customHeight="1" x14ac:dyDescent="0.35">
      <c r="A16" s="44"/>
      <c r="B16" s="149" t="s">
        <v>259</v>
      </c>
      <c r="C16" s="149" t="s">
        <v>109</v>
      </c>
      <c r="D16" s="213" t="s">
        <v>260</v>
      </c>
      <c r="E16" s="220">
        <v>44973</v>
      </c>
      <c r="F16" s="151" t="s">
        <v>261</v>
      </c>
      <c r="G16" s="152"/>
      <c r="H16" s="153"/>
      <c r="I16" s="154">
        <v>3505</v>
      </c>
      <c r="J16" s="155">
        <v>0</v>
      </c>
      <c r="K16" s="156">
        <f t="shared" ref="K16" si="37">SUM(I16:J16)</f>
        <v>3505</v>
      </c>
      <c r="L16" s="157">
        <f t="shared" ref="L16" si="38">IF(I16/15&lt;=SMG,0,J16/2)</f>
        <v>0</v>
      </c>
      <c r="M16" s="157">
        <f t="shared" ref="M16:M17" si="39">I16+L16</f>
        <v>3505</v>
      </c>
      <c r="N16" s="157">
        <f t="shared" ref="N16:N17" si="40">VLOOKUP(M16,Tarifa1,1)</f>
        <v>3124.36</v>
      </c>
      <c r="O16" s="157">
        <f t="shared" ref="O16:O17" si="41">M16-N16</f>
        <v>380.63999999999987</v>
      </c>
      <c r="P16" s="158">
        <f t="shared" ref="P16:P17" si="42">VLOOKUP(M16,Tarifa1,3)</f>
        <v>0.10879999999999999</v>
      </c>
      <c r="Q16" s="157">
        <f t="shared" ref="Q16:Q17" si="43">O16*P16</f>
        <v>41.413631999999986</v>
      </c>
      <c r="R16" s="159">
        <f t="shared" ref="R16:R17" si="44">VLOOKUP(M16,Tarifa1,2)</f>
        <v>183.45</v>
      </c>
      <c r="S16" s="157">
        <f t="shared" ref="S16:S17" si="45">Q16+R16</f>
        <v>224.86363199999997</v>
      </c>
      <c r="T16" s="157">
        <f t="shared" ref="T16:T17" si="46">VLOOKUP(M16,Credito1,2)</f>
        <v>195</v>
      </c>
      <c r="U16" s="157">
        <f t="shared" ref="U16:U17" si="47">ROUND(S16-T16,2)</f>
        <v>29.86</v>
      </c>
      <c r="V16" s="156">
        <f t="shared" si="7"/>
        <v>0</v>
      </c>
      <c r="W16" s="156">
        <f t="shared" ref="W16:W17" si="48">IF(I16/15&lt;=SMG,0,IF(U16&lt;0,0,U16))</f>
        <v>0</v>
      </c>
      <c r="X16" s="156">
        <f t="shared" si="5"/>
        <v>0</v>
      </c>
      <c r="Y16" s="156">
        <f t="shared" si="6"/>
        <v>3505</v>
      </c>
      <c r="Z16" s="89"/>
    </row>
    <row r="17" spans="1:32" s="4" customFormat="1" ht="77.25" customHeight="1" x14ac:dyDescent="0.35">
      <c r="A17" s="44"/>
      <c r="B17" s="149" t="s">
        <v>278</v>
      </c>
      <c r="C17" s="149" t="s">
        <v>109</v>
      </c>
      <c r="D17" s="213" t="s">
        <v>279</v>
      </c>
      <c r="E17" s="220">
        <v>45078</v>
      </c>
      <c r="F17" s="151" t="s">
        <v>280</v>
      </c>
      <c r="G17" s="152"/>
      <c r="H17" s="153"/>
      <c r="I17" s="154">
        <v>3317.5</v>
      </c>
      <c r="J17" s="155">
        <v>0</v>
      </c>
      <c r="K17" s="156">
        <f>SUM(I17:J17)</f>
        <v>3317.5</v>
      </c>
      <c r="L17" s="157">
        <f>IF(I17/15&lt;=SMG,0,J17/2)</f>
        <v>0</v>
      </c>
      <c r="M17" s="157">
        <f t="shared" si="39"/>
        <v>3317.5</v>
      </c>
      <c r="N17" s="157">
        <f t="shared" si="40"/>
        <v>3124.36</v>
      </c>
      <c r="O17" s="157">
        <f t="shared" si="41"/>
        <v>193.13999999999987</v>
      </c>
      <c r="P17" s="158">
        <f t="shared" si="42"/>
        <v>0.10879999999999999</v>
      </c>
      <c r="Q17" s="157">
        <f t="shared" si="43"/>
        <v>21.013631999999983</v>
      </c>
      <c r="R17" s="159">
        <f t="shared" si="44"/>
        <v>183.45</v>
      </c>
      <c r="S17" s="157">
        <f t="shared" si="45"/>
        <v>204.46363199999996</v>
      </c>
      <c r="T17" s="157">
        <f t="shared" si="46"/>
        <v>195</v>
      </c>
      <c r="U17" s="157">
        <f t="shared" si="47"/>
        <v>9.4600000000000009</v>
      </c>
      <c r="V17" s="156">
        <f t="shared" si="7"/>
        <v>0</v>
      </c>
      <c r="W17" s="156">
        <f t="shared" si="48"/>
        <v>0</v>
      </c>
      <c r="X17" s="156">
        <f t="shared" si="5"/>
        <v>0</v>
      </c>
      <c r="Y17" s="156">
        <f t="shared" si="6"/>
        <v>3317.5</v>
      </c>
      <c r="Z17" s="89"/>
    </row>
    <row r="18" spans="1:32" s="4" customFormat="1" ht="77.25" customHeight="1" x14ac:dyDescent="0.35">
      <c r="A18" s="44"/>
      <c r="B18" s="148" t="s">
        <v>194</v>
      </c>
      <c r="C18" s="149" t="s">
        <v>109</v>
      </c>
      <c r="D18" s="211" t="s">
        <v>210</v>
      </c>
      <c r="E18" s="216">
        <v>44470</v>
      </c>
      <c r="F18" s="150" t="s">
        <v>71</v>
      </c>
      <c r="G18" s="152">
        <v>15</v>
      </c>
      <c r="H18" s="153">
        <f>I18/G18</f>
        <v>512.5333333333333</v>
      </c>
      <c r="I18" s="154">
        <v>7688</v>
      </c>
      <c r="J18" s="155">
        <v>0</v>
      </c>
      <c r="K18" s="156">
        <f t="shared" ref="K18" si="49">SUM(I18:J18)</f>
        <v>7688</v>
      </c>
      <c r="L18" s="157">
        <f t="shared" ref="L18" si="50">IF(I18/15&lt;=SMG,0,J18/2)</f>
        <v>0</v>
      </c>
      <c r="M18" s="157">
        <f t="shared" si="27"/>
        <v>7688</v>
      </c>
      <c r="N18" s="157">
        <f t="shared" si="28"/>
        <v>7641.91</v>
      </c>
      <c r="O18" s="157">
        <f t="shared" si="29"/>
        <v>46.090000000000146</v>
      </c>
      <c r="P18" s="158">
        <f t="shared" si="30"/>
        <v>0.21360000000000001</v>
      </c>
      <c r="Q18" s="157">
        <f t="shared" si="31"/>
        <v>9.8448240000000311</v>
      </c>
      <c r="R18" s="159">
        <f t="shared" si="32"/>
        <v>809.25</v>
      </c>
      <c r="S18" s="157">
        <f t="shared" si="33"/>
        <v>819.09482400000002</v>
      </c>
      <c r="T18" s="157">
        <f t="shared" si="34"/>
        <v>0</v>
      </c>
      <c r="U18" s="157">
        <f t="shared" si="35"/>
        <v>819.09</v>
      </c>
      <c r="V18" s="156">
        <f t="shared" si="7"/>
        <v>0</v>
      </c>
      <c r="W18" s="156">
        <f t="shared" si="36"/>
        <v>819.09</v>
      </c>
      <c r="X18" s="156">
        <f t="shared" si="5"/>
        <v>819.09</v>
      </c>
      <c r="Y18" s="156">
        <f t="shared" si="6"/>
        <v>6868.91</v>
      </c>
      <c r="Z18" s="89"/>
    </row>
    <row r="19" spans="1:32" s="4" customFormat="1" ht="77.25" customHeight="1" x14ac:dyDescent="0.35">
      <c r="A19" s="44"/>
      <c r="B19" s="148" t="s">
        <v>294</v>
      </c>
      <c r="C19" s="149" t="s">
        <v>109</v>
      </c>
      <c r="D19" s="211" t="s">
        <v>295</v>
      </c>
      <c r="E19" s="216">
        <v>45173</v>
      </c>
      <c r="F19" s="151" t="s">
        <v>156</v>
      </c>
      <c r="G19" s="152">
        <v>15</v>
      </c>
      <c r="H19" s="153"/>
      <c r="I19" s="154">
        <v>4368</v>
      </c>
      <c r="J19" s="155">
        <v>0</v>
      </c>
      <c r="K19" s="156">
        <f>SUM(I19:J19)</f>
        <v>4368</v>
      </c>
      <c r="L19" s="157">
        <f>IF(I19/15&lt;=SMG,0,J19/2)</f>
        <v>0</v>
      </c>
      <c r="M19" s="157">
        <f t="shared" si="27"/>
        <v>4368</v>
      </c>
      <c r="N19" s="157">
        <f t="shared" ref="N19" si="51">VLOOKUP(M19,Tarifa1,1)</f>
        <v>3124.36</v>
      </c>
      <c r="O19" s="157">
        <f t="shared" si="29"/>
        <v>1243.6399999999999</v>
      </c>
      <c r="P19" s="158">
        <f t="shared" ref="P19" si="52">VLOOKUP(M19,Tarifa1,3)</f>
        <v>0.10879999999999999</v>
      </c>
      <c r="Q19" s="157">
        <f t="shared" si="31"/>
        <v>135.30803199999997</v>
      </c>
      <c r="R19" s="159">
        <f t="shared" ref="R19" si="53">VLOOKUP(M19,Tarifa1,2)</f>
        <v>183.45</v>
      </c>
      <c r="S19" s="157">
        <f t="shared" si="33"/>
        <v>318.75803199999996</v>
      </c>
      <c r="T19" s="157">
        <f t="shared" ref="T19" si="54">VLOOKUP(M19,Credito1,2)</f>
        <v>195</v>
      </c>
      <c r="U19" s="157">
        <f t="shared" si="35"/>
        <v>123.76</v>
      </c>
      <c r="V19" s="156">
        <f t="shared" si="7"/>
        <v>0</v>
      </c>
      <c r="W19" s="156">
        <f t="shared" ref="W19" si="55">IF(I19/15&lt;=SMG,0,IF(U19&lt;0,0,U19))</f>
        <v>123.76</v>
      </c>
      <c r="X19" s="156">
        <f t="shared" si="5"/>
        <v>123.76</v>
      </c>
      <c r="Y19" s="156">
        <f t="shared" si="6"/>
        <v>4244.24</v>
      </c>
      <c r="Z19" s="89"/>
    </row>
    <row r="20" spans="1:32" s="4" customFormat="1" ht="50.25" customHeight="1" x14ac:dyDescent="0.3">
      <c r="A20" s="281"/>
      <c r="B20" s="116" t="s">
        <v>98</v>
      </c>
      <c r="C20" s="116" t="s">
        <v>117</v>
      </c>
      <c r="D20" s="117" t="s">
        <v>116</v>
      </c>
      <c r="E20" s="136" t="s">
        <v>265</v>
      </c>
      <c r="F20" s="117" t="s">
        <v>60</v>
      </c>
      <c r="G20" s="117"/>
      <c r="H20" s="117"/>
      <c r="I20" s="118">
        <f>SUM(I21:I21)</f>
        <v>6871.16</v>
      </c>
      <c r="J20" s="118">
        <f>SUM(J21:J21)</f>
        <v>0</v>
      </c>
      <c r="K20" s="118">
        <f>SUM(K21:K21)</f>
        <v>6871.16</v>
      </c>
      <c r="L20" s="117"/>
      <c r="M20" s="117"/>
      <c r="N20" s="117"/>
      <c r="O20" s="117"/>
      <c r="P20" s="117"/>
      <c r="Q20" s="117"/>
      <c r="R20" s="119"/>
      <c r="S20" s="117"/>
      <c r="T20" s="117"/>
      <c r="U20" s="117"/>
      <c r="V20" s="118">
        <f>SUM(V21:V21)</f>
        <v>0</v>
      </c>
      <c r="W20" s="118">
        <f>SUM(W21:W21)</f>
        <v>671.16</v>
      </c>
      <c r="X20" s="118">
        <f>SUM(X21:X21)</f>
        <v>671.16</v>
      </c>
      <c r="Y20" s="118">
        <f>SUM(Y21:Y21)</f>
        <v>6200</v>
      </c>
      <c r="Z20" s="99"/>
    </row>
    <row r="21" spans="1:32" s="4" customFormat="1" ht="77.25" customHeight="1" x14ac:dyDescent="0.35">
      <c r="A21" s="281"/>
      <c r="B21" s="148" t="s">
        <v>163</v>
      </c>
      <c r="C21" s="149" t="s">
        <v>109</v>
      </c>
      <c r="D21" s="211" t="s">
        <v>154</v>
      </c>
      <c r="E21" s="216">
        <v>43512</v>
      </c>
      <c r="F21" s="151" t="s">
        <v>155</v>
      </c>
      <c r="G21" s="152">
        <v>15</v>
      </c>
      <c r="H21" s="153"/>
      <c r="I21" s="154">
        <v>6871.16</v>
      </c>
      <c r="J21" s="155">
        <v>0</v>
      </c>
      <c r="K21" s="156">
        <f>SUM(I21:J21)</f>
        <v>6871.16</v>
      </c>
      <c r="L21" s="157">
        <f>IF(I21/15&lt;=SMG,0,J21/2)</f>
        <v>0</v>
      </c>
      <c r="M21" s="157">
        <f>I21+L21</f>
        <v>6871.16</v>
      </c>
      <c r="N21" s="157">
        <f>VLOOKUP(M21,Tarifa1,1)</f>
        <v>6382.81</v>
      </c>
      <c r="O21" s="157">
        <f>M21-N21</f>
        <v>488.34999999999945</v>
      </c>
      <c r="P21" s="158">
        <f>VLOOKUP(M21,Tarifa1,3)</f>
        <v>0.1792</v>
      </c>
      <c r="Q21" s="157">
        <f>O21*P21</f>
        <v>87.512319999999903</v>
      </c>
      <c r="R21" s="159">
        <f>VLOOKUP(M21,Tarifa1,2)</f>
        <v>583.65</v>
      </c>
      <c r="S21" s="157">
        <f>Q21+R21</f>
        <v>671.16231999999991</v>
      </c>
      <c r="T21" s="157">
        <f>VLOOKUP(M21,Credito1,2)</f>
        <v>0</v>
      </c>
      <c r="U21" s="157">
        <f>ROUND(S21-T21,2)</f>
        <v>671.16</v>
      </c>
      <c r="V21" s="156">
        <f>-IF(U21&gt;0,0,0)</f>
        <v>0</v>
      </c>
      <c r="W21" s="156">
        <f>IF(I21/15&lt;=SMG,0,IF(U21&lt;0,0,U21))</f>
        <v>671.16</v>
      </c>
      <c r="X21" s="156">
        <f>SUM(W21:W21)</f>
        <v>671.16</v>
      </c>
      <c r="Y21" s="156">
        <f>K21+V21-X21</f>
        <v>6200</v>
      </c>
      <c r="Z21" s="89"/>
    </row>
    <row r="22" spans="1:32" s="4" customFormat="1" ht="40.5" customHeight="1" x14ac:dyDescent="0.3">
      <c r="A22" s="113"/>
      <c r="B22" s="137"/>
      <c r="C22" s="113"/>
      <c r="D22" s="144"/>
      <c r="E22" s="144"/>
      <c r="F22" s="144"/>
      <c r="G22" s="138"/>
      <c r="H22" s="139"/>
      <c r="I22" s="140"/>
      <c r="J22" s="141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AA22" s="87"/>
    </row>
    <row r="23" spans="1:32" s="4" customFormat="1" ht="24" customHeight="1" x14ac:dyDescent="0.3">
      <c r="A23" s="113"/>
      <c r="B23" s="304" t="s">
        <v>77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</row>
    <row r="24" spans="1:32" s="4" customFormat="1" ht="24" customHeight="1" x14ac:dyDescent="0.3">
      <c r="A24" s="113"/>
      <c r="B24" s="304" t="s">
        <v>63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</row>
    <row r="25" spans="1:32" s="4" customFormat="1" ht="25.5" customHeight="1" x14ac:dyDescent="0.3">
      <c r="A25" s="113"/>
      <c r="B25" s="295" t="str">
        <f>A3</f>
        <v>SUELDO  DEL 01 AL 15 DE AGOSTO DE 2024</v>
      </c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</row>
    <row r="26" spans="1:32" s="4" customFormat="1" ht="25.5" customHeight="1" x14ac:dyDescent="0.3">
      <c r="A26" s="113"/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</row>
    <row r="27" spans="1:32" s="4" customFormat="1" ht="57.75" customHeight="1" x14ac:dyDescent="0.3">
      <c r="A27" s="113"/>
      <c r="B27" s="116" t="s">
        <v>98</v>
      </c>
      <c r="C27" s="116" t="s">
        <v>117</v>
      </c>
      <c r="D27" s="117" t="s">
        <v>68</v>
      </c>
      <c r="E27" s="136" t="s">
        <v>265</v>
      </c>
      <c r="F27" s="117" t="s">
        <v>60</v>
      </c>
      <c r="G27" s="117"/>
      <c r="H27" s="117"/>
      <c r="I27" s="118">
        <f>SUM(I28:I30)</f>
        <v>10772.5</v>
      </c>
      <c r="J27" s="118">
        <f>SUM(J28:J30)</f>
        <v>0</v>
      </c>
      <c r="K27" s="118">
        <f>SUM(K28:K30)</f>
        <v>10772.5</v>
      </c>
      <c r="L27" s="117"/>
      <c r="M27" s="117"/>
      <c r="N27" s="117"/>
      <c r="O27" s="117"/>
      <c r="P27" s="117"/>
      <c r="Q27" s="117"/>
      <c r="R27" s="119"/>
      <c r="S27" s="117"/>
      <c r="T27" s="117"/>
      <c r="U27" s="117"/>
      <c r="V27" s="118">
        <f>SUM(V28:V30)</f>
        <v>0</v>
      </c>
      <c r="W27" s="118">
        <f>SUM(W28:W30)</f>
        <v>0</v>
      </c>
      <c r="X27" s="118">
        <f>SUM(X28:X30)</f>
        <v>0</v>
      </c>
      <c r="Y27" s="118">
        <f>SUM(Y28:Y30)</f>
        <v>10772.5</v>
      </c>
      <c r="Z27" s="99"/>
      <c r="AA27" s="192"/>
    </row>
    <row r="28" spans="1:32" s="4" customFormat="1" ht="100.5" customHeight="1" x14ac:dyDescent="0.35">
      <c r="A28" s="113"/>
      <c r="B28" s="148" t="s">
        <v>175</v>
      </c>
      <c r="C28" s="149" t="s">
        <v>109</v>
      </c>
      <c r="D28" s="211" t="s">
        <v>80</v>
      </c>
      <c r="E28" s="216">
        <v>41410</v>
      </c>
      <c r="F28" s="151" t="s">
        <v>167</v>
      </c>
      <c r="G28" s="152">
        <v>15</v>
      </c>
      <c r="H28" s="153">
        <f>I28/G28</f>
        <v>221.16666666666666</v>
      </c>
      <c r="I28" s="154">
        <v>3317.5</v>
      </c>
      <c r="J28" s="155">
        <v>0</v>
      </c>
      <c r="K28" s="156">
        <f>SUM(I28:J28)</f>
        <v>3317.5</v>
      </c>
      <c r="L28" s="157">
        <f>IF(I28/15&lt;=SMG,0,J28/2)</f>
        <v>0</v>
      </c>
      <c r="M28" s="157">
        <f t="shared" ref="M28" si="56">I28+L28</f>
        <v>3317.5</v>
      </c>
      <c r="N28" s="157">
        <f t="shared" ref="N28" si="57">VLOOKUP(M28,Tarifa1,1)</f>
        <v>3124.36</v>
      </c>
      <c r="O28" s="157">
        <f t="shared" ref="O28" si="58">M28-N28</f>
        <v>193.13999999999987</v>
      </c>
      <c r="P28" s="158">
        <f t="shared" ref="P28" si="59">VLOOKUP(M28,Tarifa1,3)</f>
        <v>0.10879999999999999</v>
      </c>
      <c r="Q28" s="157">
        <f t="shared" ref="Q28" si="60">O28*P28</f>
        <v>21.013631999999983</v>
      </c>
      <c r="R28" s="159">
        <f t="shared" ref="R28" si="61">VLOOKUP(M28,Tarifa1,2)</f>
        <v>183.45</v>
      </c>
      <c r="S28" s="157">
        <f t="shared" ref="S28" si="62">Q28+R28</f>
        <v>204.46363199999996</v>
      </c>
      <c r="T28" s="157">
        <f t="shared" ref="T28" si="63">VLOOKUP(M28,Credito1,2)</f>
        <v>195</v>
      </c>
      <c r="U28" s="157">
        <f t="shared" ref="U28" si="64">ROUND(S28-T28,2)</f>
        <v>9.4600000000000009</v>
      </c>
      <c r="V28" s="156">
        <f t="shared" ref="V28" si="65">-IF(U28&gt;0,0,0)</f>
        <v>0</v>
      </c>
      <c r="W28" s="156">
        <f t="shared" ref="W28" si="66">IF(I28/15&lt;=SMG,0,IF(U28&lt;0,0,U28))</f>
        <v>0</v>
      </c>
      <c r="X28" s="156">
        <f>SUM(W28:W28)</f>
        <v>0</v>
      </c>
      <c r="Y28" s="156">
        <f>K28+V28-X28</f>
        <v>3317.5</v>
      </c>
      <c r="Z28" s="89"/>
      <c r="AA28" s="192"/>
    </row>
    <row r="29" spans="1:32" s="4" customFormat="1" ht="99.75" customHeight="1" x14ac:dyDescent="0.35">
      <c r="A29" s="113"/>
      <c r="B29" s="148" t="s">
        <v>195</v>
      </c>
      <c r="C29" s="149" t="s">
        <v>109</v>
      </c>
      <c r="D29" s="211" t="s">
        <v>207</v>
      </c>
      <c r="E29" s="216">
        <v>44470</v>
      </c>
      <c r="F29" s="151" t="s">
        <v>133</v>
      </c>
      <c r="G29" s="152">
        <v>15</v>
      </c>
      <c r="H29" s="153"/>
      <c r="I29" s="154">
        <v>3727.5</v>
      </c>
      <c r="J29" s="155">
        <v>0</v>
      </c>
      <c r="K29" s="156">
        <f t="shared" ref="K29" si="67">SUM(I29:J29)</f>
        <v>3727.5</v>
      </c>
      <c r="L29" s="157">
        <f t="shared" ref="L29" si="68">IF(I29/15&lt;=SMG,0,J29/2)</f>
        <v>0</v>
      </c>
      <c r="M29" s="157">
        <f t="shared" ref="M29:M30" si="69">I29+L29</f>
        <v>3727.5</v>
      </c>
      <c r="N29" s="157">
        <f t="shared" ref="N29:N30" si="70">VLOOKUP(M29,Tarifa1,1)</f>
        <v>3124.36</v>
      </c>
      <c r="O29" s="157">
        <f t="shared" ref="O29:O30" si="71">M29-N29</f>
        <v>603.13999999999987</v>
      </c>
      <c r="P29" s="158">
        <f t="shared" ref="P29:P30" si="72">VLOOKUP(M29,Tarifa1,3)</f>
        <v>0.10879999999999999</v>
      </c>
      <c r="Q29" s="157">
        <f t="shared" ref="Q29:Q30" si="73">O29*P29</f>
        <v>65.621631999999977</v>
      </c>
      <c r="R29" s="159">
        <f t="shared" ref="R29:R30" si="74">VLOOKUP(M29,Tarifa1,2)</f>
        <v>183.45</v>
      </c>
      <c r="S29" s="157">
        <f t="shared" ref="S29:S30" si="75">Q29+R29</f>
        <v>249.07163199999997</v>
      </c>
      <c r="T29" s="157">
        <f t="shared" ref="T29:T30" si="76">VLOOKUP(M29,Credito1,2)</f>
        <v>195</v>
      </c>
      <c r="U29" s="157">
        <f t="shared" ref="U29:U30" si="77">ROUND(S29-T29,2)</f>
        <v>54.07</v>
      </c>
      <c r="V29" s="156">
        <f>-IF(U29&gt;0,0,0)</f>
        <v>0</v>
      </c>
      <c r="W29" s="156">
        <f t="shared" ref="W29:W30" si="78">IF(I29/15&lt;=SMG,0,IF(U29&lt;0,0,U29))</f>
        <v>0</v>
      </c>
      <c r="X29" s="156">
        <f>SUM(W29:W29)</f>
        <v>0</v>
      </c>
      <c r="Y29" s="156">
        <f>K29+V29-X29</f>
        <v>3727.5</v>
      </c>
      <c r="Z29" s="89"/>
      <c r="AA29" s="87"/>
    </row>
    <row r="30" spans="1:32" s="4" customFormat="1" ht="99.75" customHeight="1" x14ac:dyDescent="0.35">
      <c r="A30" s="113"/>
      <c r="B30" s="148" t="s">
        <v>223</v>
      </c>
      <c r="C30" s="149" t="s">
        <v>109</v>
      </c>
      <c r="D30" s="211" t="s">
        <v>209</v>
      </c>
      <c r="E30" s="216">
        <v>44473</v>
      </c>
      <c r="F30" s="151" t="s">
        <v>133</v>
      </c>
      <c r="G30" s="152">
        <v>15</v>
      </c>
      <c r="H30" s="153"/>
      <c r="I30" s="154">
        <v>3727.5</v>
      </c>
      <c r="J30" s="155">
        <v>0</v>
      </c>
      <c r="K30" s="156">
        <f>SUM(I30:J30)</f>
        <v>3727.5</v>
      </c>
      <c r="L30" s="157">
        <f>IF(I30/15&lt;=SMG,0,J30/2)</f>
        <v>0</v>
      </c>
      <c r="M30" s="157">
        <f t="shared" si="69"/>
        <v>3727.5</v>
      </c>
      <c r="N30" s="157">
        <f t="shared" si="70"/>
        <v>3124.36</v>
      </c>
      <c r="O30" s="157">
        <f t="shared" si="71"/>
        <v>603.13999999999987</v>
      </c>
      <c r="P30" s="158">
        <f t="shared" si="72"/>
        <v>0.10879999999999999</v>
      </c>
      <c r="Q30" s="157">
        <f t="shared" si="73"/>
        <v>65.621631999999977</v>
      </c>
      <c r="R30" s="159">
        <f t="shared" si="74"/>
        <v>183.45</v>
      </c>
      <c r="S30" s="157">
        <f t="shared" si="75"/>
        <v>249.07163199999997</v>
      </c>
      <c r="T30" s="157">
        <f t="shared" si="76"/>
        <v>195</v>
      </c>
      <c r="U30" s="157">
        <f t="shared" si="77"/>
        <v>54.07</v>
      </c>
      <c r="V30" s="156">
        <f>-IF(U30&gt;0,0,0)</f>
        <v>0</v>
      </c>
      <c r="W30" s="156">
        <f t="shared" si="78"/>
        <v>0</v>
      </c>
      <c r="X30" s="156">
        <f>SUM(W30:W30)</f>
        <v>0</v>
      </c>
      <c r="Y30" s="156">
        <f>K30+V30-X30</f>
        <v>3727.5</v>
      </c>
      <c r="Z30" s="89"/>
      <c r="AA30" s="87"/>
    </row>
    <row r="31" spans="1:32" s="4" customFormat="1" ht="57.75" customHeight="1" x14ac:dyDescent="0.3">
      <c r="A31" s="109"/>
      <c r="B31" s="116" t="s">
        <v>98</v>
      </c>
      <c r="C31" s="116" t="s">
        <v>117</v>
      </c>
      <c r="D31" s="117" t="s">
        <v>116</v>
      </c>
      <c r="E31" s="136" t="s">
        <v>265</v>
      </c>
      <c r="F31" s="117" t="s">
        <v>60</v>
      </c>
      <c r="G31" s="117"/>
      <c r="H31" s="117"/>
      <c r="I31" s="118">
        <f>SUM(I32:I33)</f>
        <v>11401.33</v>
      </c>
      <c r="J31" s="118">
        <f>SUM(J32:J33)</f>
        <v>0</v>
      </c>
      <c r="K31" s="118">
        <f>SUM(K32:K33)</f>
        <v>11401.33</v>
      </c>
      <c r="L31" s="117"/>
      <c r="M31" s="117"/>
      <c r="N31" s="117"/>
      <c r="O31" s="117"/>
      <c r="P31" s="117"/>
      <c r="Q31" s="117"/>
      <c r="R31" s="119"/>
      <c r="S31" s="117"/>
      <c r="T31" s="117"/>
      <c r="U31" s="117"/>
      <c r="V31" s="118">
        <f>SUM(V32:V33)</f>
        <v>0</v>
      </c>
      <c r="W31" s="118">
        <f>SUM(W32:W33)</f>
        <v>951.95</v>
      </c>
      <c r="X31" s="118">
        <f>SUM(X32:X33)</f>
        <v>951.95</v>
      </c>
      <c r="Y31" s="118">
        <f>SUM(Y32:Y33)</f>
        <v>10449.380000000001</v>
      </c>
      <c r="Z31" s="99"/>
    </row>
    <row r="32" spans="1:32" s="4" customFormat="1" ht="99.75" customHeight="1" x14ac:dyDescent="0.35">
      <c r="A32" s="110" t="s">
        <v>83</v>
      </c>
      <c r="B32" s="148" t="s">
        <v>146</v>
      </c>
      <c r="C32" s="149" t="s">
        <v>109</v>
      </c>
      <c r="D32" s="211" t="s">
        <v>135</v>
      </c>
      <c r="E32" s="216">
        <v>43374</v>
      </c>
      <c r="F32" s="151" t="s">
        <v>134</v>
      </c>
      <c r="G32" s="152">
        <v>15</v>
      </c>
      <c r="H32" s="153">
        <f>I32/G32</f>
        <v>397.76666666666665</v>
      </c>
      <c r="I32" s="154">
        <v>5966.5</v>
      </c>
      <c r="J32" s="155">
        <v>0</v>
      </c>
      <c r="K32" s="154">
        <f>I32</f>
        <v>5966.5</v>
      </c>
      <c r="L32" s="157">
        <f t="shared" ref="L32" si="79">IF(I32/15&lt;=SMG,0,J32/2)</f>
        <v>0</v>
      </c>
      <c r="M32" s="157">
        <f t="shared" ref="M32:M33" si="80">I32+L32</f>
        <v>5966.5</v>
      </c>
      <c r="N32" s="157">
        <f t="shared" ref="N32" si="81">VLOOKUP(M32,Tarifa1,1)</f>
        <v>5490.76</v>
      </c>
      <c r="O32" s="157">
        <f t="shared" ref="O32:O33" si="82">M32-N32</f>
        <v>475.73999999999978</v>
      </c>
      <c r="P32" s="158">
        <f t="shared" ref="P32" si="83">VLOOKUP(M32,Tarifa1,3)</f>
        <v>0.16</v>
      </c>
      <c r="Q32" s="157">
        <f t="shared" ref="Q32:Q33" si="84">O32*P32</f>
        <v>76.118399999999966</v>
      </c>
      <c r="R32" s="159">
        <f t="shared" ref="R32" si="85">VLOOKUP(M32,Tarifa1,2)</f>
        <v>441</v>
      </c>
      <c r="S32" s="157">
        <f t="shared" ref="S32:S33" si="86">Q32+R32</f>
        <v>517.11839999999995</v>
      </c>
      <c r="T32" s="157">
        <f t="shared" ref="T32" si="87">VLOOKUP(M32,Credito1,2)</f>
        <v>0</v>
      </c>
      <c r="U32" s="157">
        <f t="shared" ref="U32:U33" si="88">ROUND(S32-T32,2)</f>
        <v>517.12</v>
      </c>
      <c r="V32" s="156">
        <f>-IF(U32&gt;0,0,0)</f>
        <v>0</v>
      </c>
      <c r="W32" s="156">
        <f t="shared" ref="W32" si="89">IF(I32/15&lt;=SMG,0,IF(U32&lt;0,0,U32))</f>
        <v>517.12</v>
      </c>
      <c r="X32" s="156">
        <f>SUM(W32:W32)</f>
        <v>517.12</v>
      </c>
      <c r="Y32" s="156">
        <f>K32+V32-X32+J32</f>
        <v>5449.38</v>
      </c>
      <c r="Z32" s="89"/>
      <c r="AF32" s="94"/>
    </row>
    <row r="33" spans="1:32" s="4" customFormat="1" ht="99.75" customHeight="1" x14ac:dyDescent="0.35">
      <c r="A33" s="110"/>
      <c r="B33" s="148" t="s">
        <v>342</v>
      </c>
      <c r="C33" s="149" t="s">
        <v>109</v>
      </c>
      <c r="D33" s="211" t="s">
        <v>343</v>
      </c>
      <c r="E33" s="216">
        <v>45459</v>
      </c>
      <c r="F33" s="151" t="s">
        <v>155</v>
      </c>
      <c r="G33" s="152">
        <v>15</v>
      </c>
      <c r="H33" s="153"/>
      <c r="I33" s="154">
        <v>5434.83</v>
      </c>
      <c r="J33" s="155">
        <v>0</v>
      </c>
      <c r="K33" s="156">
        <f>SUM(I33:J33)</f>
        <v>5434.83</v>
      </c>
      <c r="L33" s="157">
        <f>IF(I33/15&lt;=SMG,0,J33/2)</f>
        <v>0</v>
      </c>
      <c r="M33" s="157">
        <f t="shared" si="80"/>
        <v>5434.83</v>
      </c>
      <c r="N33" s="157">
        <f>VLOOKUP(M33,Tarifa1,1)</f>
        <v>3124.36</v>
      </c>
      <c r="O33" s="157">
        <f t="shared" si="82"/>
        <v>2310.4699999999998</v>
      </c>
      <c r="P33" s="158">
        <f>VLOOKUP(M33,Tarifa1,3)</f>
        <v>0.10879999999999999</v>
      </c>
      <c r="Q33" s="157">
        <f t="shared" si="84"/>
        <v>251.37913599999996</v>
      </c>
      <c r="R33" s="159">
        <f>VLOOKUP(M33,Tarifa1,2)</f>
        <v>183.45</v>
      </c>
      <c r="S33" s="157">
        <f t="shared" si="86"/>
        <v>434.82913599999995</v>
      </c>
      <c r="T33" s="157">
        <f>VLOOKUP(M33,Credito1,2)</f>
        <v>0</v>
      </c>
      <c r="U33" s="157">
        <f t="shared" si="88"/>
        <v>434.83</v>
      </c>
      <c r="V33" s="156">
        <f>-IF(U33&gt;0,0,0)</f>
        <v>0</v>
      </c>
      <c r="W33" s="156">
        <f>IF(I33/15&lt;=SMG,0,IF(U33&lt;0,0,U33))</f>
        <v>434.83</v>
      </c>
      <c r="X33" s="156">
        <f>SUM(W33:W33)</f>
        <v>434.83</v>
      </c>
      <c r="Y33" s="156">
        <f>K33+V33-X33</f>
        <v>5000</v>
      </c>
      <c r="Z33" s="89"/>
      <c r="AF33" s="94"/>
    </row>
    <row r="34" spans="1:32" s="4" customFormat="1" ht="27.75" customHeight="1" x14ac:dyDescent="0.3">
      <c r="A34" s="171"/>
      <c r="B34" s="171"/>
      <c r="C34" s="171"/>
      <c r="D34" s="171"/>
      <c r="E34" s="171"/>
      <c r="F34" s="171"/>
      <c r="G34" s="171"/>
      <c r="H34" s="171"/>
      <c r="I34" s="177"/>
      <c r="J34" s="177"/>
      <c r="K34" s="177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</row>
    <row r="35" spans="1:32" s="4" customFormat="1" ht="75" customHeight="1" thickBot="1" x14ac:dyDescent="0.35">
      <c r="A35" s="291" t="s">
        <v>44</v>
      </c>
      <c r="B35" s="292"/>
      <c r="C35" s="292"/>
      <c r="D35" s="292"/>
      <c r="E35" s="292"/>
      <c r="F35" s="292"/>
      <c r="G35" s="292"/>
      <c r="H35" s="293"/>
      <c r="I35" s="160">
        <f>I8+I20+I27+I31</f>
        <v>79486.820000000007</v>
      </c>
      <c r="J35" s="160">
        <f>J8+J20+J27+J31</f>
        <v>1449.29</v>
      </c>
      <c r="K35" s="160">
        <f>K8+K20+K27+K31</f>
        <v>80936.11</v>
      </c>
      <c r="L35" s="161">
        <f t="shared" ref="L35:U35" si="90">SUM(L9:L34)</f>
        <v>724.64499999999998</v>
      </c>
      <c r="M35" s="161">
        <f t="shared" si="90"/>
        <v>80211.464999999997</v>
      </c>
      <c r="N35" s="161">
        <f t="shared" si="90"/>
        <v>65622.92</v>
      </c>
      <c r="O35" s="161">
        <f t="shared" si="90"/>
        <v>14588.544999999995</v>
      </c>
      <c r="P35" s="161">
        <f t="shared" si="90"/>
        <v>2.1272000000000002</v>
      </c>
      <c r="Q35" s="161">
        <f t="shared" si="90"/>
        <v>1685.0398639999996</v>
      </c>
      <c r="R35" s="161">
        <f t="shared" si="90"/>
        <v>4659.7499999999991</v>
      </c>
      <c r="S35" s="161">
        <f t="shared" si="90"/>
        <v>6344.7898640000003</v>
      </c>
      <c r="T35" s="161">
        <f t="shared" si="90"/>
        <v>2340</v>
      </c>
      <c r="U35" s="161">
        <f t="shared" si="90"/>
        <v>4004.77</v>
      </c>
      <c r="V35" s="160">
        <f>V8+V20+V27+V31</f>
        <v>0</v>
      </c>
      <c r="W35" s="160">
        <f>W8+W20+W27+W31</f>
        <v>3847.8500000000004</v>
      </c>
      <c r="X35" s="160">
        <f>X8+X20+X27+X31</f>
        <v>3847.8500000000004</v>
      </c>
      <c r="Y35" s="160">
        <f>Y8+Y20+Y27+Y31</f>
        <v>77088.260000000009</v>
      </c>
    </row>
    <row r="36" spans="1:32" s="4" customFormat="1" ht="18" customHeight="1" thickTop="1" x14ac:dyDescent="0.3">
      <c r="A36" s="145"/>
      <c r="B36" s="145"/>
      <c r="C36" s="145"/>
      <c r="D36" s="145"/>
      <c r="E36" s="145"/>
      <c r="F36" s="145"/>
      <c r="G36" s="145"/>
      <c r="H36" s="145"/>
      <c r="I36" s="146"/>
      <c r="J36" s="146"/>
      <c r="K36" s="146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6"/>
      <c r="W36" s="146"/>
      <c r="X36" s="146"/>
      <c r="Y36" s="146"/>
    </row>
    <row r="37" spans="1:32" s="4" customFormat="1" ht="18" customHeight="1" x14ac:dyDescent="0.3">
      <c r="A37" s="145"/>
      <c r="B37" s="145"/>
      <c r="C37" s="145"/>
      <c r="D37" s="145"/>
      <c r="E37" s="145"/>
      <c r="F37" s="145"/>
      <c r="G37" s="145"/>
      <c r="H37" s="145"/>
      <c r="I37" s="146"/>
      <c r="J37" s="146"/>
      <c r="K37" s="146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6"/>
      <c r="W37" s="146"/>
      <c r="X37" s="146"/>
      <c r="Y37" s="146"/>
    </row>
    <row r="38" spans="1:32" s="4" customFormat="1" ht="18" customHeight="1" x14ac:dyDescent="0.3">
      <c r="A38" s="145"/>
      <c r="B38" s="145"/>
      <c r="C38" s="145"/>
      <c r="D38" s="145"/>
      <c r="E38" s="145"/>
      <c r="F38" s="145"/>
      <c r="G38" s="145"/>
      <c r="H38" s="145"/>
      <c r="I38" s="146"/>
      <c r="J38" s="146"/>
      <c r="K38" s="146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6"/>
      <c r="W38" s="146"/>
      <c r="X38" s="146"/>
      <c r="Y38" s="146"/>
    </row>
    <row r="39" spans="1:32" s="4" customFormat="1" ht="18" customHeight="1" x14ac:dyDescent="0.3">
      <c r="A39" s="145"/>
      <c r="B39" s="145"/>
      <c r="C39" s="145"/>
      <c r="D39" s="145"/>
      <c r="E39" s="145"/>
      <c r="F39" s="145"/>
      <c r="G39" s="145"/>
      <c r="H39" s="145"/>
      <c r="I39" s="146"/>
      <c r="J39" s="146"/>
      <c r="K39" s="146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6"/>
      <c r="W39" s="146"/>
      <c r="X39" s="146"/>
      <c r="Y39" s="146"/>
    </row>
    <row r="40" spans="1:32" s="4" customFormat="1" ht="18" customHeight="1" x14ac:dyDescent="0.3">
      <c r="A40" s="145"/>
      <c r="B40" s="145"/>
      <c r="C40" s="145"/>
      <c r="D40" s="145"/>
      <c r="E40" s="145"/>
      <c r="F40" s="145"/>
      <c r="G40" s="145"/>
      <c r="H40" s="145"/>
      <c r="I40" s="146"/>
      <c r="J40" s="146"/>
      <c r="K40" s="146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6"/>
      <c r="W40" s="146"/>
      <c r="X40" s="146"/>
      <c r="Y40" s="146"/>
    </row>
    <row r="41" spans="1:32" s="4" customFormat="1" x14ac:dyDescent="0.25"/>
    <row r="42" spans="1:32" s="4" customFormat="1" x14ac:dyDescent="0.25"/>
  </sheetData>
  <mergeCells count="10">
    <mergeCell ref="A35:H35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C36" zoomScale="55" zoomScaleNormal="55" workbookViewId="0">
      <selection activeCell="C42" sqref="A42:XFD49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94" t="s">
        <v>77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32" ht="19.8" x14ac:dyDescent="0.3">
      <c r="A2" s="294" t="s">
        <v>63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32" ht="19.8" x14ac:dyDescent="0.3">
      <c r="A3" s="295" t="str">
        <f>PRESIDENCIA!A3</f>
        <v>SUELDO  DEL 01 AL 15 DE AGOSTO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21" customHeight="1" x14ac:dyDescent="0.3">
      <c r="A5" s="48"/>
      <c r="B5" s="48"/>
      <c r="C5" s="325" t="s">
        <v>117</v>
      </c>
      <c r="D5" s="48"/>
      <c r="E5" s="48"/>
      <c r="F5" s="48"/>
      <c r="G5" s="49" t="s">
        <v>22</v>
      </c>
      <c r="H5" s="49" t="s">
        <v>5</v>
      </c>
      <c r="I5" s="296" t="s">
        <v>1</v>
      </c>
      <c r="J5" s="297"/>
      <c r="K5" s="298"/>
      <c r="L5" s="122" t="s">
        <v>25</v>
      </c>
      <c r="M5" s="123"/>
      <c r="N5" s="299" t="s">
        <v>8</v>
      </c>
      <c r="O5" s="300"/>
      <c r="P5" s="300"/>
      <c r="Q5" s="300"/>
      <c r="R5" s="300"/>
      <c r="S5" s="301"/>
      <c r="T5" s="122" t="s">
        <v>29</v>
      </c>
      <c r="U5" s="122" t="s">
        <v>9</v>
      </c>
      <c r="V5" s="121" t="s">
        <v>52</v>
      </c>
      <c r="W5" s="302" t="s">
        <v>2</v>
      </c>
      <c r="X5" s="303"/>
      <c r="Y5" s="121" t="s">
        <v>0</v>
      </c>
      <c r="Z5" s="48"/>
    </row>
    <row r="6" spans="1:32" s="52" customFormat="1" ht="31.2" x14ac:dyDescent="0.3">
      <c r="A6" s="53" t="s">
        <v>20</v>
      </c>
      <c r="B6" s="124" t="s">
        <v>98</v>
      </c>
      <c r="C6" s="326"/>
      <c r="D6" s="125" t="s">
        <v>21</v>
      </c>
      <c r="E6" s="53"/>
      <c r="F6" s="53"/>
      <c r="G6" s="54" t="s">
        <v>23</v>
      </c>
      <c r="H6" s="53" t="s">
        <v>24</v>
      </c>
      <c r="I6" s="121" t="s">
        <v>5</v>
      </c>
      <c r="J6" s="121" t="s">
        <v>57</v>
      </c>
      <c r="K6" s="121" t="s">
        <v>27</v>
      </c>
      <c r="L6" s="126" t="s">
        <v>26</v>
      </c>
      <c r="M6" s="123" t="s">
        <v>31</v>
      </c>
      <c r="N6" s="123" t="s">
        <v>11</v>
      </c>
      <c r="O6" s="123" t="s">
        <v>33</v>
      </c>
      <c r="P6" s="123" t="s">
        <v>35</v>
      </c>
      <c r="Q6" s="123" t="s">
        <v>36</v>
      </c>
      <c r="R6" s="119" t="s">
        <v>13</v>
      </c>
      <c r="S6" s="123" t="s">
        <v>9</v>
      </c>
      <c r="T6" s="126" t="s">
        <v>39</v>
      </c>
      <c r="U6" s="126" t="s">
        <v>40</v>
      </c>
      <c r="V6" s="125" t="s">
        <v>30</v>
      </c>
      <c r="W6" s="121" t="s">
        <v>256</v>
      </c>
      <c r="X6" s="121" t="s">
        <v>6</v>
      </c>
      <c r="Y6" s="125" t="s">
        <v>3</v>
      </c>
      <c r="Z6" s="125" t="s">
        <v>56</v>
      </c>
    </row>
    <row r="7" spans="1:32" s="52" customFormat="1" ht="15.6" x14ac:dyDescent="0.3">
      <c r="A7" s="53"/>
      <c r="B7" s="53"/>
      <c r="C7" s="327"/>
      <c r="D7" s="53"/>
      <c r="E7" s="53"/>
      <c r="F7" s="53"/>
      <c r="G7" s="53"/>
      <c r="H7" s="53"/>
      <c r="I7" s="125" t="s">
        <v>46</v>
      </c>
      <c r="J7" s="125" t="s">
        <v>58</v>
      </c>
      <c r="K7" s="125" t="s">
        <v>28</v>
      </c>
      <c r="L7" s="126" t="s">
        <v>42</v>
      </c>
      <c r="M7" s="122" t="s">
        <v>32</v>
      </c>
      <c r="N7" s="122" t="s">
        <v>12</v>
      </c>
      <c r="O7" s="122" t="s">
        <v>34</v>
      </c>
      <c r="P7" s="122" t="s">
        <v>34</v>
      </c>
      <c r="Q7" s="122" t="s">
        <v>37</v>
      </c>
      <c r="R7" s="250" t="s">
        <v>14</v>
      </c>
      <c r="S7" s="122" t="s">
        <v>38</v>
      </c>
      <c r="T7" s="126" t="s">
        <v>18</v>
      </c>
      <c r="U7" s="130" t="s">
        <v>190</v>
      </c>
      <c r="V7" s="125" t="s">
        <v>51</v>
      </c>
      <c r="W7" s="125"/>
      <c r="X7" s="125" t="s">
        <v>43</v>
      </c>
      <c r="Y7" s="125" t="s">
        <v>4</v>
      </c>
      <c r="Z7" s="57"/>
    </row>
    <row r="8" spans="1:32" s="52" customFormat="1" ht="64.5" customHeight="1" x14ac:dyDescent="0.3">
      <c r="A8" s="37"/>
      <c r="B8" s="191" t="s">
        <v>98</v>
      </c>
      <c r="C8" s="191" t="s">
        <v>117</v>
      </c>
      <c r="D8" s="191" t="s">
        <v>138</v>
      </c>
      <c r="E8" s="191" t="s">
        <v>265</v>
      </c>
      <c r="F8" s="242" t="s">
        <v>60</v>
      </c>
      <c r="G8" s="242"/>
      <c r="H8" s="242"/>
      <c r="I8" s="243">
        <f>SUM(I9:I10)</f>
        <v>12182</v>
      </c>
      <c r="J8" s="243">
        <f t="shared" ref="J8:Y8" si="0">SUM(J9:J10)</f>
        <v>0</v>
      </c>
      <c r="K8" s="243">
        <f t="shared" si="0"/>
        <v>12182</v>
      </c>
      <c r="L8" s="243">
        <f t="shared" si="0"/>
        <v>0</v>
      </c>
      <c r="M8" s="243">
        <f t="shared" si="0"/>
        <v>12182</v>
      </c>
      <c r="N8" s="243">
        <f t="shared" si="0"/>
        <v>9507.17</v>
      </c>
      <c r="O8" s="243">
        <f t="shared" si="0"/>
        <v>2674.8299999999995</v>
      </c>
      <c r="P8" s="243">
        <f t="shared" si="0"/>
        <v>0.28799999999999998</v>
      </c>
      <c r="Q8" s="243">
        <f t="shared" si="0"/>
        <v>350.20607999999993</v>
      </c>
      <c r="R8" s="243">
        <f t="shared" si="0"/>
        <v>767.09999999999991</v>
      </c>
      <c r="S8" s="243">
        <f t="shared" si="0"/>
        <v>1117.3060799999998</v>
      </c>
      <c r="T8" s="243">
        <f t="shared" si="0"/>
        <v>0</v>
      </c>
      <c r="U8" s="243">
        <f t="shared" si="0"/>
        <v>1117.3</v>
      </c>
      <c r="V8" s="243">
        <f t="shared" si="0"/>
        <v>0</v>
      </c>
      <c r="W8" s="243">
        <f t="shared" si="0"/>
        <v>1117.3</v>
      </c>
      <c r="X8" s="243">
        <f t="shared" si="0"/>
        <v>1117.3</v>
      </c>
      <c r="Y8" s="243">
        <f t="shared" si="0"/>
        <v>11064.7</v>
      </c>
      <c r="Z8" s="100"/>
    </row>
    <row r="9" spans="1:32" s="52" customFormat="1" ht="150" customHeight="1" x14ac:dyDescent="0.35">
      <c r="A9" s="37"/>
      <c r="B9" s="178">
        <v>275</v>
      </c>
      <c r="C9" s="179" t="s">
        <v>109</v>
      </c>
      <c r="D9" s="257" t="s">
        <v>220</v>
      </c>
      <c r="E9" s="221">
        <v>44476</v>
      </c>
      <c r="F9" s="180" t="s">
        <v>309</v>
      </c>
      <c r="G9" s="165">
        <v>15</v>
      </c>
      <c r="H9" s="165"/>
      <c r="I9" s="154">
        <v>7223.5</v>
      </c>
      <c r="J9" s="155">
        <v>0</v>
      </c>
      <c r="K9" s="156">
        <f>SUM(I9:J9)</f>
        <v>7223.5</v>
      </c>
      <c r="L9" s="157">
        <f>IF(I9/15&lt;=SMG,0,J9/2)</f>
        <v>0</v>
      </c>
      <c r="M9" s="157">
        <f>I9+L9</f>
        <v>7223.5</v>
      </c>
      <c r="N9" s="157">
        <f>VLOOKUP(M9,Tarifa1,1)</f>
        <v>6382.81</v>
      </c>
      <c r="O9" s="157">
        <f>M9-N9</f>
        <v>840.6899999999996</v>
      </c>
      <c r="P9" s="158">
        <f>VLOOKUP(M9,Tarifa1,3)</f>
        <v>0.1792</v>
      </c>
      <c r="Q9" s="157">
        <f>O9*P9</f>
        <v>150.65164799999994</v>
      </c>
      <c r="R9" s="159">
        <f>VLOOKUP(M9,Tarifa1,2)</f>
        <v>583.65</v>
      </c>
      <c r="S9" s="157">
        <f>Q9+R9</f>
        <v>734.30164799999989</v>
      </c>
      <c r="T9" s="157">
        <f>VLOOKUP(M9,Credito1,2)</f>
        <v>0</v>
      </c>
      <c r="U9" s="157">
        <f>ROUND(S9-T9,2)</f>
        <v>734.3</v>
      </c>
      <c r="V9" s="156">
        <f>-IF(U9&gt;0,0,0)</f>
        <v>0</v>
      </c>
      <c r="W9" s="156">
        <f>IF(I9/15&lt;=SMG,0,IF(U9&lt;0,0,U9))</f>
        <v>734.3</v>
      </c>
      <c r="X9" s="156">
        <f>SUM(W9:W9)</f>
        <v>734.3</v>
      </c>
      <c r="Y9" s="156">
        <f>K9+V9-X9</f>
        <v>6489.2</v>
      </c>
      <c r="Z9" s="143"/>
    </row>
    <row r="10" spans="1:32" s="52" customFormat="1" ht="150" customHeight="1" x14ac:dyDescent="0.3">
      <c r="A10" s="37"/>
      <c r="B10" s="148" t="s">
        <v>144</v>
      </c>
      <c r="C10" s="149" t="s">
        <v>109</v>
      </c>
      <c r="D10" s="258" t="s">
        <v>131</v>
      </c>
      <c r="E10" s="216">
        <v>43374</v>
      </c>
      <c r="F10" s="151" t="s">
        <v>243</v>
      </c>
      <c r="G10" s="152">
        <v>15</v>
      </c>
      <c r="H10" s="153">
        <v>341.11</v>
      </c>
      <c r="I10" s="154">
        <v>4958.5</v>
      </c>
      <c r="J10" s="155">
        <v>0</v>
      </c>
      <c r="K10" s="156">
        <f>SUM(I10:J10)</f>
        <v>4958.5</v>
      </c>
      <c r="L10" s="157">
        <f>IF(I10/15&lt;=SMG,0,J10/2)</f>
        <v>0</v>
      </c>
      <c r="M10" s="157">
        <f>I10+L10</f>
        <v>4958.5</v>
      </c>
      <c r="N10" s="157">
        <f>VLOOKUP(M10,Tarifa1,1)</f>
        <v>3124.36</v>
      </c>
      <c r="O10" s="157">
        <f>M10-N10</f>
        <v>1834.1399999999999</v>
      </c>
      <c r="P10" s="158">
        <f>VLOOKUP(M10,Tarifa1,3)</f>
        <v>0.10879999999999999</v>
      </c>
      <c r="Q10" s="157">
        <f>O10*P10</f>
        <v>199.55443199999996</v>
      </c>
      <c r="R10" s="159">
        <f>VLOOKUP(M10,Tarifa1,2)</f>
        <v>183.45</v>
      </c>
      <c r="S10" s="157">
        <f>Q10+R10</f>
        <v>383.00443199999995</v>
      </c>
      <c r="T10" s="157">
        <f>VLOOKUP(M10,Credito1,2)</f>
        <v>0</v>
      </c>
      <c r="U10" s="157">
        <f>ROUND(S10-T10,2)</f>
        <v>383</v>
      </c>
      <c r="V10" s="156">
        <f>-IF(U10&gt;0,0,0)</f>
        <v>0</v>
      </c>
      <c r="W10" s="156">
        <f>IF(I10/15&lt;=SMG,0,IF(U10&lt;0,0,U10))</f>
        <v>383</v>
      </c>
      <c r="X10" s="156">
        <f>SUM(W10:W10)</f>
        <v>383</v>
      </c>
      <c r="Y10" s="156">
        <f>K10+V10-X10</f>
        <v>4575.5</v>
      </c>
      <c r="Z10" s="143"/>
    </row>
    <row r="11" spans="1:32" s="52" customFormat="1" ht="53.25" customHeight="1" x14ac:dyDescent="0.3">
      <c r="A11" s="46"/>
      <c r="B11" s="191" t="s">
        <v>98</v>
      </c>
      <c r="C11" s="191" t="s">
        <v>117</v>
      </c>
      <c r="D11" s="242" t="s">
        <v>120</v>
      </c>
      <c r="E11" s="191" t="s">
        <v>265</v>
      </c>
      <c r="F11" s="242" t="s">
        <v>60</v>
      </c>
      <c r="G11" s="242"/>
      <c r="H11" s="242"/>
      <c r="I11" s="243">
        <f>SUM(I12:I13)</f>
        <v>12482.83</v>
      </c>
      <c r="J11" s="243">
        <f>SUM(J12:J13)</f>
        <v>0</v>
      </c>
      <c r="K11" s="243">
        <f>SUM(K12:K13)</f>
        <v>12482.83</v>
      </c>
      <c r="L11" s="242"/>
      <c r="M11" s="242"/>
      <c r="N11" s="242"/>
      <c r="O11" s="242"/>
      <c r="P11" s="242"/>
      <c r="Q11" s="242"/>
      <c r="R11" s="245"/>
      <c r="S11" s="242"/>
      <c r="T11" s="242"/>
      <c r="U11" s="242"/>
      <c r="V11" s="243">
        <f>SUM(V12:V13)</f>
        <v>0</v>
      </c>
      <c r="W11" s="243">
        <f>SUM(W12:W13)</f>
        <v>1137.68</v>
      </c>
      <c r="X11" s="243">
        <f>SUM(X12:X13)</f>
        <v>1137.68</v>
      </c>
      <c r="Y11" s="243">
        <f>SUM(Y12:Y13)</f>
        <v>11345.15</v>
      </c>
      <c r="Z11" s="100"/>
      <c r="AF11" s="60"/>
    </row>
    <row r="12" spans="1:32" s="52" customFormat="1" ht="149.25" customHeight="1" x14ac:dyDescent="0.3">
      <c r="A12" s="46" t="s">
        <v>86</v>
      </c>
      <c r="B12" s="149" t="s">
        <v>108</v>
      </c>
      <c r="C12" s="149" t="s">
        <v>109</v>
      </c>
      <c r="D12" s="258" t="s">
        <v>91</v>
      </c>
      <c r="E12" s="219">
        <v>42278</v>
      </c>
      <c r="F12" s="151" t="s">
        <v>92</v>
      </c>
      <c r="G12" s="152">
        <v>15</v>
      </c>
      <c r="H12" s="153">
        <f t="shared" ref="H12:H34" si="1">I12/G12</f>
        <v>469.86666666666667</v>
      </c>
      <c r="I12" s="154">
        <v>7048</v>
      </c>
      <c r="J12" s="155">
        <v>0</v>
      </c>
      <c r="K12" s="156">
        <f>SUM(I12:J12)</f>
        <v>7048</v>
      </c>
      <c r="L12" s="157">
        <f>IF(I12/15&lt;=SMG,0,J12/2)</f>
        <v>0</v>
      </c>
      <c r="M12" s="157">
        <f>I12+L12</f>
        <v>7048</v>
      </c>
      <c r="N12" s="157">
        <f>VLOOKUP(M12,Tarifa1,1)</f>
        <v>6382.81</v>
      </c>
      <c r="O12" s="157">
        <f>M12-N12</f>
        <v>665.1899999999996</v>
      </c>
      <c r="P12" s="158">
        <f>VLOOKUP(M12,Tarifa1,3)</f>
        <v>0.1792</v>
      </c>
      <c r="Q12" s="157">
        <f>O12*P12</f>
        <v>119.20204799999993</v>
      </c>
      <c r="R12" s="159">
        <f>VLOOKUP(M12,Tarifa1,2)</f>
        <v>583.65</v>
      </c>
      <c r="S12" s="157">
        <f>Q12+R12</f>
        <v>702.85204799999997</v>
      </c>
      <c r="T12" s="157">
        <f>VLOOKUP(M12,Credito1,2)</f>
        <v>0</v>
      </c>
      <c r="U12" s="157">
        <f>ROUND(S12-T12,2)</f>
        <v>702.85</v>
      </c>
      <c r="V12" s="156">
        <f>-IF(U12&gt;0,0,0)</f>
        <v>0</v>
      </c>
      <c r="W12" s="156">
        <f>IF(I12/15&lt;=SMG,0,IF(U12&lt;0,0,U12))</f>
        <v>702.85</v>
      </c>
      <c r="X12" s="156">
        <f>SUM(W12:W12)</f>
        <v>702.85</v>
      </c>
      <c r="Y12" s="156">
        <f>K12+V12-X12</f>
        <v>6345.15</v>
      </c>
      <c r="Z12" s="92"/>
      <c r="AF12" s="65"/>
    </row>
    <row r="13" spans="1:32" s="52" customFormat="1" ht="149.25" customHeight="1" x14ac:dyDescent="0.3">
      <c r="A13" s="46"/>
      <c r="B13" s="149" t="s">
        <v>344</v>
      </c>
      <c r="C13" s="149" t="s">
        <v>109</v>
      </c>
      <c r="D13" s="258" t="s">
        <v>345</v>
      </c>
      <c r="E13" s="219">
        <v>45459</v>
      </c>
      <c r="F13" s="151" t="s">
        <v>346</v>
      </c>
      <c r="G13" s="152">
        <v>15</v>
      </c>
      <c r="H13" s="153">
        <f t="shared" ref="H13" si="2">I13/G13</f>
        <v>362.322</v>
      </c>
      <c r="I13" s="154">
        <v>5434.83</v>
      </c>
      <c r="J13" s="155">
        <v>0</v>
      </c>
      <c r="K13" s="156">
        <f>SUM(I13:J13)</f>
        <v>5434.83</v>
      </c>
      <c r="L13" s="157">
        <f>IF(I13/15&lt;=SMG,0,J13/2)</f>
        <v>0</v>
      </c>
      <c r="M13" s="157">
        <f t="shared" ref="M13" si="3">I13+L13</f>
        <v>5434.83</v>
      </c>
      <c r="N13" s="157">
        <f>VLOOKUP(M13,Tarifa1,1)</f>
        <v>3124.36</v>
      </c>
      <c r="O13" s="157">
        <f t="shared" ref="O13" si="4">M13-N13</f>
        <v>2310.4699999999998</v>
      </c>
      <c r="P13" s="158">
        <f>VLOOKUP(M13,Tarifa1,3)</f>
        <v>0.10879999999999999</v>
      </c>
      <c r="Q13" s="157">
        <f t="shared" ref="Q13" si="5">O13*P13</f>
        <v>251.37913599999996</v>
      </c>
      <c r="R13" s="159">
        <f>VLOOKUP(M13,Tarifa1,2)</f>
        <v>183.45</v>
      </c>
      <c r="S13" s="157">
        <f t="shared" ref="S13" si="6">Q13+R13</f>
        <v>434.82913599999995</v>
      </c>
      <c r="T13" s="157">
        <f>VLOOKUP(M13,Credito1,2)</f>
        <v>0</v>
      </c>
      <c r="U13" s="157">
        <f t="shared" ref="U13" si="7">ROUND(S13-T13,2)</f>
        <v>434.83</v>
      </c>
      <c r="V13" s="156">
        <f>-IF(U13&gt;0,0,0)</f>
        <v>0</v>
      </c>
      <c r="W13" s="156">
        <f>IF(I13/15&lt;=SMG,0,IF(U13&lt;0,0,U13))</f>
        <v>434.83</v>
      </c>
      <c r="X13" s="156">
        <f>SUM(W13:W13)</f>
        <v>434.83</v>
      </c>
      <c r="Y13" s="156">
        <f>K13+V13-X13</f>
        <v>5000</v>
      </c>
      <c r="Z13" s="92"/>
      <c r="AF13" s="65"/>
    </row>
    <row r="14" spans="1:32" s="52" customFormat="1" ht="51.75" customHeight="1" x14ac:dyDescent="0.3">
      <c r="A14" s="46"/>
      <c r="B14" s="191" t="s">
        <v>98</v>
      </c>
      <c r="C14" s="191" t="s">
        <v>117</v>
      </c>
      <c r="D14" s="191" t="s">
        <v>121</v>
      </c>
      <c r="E14" s="191" t="s">
        <v>265</v>
      </c>
      <c r="F14" s="242" t="s">
        <v>60</v>
      </c>
      <c r="G14" s="242"/>
      <c r="H14" s="242"/>
      <c r="I14" s="243">
        <f>SUM(I15:I18)</f>
        <v>23172.33</v>
      </c>
      <c r="J14" s="243">
        <f>SUM(J15:J18)</f>
        <v>0</v>
      </c>
      <c r="K14" s="243">
        <f>SUM(K15:K18)</f>
        <v>23172.33</v>
      </c>
      <c r="L14" s="242"/>
      <c r="M14" s="242"/>
      <c r="N14" s="242"/>
      <c r="O14" s="242"/>
      <c r="P14" s="242"/>
      <c r="Q14" s="242"/>
      <c r="R14" s="245"/>
      <c r="S14" s="242"/>
      <c r="T14" s="242"/>
      <c r="U14" s="242"/>
      <c r="V14" s="243">
        <f>SUM(V15:V18)</f>
        <v>0</v>
      </c>
      <c r="W14" s="243">
        <f>SUM(W15:W18)</f>
        <v>1841.9799999999998</v>
      </c>
      <c r="X14" s="243">
        <f>SUM(X15:X18)</f>
        <v>1841.9799999999998</v>
      </c>
      <c r="Y14" s="243">
        <f>SUM(Y15:Y18)</f>
        <v>21330.35</v>
      </c>
      <c r="Z14" s="100"/>
      <c r="AF14" s="65"/>
    </row>
    <row r="15" spans="1:32" s="52" customFormat="1" ht="149.25" customHeight="1" x14ac:dyDescent="0.35">
      <c r="A15" s="46" t="s">
        <v>87</v>
      </c>
      <c r="B15" s="181">
        <v>185</v>
      </c>
      <c r="C15" s="149" t="s">
        <v>109</v>
      </c>
      <c r="D15" s="259" t="s">
        <v>142</v>
      </c>
      <c r="E15" s="218">
        <v>43374</v>
      </c>
      <c r="F15" s="151" t="s">
        <v>93</v>
      </c>
      <c r="G15" s="152">
        <v>15</v>
      </c>
      <c r="H15" s="153">
        <f t="shared" si="1"/>
        <v>512.5333333333333</v>
      </c>
      <c r="I15" s="154">
        <v>7688</v>
      </c>
      <c r="J15" s="155">
        <v>0</v>
      </c>
      <c r="K15" s="156">
        <f t="shared" ref="K15" si="8">SUM(I15:J15)</f>
        <v>7688</v>
      </c>
      <c r="L15" s="157">
        <f>IF(I15/15&lt;=SMG,0,J15/2)</f>
        <v>0</v>
      </c>
      <c r="M15" s="157">
        <f>I15+L15</f>
        <v>7688</v>
      </c>
      <c r="N15" s="157">
        <f>VLOOKUP(M15,Tarifa1,1)</f>
        <v>7641.91</v>
      </c>
      <c r="O15" s="157">
        <f>M15-N15</f>
        <v>46.090000000000146</v>
      </c>
      <c r="P15" s="158">
        <f>VLOOKUP(M15,Tarifa1,3)</f>
        <v>0.21360000000000001</v>
      </c>
      <c r="Q15" s="157">
        <f>O15*P15</f>
        <v>9.8448240000000311</v>
      </c>
      <c r="R15" s="159">
        <f>VLOOKUP(M15,Tarifa1,2)</f>
        <v>809.25</v>
      </c>
      <c r="S15" s="157">
        <f>Q15+R15</f>
        <v>819.09482400000002</v>
      </c>
      <c r="T15" s="157">
        <f>VLOOKUP(M15,Credito1,2)</f>
        <v>0</v>
      </c>
      <c r="U15" s="157">
        <f>ROUND(S15-T15,2)</f>
        <v>819.09</v>
      </c>
      <c r="V15" s="156">
        <f>-IF(U15&gt;0,0,0)</f>
        <v>0</v>
      </c>
      <c r="W15" s="156">
        <f>IF(I15/15&lt;=SMG,0,IF(U15&lt;0,0,U15))</f>
        <v>819.09</v>
      </c>
      <c r="X15" s="156">
        <f>SUM(W15:W15)</f>
        <v>819.09</v>
      </c>
      <c r="Y15" s="156">
        <f>K15+V15-X15</f>
        <v>6868.91</v>
      </c>
      <c r="Z15" s="92"/>
      <c r="AF15" s="65"/>
    </row>
    <row r="16" spans="1:32" s="52" customFormat="1" ht="149.25" customHeight="1" x14ac:dyDescent="0.35">
      <c r="A16" s="46"/>
      <c r="B16" s="148" t="s">
        <v>258</v>
      </c>
      <c r="C16" s="149" t="s">
        <v>109</v>
      </c>
      <c r="D16" s="213" t="s">
        <v>257</v>
      </c>
      <c r="E16" s="220">
        <v>44958</v>
      </c>
      <c r="F16" s="151" t="s">
        <v>136</v>
      </c>
      <c r="G16" s="152">
        <v>15</v>
      </c>
      <c r="H16" s="153">
        <f>I16/G16</f>
        <v>369.36666666666667</v>
      </c>
      <c r="I16" s="154">
        <v>5540.5</v>
      </c>
      <c r="J16" s="155">
        <v>0</v>
      </c>
      <c r="K16" s="156">
        <f>SUM(I16:J16)</f>
        <v>5540.5</v>
      </c>
      <c r="L16" s="157">
        <f>IF(I16/15&lt;=SMG,0,J16/2)</f>
        <v>0</v>
      </c>
      <c r="M16" s="157">
        <f t="shared" ref="M16:M18" si="9">I16+L16</f>
        <v>5540.5</v>
      </c>
      <c r="N16" s="157">
        <f>VLOOKUP(M16,Tarifa1,1)</f>
        <v>5490.76</v>
      </c>
      <c r="O16" s="157">
        <f t="shared" ref="O16:O18" si="10">M16-N16</f>
        <v>49.739999999999782</v>
      </c>
      <c r="P16" s="158">
        <f>VLOOKUP(M16,Tarifa1,3)</f>
        <v>0.16</v>
      </c>
      <c r="Q16" s="157">
        <f t="shared" ref="Q16:Q18" si="11">O16*P16</f>
        <v>7.9583999999999655</v>
      </c>
      <c r="R16" s="159">
        <f>VLOOKUP(M16,Tarifa1,2)</f>
        <v>441</v>
      </c>
      <c r="S16" s="157">
        <f t="shared" ref="S16:S18" si="12">Q16+R16</f>
        <v>448.95839999999998</v>
      </c>
      <c r="T16" s="157">
        <f>VLOOKUP(M16,Credito1,2)</f>
        <v>0</v>
      </c>
      <c r="U16" s="157">
        <f t="shared" ref="U16:U18" si="13">ROUND(S16-T16,2)</f>
        <v>448.96</v>
      </c>
      <c r="V16" s="156">
        <f>-IF(U16&gt;0,0,0)</f>
        <v>0</v>
      </c>
      <c r="W16" s="156">
        <f>IF(I16/15&lt;=SMG,0,IF(U16&lt;0,0,U16))</f>
        <v>448.96</v>
      </c>
      <c r="X16" s="156">
        <f>SUM(W16:W16)</f>
        <v>448.96</v>
      </c>
      <c r="Y16" s="156">
        <f>K16+V16-X16</f>
        <v>5091.54</v>
      </c>
      <c r="Z16" s="92"/>
      <c r="AF16" s="65"/>
    </row>
    <row r="17" spans="1:32" s="52" customFormat="1" ht="149.25" customHeight="1" x14ac:dyDescent="0.35">
      <c r="A17" s="46"/>
      <c r="B17" s="148" t="s">
        <v>170</v>
      </c>
      <c r="C17" s="149" t="s">
        <v>109</v>
      </c>
      <c r="D17" s="260" t="s">
        <v>168</v>
      </c>
      <c r="E17" s="220">
        <v>43617</v>
      </c>
      <c r="F17" s="151" t="s">
        <v>169</v>
      </c>
      <c r="G17" s="152">
        <v>15</v>
      </c>
      <c r="H17" s="153"/>
      <c r="I17" s="154">
        <v>4509</v>
      </c>
      <c r="J17" s="155">
        <v>0</v>
      </c>
      <c r="K17" s="156">
        <f>SUM(I17:J17)</f>
        <v>4509</v>
      </c>
      <c r="L17" s="157">
        <f>IF(I17/15&lt;=SMG,0,J17/2)</f>
        <v>0</v>
      </c>
      <c r="M17" s="157">
        <f t="shared" si="9"/>
        <v>4509</v>
      </c>
      <c r="N17" s="157">
        <f>VLOOKUP(M17,Tarifa1,1)</f>
        <v>3124.36</v>
      </c>
      <c r="O17" s="157">
        <f t="shared" si="10"/>
        <v>1384.6399999999999</v>
      </c>
      <c r="P17" s="158">
        <f>VLOOKUP(M17,Tarifa1,3)</f>
        <v>0.10879999999999999</v>
      </c>
      <c r="Q17" s="157">
        <f t="shared" si="11"/>
        <v>150.64883199999997</v>
      </c>
      <c r="R17" s="159">
        <f>VLOOKUP(M17,Tarifa1,2)</f>
        <v>183.45</v>
      </c>
      <c r="S17" s="157">
        <f t="shared" si="12"/>
        <v>334.09883199999996</v>
      </c>
      <c r="T17" s="157">
        <f>VLOOKUP(M17,Credito1,2)</f>
        <v>195</v>
      </c>
      <c r="U17" s="157">
        <f t="shared" si="13"/>
        <v>139.1</v>
      </c>
      <c r="V17" s="156">
        <f t="shared" ref="V17" si="14">-IF(U17&gt;0,0,0)</f>
        <v>0</v>
      </c>
      <c r="W17" s="156">
        <f>IF(I17/15&lt;=SMG,0,IF(U17&lt;0,0,U17))</f>
        <v>139.1</v>
      </c>
      <c r="X17" s="156">
        <f>SUM(W17:W17)</f>
        <v>139.1</v>
      </c>
      <c r="Y17" s="156">
        <f>K17+V17-X17</f>
        <v>4369.8999999999996</v>
      </c>
      <c r="Z17" s="92"/>
      <c r="AF17" s="65"/>
    </row>
    <row r="18" spans="1:32" s="52" customFormat="1" ht="90.75" customHeight="1" x14ac:dyDescent="0.35">
      <c r="A18" s="46"/>
      <c r="B18" s="148" t="s">
        <v>334</v>
      </c>
      <c r="C18" s="149" t="s">
        <v>109</v>
      </c>
      <c r="D18" s="213" t="s">
        <v>335</v>
      </c>
      <c r="E18" s="220">
        <v>45428</v>
      </c>
      <c r="F18" s="151" t="s">
        <v>336</v>
      </c>
      <c r="G18" s="152">
        <v>15</v>
      </c>
      <c r="H18" s="153"/>
      <c r="I18" s="154">
        <v>5434.83</v>
      </c>
      <c r="J18" s="155">
        <v>0</v>
      </c>
      <c r="K18" s="156">
        <f>SUM(I18:J18)</f>
        <v>5434.83</v>
      </c>
      <c r="L18" s="157">
        <f>IF(I18/15&lt;=SMG,0,J18/2)</f>
        <v>0</v>
      </c>
      <c r="M18" s="157">
        <f t="shared" si="9"/>
        <v>5434.83</v>
      </c>
      <c r="N18" s="157">
        <f>VLOOKUP(M18,Tarifa1,1)</f>
        <v>3124.36</v>
      </c>
      <c r="O18" s="157">
        <f t="shared" si="10"/>
        <v>2310.4699999999998</v>
      </c>
      <c r="P18" s="158">
        <f>VLOOKUP(M18,Tarifa1,3)</f>
        <v>0.10879999999999999</v>
      </c>
      <c r="Q18" s="157">
        <f t="shared" si="11"/>
        <v>251.37913599999996</v>
      </c>
      <c r="R18" s="159">
        <f>VLOOKUP(M18,Tarifa1,2)</f>
        <v>183.45</v>
      </c>
      <c r="S18" s="157">
        <f t="shared" si="12"/>
        <v>434.82913599999995</v>
      </c>
      <c r="T18" s="157">
        <f>VLOOKUP(M18,Credito1,2)</f>
        <v>0</v>
      </c>
      <c r="U18" s="157">
        <f t="shared" si="13"/>
        <v>434.83</v>
      </c>
      <c r="V18" s="156">
        <f>-IF(U18&gt;0,0,0)</f>
        <v>0</v>
      </c>
      <c r="W18" s="156">
        <f>IF(I18/15&lt;=SMG,0,IF(U18&lt;0,0,U18))</f>
        <v>434.83</v>
      </c>
      <c r="X18" s="156">
        <f>SUM(W18:W18)</f>
        <v>434.83</v>
      </c>
      <c r="Y18" s="156">
        <f>K18+V18-X18</f>
        <v>5000</v>
      </c>
      <c r="Z18" s="92"/>
      <c r="AF18" s="65"/>
    </row>
    <row r="19" spans="1:32" s="52" customFormat="1" ht="24" customHeight="1" x14ac:dyDescent="0.3">
      <c r="A19" s="46"/>
      <c r="B19" s="202"/>
      <c r="C19" s="188"/>
      <c r="D19" s="203"/>
      <c r="E19" s="203"/>
      <c r="F19" s="195"/>
      <c r="G19" s="196"/>
      <c r="H19" s="197"/>
      <c r="I19" s="198"/>
      <c r="J19" s="199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93"/>
      <c r="AF19" s="65"/>
    </row>
    <row r="20" spans="1:32" s="52" customFormat="1" ht="24" customHeight="1" x14ac:dyDescent="0.3">
      <c r="A20" s="46"/>
      <c r="B20" s="202"/>
      <c r="C20" s="188"/>
      <c r="D20" s="203"/>
      <c r="E20" s="203"/>
      <c r="F20" s="195"/>
      <c r="G20" s="196"/>
      <c r="H20" s="197"/>
      <c r="I20" s="198"/>
      <c r="J20" s="199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93"/>
      <c r="AF20" s="65"/>
    </row>
    <row r="21" spans="1:32" s="52" customFormat="1" ht="24" customHeight="1" x14ac:dyDescent="0.3">
      <c r="A21" s="46"/>
      <c r="B21" s="202"/>
      <c r="C21" s="188"/>
      <c r="D21" s="203"/>
      <c r="E21" s="203"/>
      <c r="F21" s="195"/>
      <c r="G21" s="196"/>
      <c r="H21" s="197"/>
      <c r="I21" s="198"/>
      <c r="J21" s="199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93"/>
      <c r="AF21" s="65"/>
    </row>
    <row r="22" spans="1:32" s="52" customFormat="1" ht="26.25" customHeight="1" x14ac:dyDescent="0.3">
      <c r="A22" s="46"/>
      <c r="B22" s="294" t="s">
        <v>77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F22" s="65"/>
    </row>
    <row r="23" spans="1:32" s="52" customFormat="1" ht="21.75" customHeight="1" x14ac:dyDescent="0.3">
      <c r="A23" s="46"/>
      <c r="B23" s="294" t="s">
        <v>63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F23" s="65"/>
    </row>
    <row r="24" spans="1:32" s="52" customFormat="1" ht="25.5" customHeight="1" x14ac:dyDescent="0.3">
      <c r="A24" s="46"/>
      <c r="B24" s="328" t="str">
        <f>PRESIDENCIA!A3</f>
        <v>SUELDO  DEL 01 AL 15 DE AGOSTO DE 2024</v>
      </c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F24" s="65"/>
    </row>
    <row r="25" spans="1:32" s="52" customFormat="1" ht="13.5" customHeight="1" x14ac:dyDescent="0.3">
      <c r="A25" s="201"/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F25" s="65"/>
    </row>
    <row r="26" spans="1:32" s="52" customFormat="1" ht="57.75" customHeight="1" x14ac:dyDescent="0.3">
      <c r="A26" s="201"/>
      <c r="B26" s="191" t="s">
        <v>98</v>
      </c>
      <c r="C26" s="191" t="s">
        <v>117</v>
      </c>
      <c r="D26" s="242" t="s">
        <v>253</v>
      </c>
      <c r="E26" s="191" t="s">
        <v>265</v>
      </c>
      <c r="F26" s="242" t="s">
        <v>60</v>
      </c>
      <c r="G26" s="242"/>
      <c r="H26" s="242"/>
      <c r="I26" s="243">
        <f>SUM(I27:I28)</f>
        <v>11193</v>
      </c>
      <c r="J26" s="243">
        <f>SUM(J27:J28)</f>
        <v>0</v>
      </c>
      <c r="K26" s="243">
        <f>SUM(K27:K28)</f>
        <v>11193</v>
      </c>
      <c r="L26" s="243">
        <f t="shared" ref="L26:U26" si="15">SUM(L27)</f>
        <v>0</v>
      </c>
      <c r="M26" s="243">
        <f t="shared" si="15"/>
        <v>7688</v>
      </c>
      <c r="N26" s="243">
        <f t="shared" si="15"/>
        <v>7641.91</v>
      </c>
      <c r="O26" s="243">
        <f t="shared" si="15"/>
        <v>46.090000000000146</v>
      </c>
      <c r="P26" s="243">
        <f t="shared" si="15"/>
        <v>0.21360000000000001</v>
      </c>
      <c r="Q26" s="243">
        <f t="shared" si="15"/>
        <v>9.8448240000000311</v>
      </c>
      <c r="R26" s="243">
        <f t="shared" si="15"/>
        <v>809.25</v>
      </c>
      <c r="S26" s="243">
        <f t="shared" si="15"/>
        <v>819.09482400000002</v>
      </c>
      <c r="T26" s="243">
        <f t="shared" si="15"/>
        <v>0</v>
      </c>
      <c r="U26" s="243">
        <f t="shared" si="15"/>
        <v>819.09</v>
      </c>
      <c r="V26" s="243">
        <f>SUM(V27:V28)</f>
        <v>0</v>
      </c>
      <c r="W26" s="243">
        <f>SUM(W27:W28)</f>
        <v>819.09</v>
      </c>
      <c r="X26" s="243">
        <f>SUM(X27:X28)</f>
        <v>819.09</v>
      </c>
      <c r="Y26" s="243">
        <f>SUM(Y27:Y28)</f>
        <v>10373.91</v>
      </c>
      <c r="Z26" s="100"/>
      <c r="AA26" s="192"/>
      <c r="AF26" s="65"/>
    </row>
    <row r="27" spans="1:32" s="52" customFormat="1" ht="134.25" customHeight="1" x14ac:dyDescent="0.35">
      <c r="A27" s="201"/>
      <c r="B27" s="148" t="s">
        <v>250</v>
      </c>
      <c r="C27" s="149" t="s">
        <v>109</v>
      </c>
      <c r="D27" s="213" t="s">
        <v>251</v>
      </c>
      <c r="E27" s="220">
        <v>44805</v>
      </c>
      <c r="F27" s="151" t="s">
        <v>252</v>
      </c>
      <c r="G27" s="152"/>
      <c r="H27" s="153"/>
      <c r="I27" s="154">
        <v>7688</v>
      </c>
      <c r="J27" s="155">
        <v>0</v>
      </c>
      <c r="K27" s="156">
        <f t="shared" ref="K27" si="16">SUM(I27:J27)</f>
        <v>7688</v>
      </c>
      <c r="L27" s="157">
        <f t="shared" ref="L27:L28" si="17">IF(I27/15&lt;=SMG,0,J27/2)</f>
        <v>0</v>
      </c>
      <c r="M27" s="157">
        <f t="shared" ref="M27:M28" si="18">I27+L27</f>
        <v>7688</v>
      </c>
      <c r="N27" s="157">
        <f t="shared" ref="N27:N28" si="19">VLOOKUP(M27,Tarifa1,1)</f>
        <v>7641.91</v>
      </c>
      <c r="O27" s="157">
        <f t="shared" ref="O27:O28" si="20">M27-N27</f>
        <v>46.090000000000146</v>
      </c>
      <c r="P27" s="158">
        <f t="shared" ref="P27:P28" si="21">VLOOKUP(M27,Tarifa1,3)</f>
        <v>0.21360000000000001</v>
      </c>
      <c r="Q27" s="157">
        <f t="shared" ref="Q27:Q28" si="22">O27*P27</f>
        <v>9.8448240000000311</v>
      </c>
      <c r="R27" s="159">
        <f t="shared" ref="R27:R28" si="23">VLOOKUP(M27,Tarifa1,2)</f>
        <v>809.25</v>
      </c>
      <c r="S27" s="157">
        <f t="shared" ref="S27:S28" si="24">Q27+R27</f>
        <v>819.09482400000002</v>
      </c>
      <c r="T27" s="157">
        <f t="shared" ref="T27:T28" si="25">VLOOKUP(M27,Credito1,2)</f>
        <v>0</v>
      </c>
      <c r="U27" s="157">
        <f t="shared" ref="U27:U28" si="26">ROUND(S27-T27,2)</f>
        <v>819.09</v>
      </c>
      <c r="V27" s="156">
        <f>-IF(U27&gt;0,0,0)</f>
        <v>0</v>
      </c>
      <c r="W27" s="156">
        <f t="shared" ref="W27:W28" si="27">IF(I27/15&lt;=SMG,0,IF(U27&lt;0,0,U27))</f>
        <v>819.09</v>
      </c>
      <c r="X27" s="156">
        <f>SUM(W27:W27)</f>
        <v>819.09</v>
      </c>
      <c r="Y27" s="156">
        <f>K27+V27-X27</f>
        <v>6868.91</v>
      </c>
      <c r="Z27" s="92"/>
      <c r="AA27" s="192"/>
      <c r="AF27" s="65"/>
    </row>
    <row r="28" spans="1:32" s="52" customFormat="1" ht="134.25" customHeight="1" x14ac:dyDescent="0.35">
      <c r="A28" s="201"/>
      <c r="B28" s="148" t="s">
        <v>296</v>
      </c>
      <c r="C28" s="149" t="s">
        <v>109</v>
      </c>
      <c r="D28" s="211" t="s">
        <v>297</v>
      </c>
      <c r="E28" s="216">
        <v>45154</v>
      </c>
      <c r="F28" s="151" t="s">
        <v>298</v>
      </c>
      <c r="G28" s="152"/>
      <c r="H28" s="153"/>
      <c r="I28" s="154">
        <v>3505</v>
      </c>
      <c r="J28" s="155">
        <v>0</v>
      </c>
      <c r="K28" s="156">
        <f t="shared" ref="K28" si="28">SUM(I28:J28)</f>
        <v>3505</v>
      </c>
      <c r="L28" s="157">
        <f t="shared" si="17"/>
        <v>0</v>
      </c>
      <c r="M28" s="157">
        <f t="shared" si="18"/>
        <v>3505</v>
      </c>
      <c r="N28" s="157">
        <f t="shared" si="19"/>
        <v>3124.36</v>
      </c>
      <c r="O28" s="157">
        <f t="shared" si="20"/>
        <v>380.63999999999987</v>
      </c>
      <c r="P28" s="158">
        <f t="shared" si="21"/>
        <v>0.10879999999999999</v>
      </c>
      <c r="Q28" s="157">
        <f t="shared" si="22"/>
        <v>41.413631999999986</v>
      </c>
      <c r="R28" s="159">
        <f t="shared" si="23"/>
        <v>183.45</v>
      </c>
      <c r="S28" s="157">
        <f t="shared" si="24"/>
        <v>224.86363199999997</v>
      </c>
      <c r="T28" s="157">
        <f t="shared" si="25"/>
        <v>195</v>
      </c>
      <c r="U28" s="157">
        <f t="shared" si="26"/>
        <v>29.86</v>
      </c>
      <c r="V28" s="156">
        <f>-IF(U28&gt;0,0,0)</f>
        <v>0</v>
      </c>
      <c r="W28" s="156">
        <f t="shared" si="27"/>
        <v>0</v>
      </c>
      <c r="X28" s="156">
        <f>SUM(W28:W28)</f>
        <v>0</v>
      </c>
      <c r="Y28" s="156">
        <f>K28+V28-X28</f>
        <v>3505</v>
      </c>
      <c r="Z28" s="92"/>
      <c r="AA28" s="192"/>
      <c r="AF28" s="65"/>
    </row>
    <row r="29" spans="1:32" s="52" customFormat="1" ht="60.75" customHeight="1" x14ac:dyDescent="0.3">
      <c r="A29" s="201"/>
      <c r="B29" s="191" t="s">
        <v>98</v>
      </c>
      <c r="C29" s="191" t="s">
        <v>117</v>
      </c>
      <c r="D29" s="242" t="s">
        <v>285</v>
      </c>
      <c r="E29" s="191" t="s">
        <v>265</v>
      </c>
      <c r="F29" s="242" t="s">
        <v>60</v>
      </c>
      <c r="G29" s="242"/>
      <c r="H29" s="242"/>
      <c r="I29" s="243">
        <f>I30+I31+I32</f>
        <v>19974.5</v>
      </c>
      <c r="J29" s="243">
        <f t="shared" ref="J29:Y29" si="29">J30+J31+J32</f>
        <v>0</v>
      </c>
      <c r="K29" s="243">
        <f t="shared" si="29"/>
        <v>19974.5</v>
      </c>
      <c r="L29" s="243">
        <f t="shared" si="29"/>
        <v>0</v>
      </c>
      <c r="M29" s="243">
        <f t="shared" si="29"/>
        <v>19974.5</v>
      </c>
      <c r="N29" s="243">
        <f t="shared" si="29"/>
        <v>17149.080000000002</v>
      </c>
      <c r="O29" s="243">
        <f t="shared" si="29"/>
        <v>2825.4199999999996</v>
      </c>
      <c r="P29" s="243">
        <f t="shared" si="29"/>
        <v>0.50160000000000005</v>
      </c>
      <c r="Q29" s="243">
        <f t="shared" si="29"/>
        <v>482.24650399999996</v>
      </c>
      <c r="R29" s="243">
        <f t="shared" si="29"/>
        <v>1576.3500000000001</v>
      </c>
      <c r="S29" s="243">
        <f t="shared" si="29"/>
        <v>2058.5965040000001</v>
      </c>
      <c r="T29" s="243">
        <f t="shared" si="29"/>
        <v>195</v>
      </c>
      <c r="U29" s="243">
        <f t="shared" si="29"/>
        <v>1863.6</v>
      </c>
      <c r="V29" s="243">
        <f t="shared" si="29"/>
        <v>0</v>
      </c>
      <c r="W29" s="243">
        <f t="shared" si="29"/>
        <v>1863.6</v>
      </c>
      <c r="X29" s="243">
        <f t="shared" si="29"/>
        <v>1863.6</v>
      </c>
      <c r="Y29" s="243">
        <f t="shared" si="29"/>
        <v>18110.900000000001</v>
      </c>
      <c r="Z29" s="100"/>
      <c r="AA29" s="192"/>
      <c r="AF29" s="65"/>
    </row>
    <row r="30" spans="1:32" s="52" customFormat="1" ht="134.25" customHeight="1" x14ac:dyDescent="0.35">
      <c r="A30" s="201"/>
      <c r="B30" s="148" t="s">
        <v>299</v>
      </c>
      <c r="C30" s="149" t="s">
        <v>109</v>
      </c>
      <c r="D30" s="213" t="s">
        <v>300</v>
      </c>
      <c r="E30" s="220">
        <v>45170</v>
      </c>
      <c r="F30" s="270" t="s">
        <v>304</v>
      </c>
      <c r="G30" s="152"/>
      <c r="H30" s="153"/>
      <c r="I30" s="154">
        <v>7223.5</v>
      </c>
      <c r="J30" s="155">
        <v>0</v>
      </c>
      <c r="K30" s="156">
        <f>SUM(I30:J30)</f>
        <v>7223.5</v>
      </c>
      <c r="L30" s="157">
        <f>IF(I30/15&lt;=SMG,0,J30/2)</f>
        <v>0</v>
      </c>
      <c r="M30" s="157">
        <f>I30+L30</f>
        <v>7223.5</v>
      </c>
      <c r="N30" s="157">
        <f>VLOOKUP(M30,Tarifa1,1)</f>
        <v>6382.81</v>
      </c>
      <c r="O30" s="157">
        <f>M30-N30</f>
        <v>840.6899999999996</v>
      </c>
      <c r="P30" s="158">
        <f>VLOOKUP(M30,Tarifa1,3)</f>
        <v>0.1792</v>
      </c>
      <c r="Q30" s="157">
        <f>O30*P30</f>
        <v>150.65164799999994</v>
      </c>
      <c r="R30" s="159">
        <f>VLOOKUP(M30,Tarifa1,2)</f>
        <v>583.65</v>
      </c>
      <c r="S30" s="157">
        <f>Q30+R30</f>
        <v>734.30164799999989</v>
      </c>
      <c r="T30" s="157">
        <f>VLOOKUP(M30,Credito1,2)</f>
        <v>0</v>
      </c>
      <c r="U30" s="157">
        <f>ROUND(S30-T30,2)</f>
        <v>734.3</v>
      </c>
      <c r="V30" s="156">
        <f>-IF(U30&gt;0,0,0)</f>
        <v>0</v>
      </c>
      <c r="W30" s="156">
        <f>IF(I30/15&lt;=SMG,0,IF(U30&lt;0,0,U30))</f>
        <v>734.3</v>
      </c>
      <c r="X30" s="156">
        <f>SUM(W30:W30)</f>
        <v>734.3</v>
      </c>
      <c r="Y30" s="156">
        <f>K30+V30-X30</f>
        <v>6489.2</v>
      </c>
      <c r="Z30" s="92"/>
      <c r="AA30" s="192"/>
      <c r="AF30" s="65"/>
    </row>
    <row r="31" spans="1:32" s="52" customFormat="1" ht="134.25" customHeight="1" x14ac:dyDescent="0.35">
      <c r="A31" s="201"/>
      <c r="B31" s="148" t="s">
        <v>293</v>
      </c>
      <c r="C31" s="149" t="s">
        <v>109</v>
      </c>
      <c r="D31" s="213" t="s">
        <v>286</v>
      </c>
      <c r="E31" s="220">
        <v>45108</v>
      </c>
      <c r="F31" s="270" t="s">
        <v>287</v>
      </c>
      <c r="G31" s="152"/>
      <c r="H31" s="153"/>
      <c r="I31" s="154">
        <v>8745.5</v>
      </c>
      <c r="J31" s="155">
        <v>0</v>
      </c>
      <c r="K31" s="156">
        <f t="shared" ref="K31" si="30">SUM(I31:J31)</f>
        <v>8745.5</v>
      </c>
      <c r="L31" s="157">
        <f t="shared" ref="L31" si="31">IF(I31/15&lt;=SMG,0,J31/2)</f>
        <v>0</v>
      </c>
      <c r="M31" s="157">
        <f t="shared" ref="M31:M32" si="32">I31+L31</f>
        <v>8745.5</v>
      </c>
      <c r="N31" s="157">
        <f t="shared" ref="N31" si="33">VLOOKUP(M31,Tarifa1,1)</f>
        <v>7641.91</v>
      </c>
      <c r="O31" s="157">
        <f t="shared" ref="O31:O32" si="34">M31-N31</f>
        <v>1103.5900000000001</v>
      </c>
      <c r="P31" s="158">
        <f t="shared" ref="P31" si="35">VLOOKUP(M31,Tarifa1,3)</f>
        <v>0.21360000000000001</v>
      </c>
      <c r="Q31" s="157">
        <f t="shared" ref="Q31:Q32" si="36">O31*P31</f>
        <v>235.72682400000005</v>
      </c>
      <c r="R31" s="159">
        <f t="shared" ref="R31" si="37">VLOOKUP(M31,Tarifa1,2)</f>
        <v>809.25</v>
      </c>
      <c r="S31" s="157">
        <f t="shared" ref="S31:S32" si="38">Q31+R31</f>
        <v>1044.9768240000001</v>
      </c>
      <c r="T31" s="157">
        <f t="shared" ref="T31" si="39">VLOOKUP(M31,Credito1,2)</f>
        <v>0</v>
      </c>
      <c r="U31" s="157">
        <f t="shared" ref="U31:U32" si="40">ROUND(S31-T31,2)</f>
        <v>1044.98</v>
      </c>
      <c r="V31" s="156">
        <f>-IF(U31&gt;0,0,0)</f>
        <v>0</v>
      </c>
      <c r="W31" s="156">
        <f t="shared" ref="W31" si="41">IF(I31/15&lt;=SMG,0,IF(U31&lt;0,0,U31))</f>
        <v>1044.98</v>
      </c>
      <c r="X31" s="156">
        <f>SUM(W31:W31)</f>
        <v>1044.98</v>
      </c>
      <c r="Y31" s="156">
        <f>K31+V31-X31</f>
        <v>7700.52</v>
      </c>
      <c r="Z31" s="92"/>
      <c r="AA31" s="192"/>
      <c r="AF31" s="65"/>
    </row>
    <row r="32" spans="1:32" s="52" customFormat="1" ht="134.25" customHeight="1" x14ac:dyDescent="0.35">
      <c r="A32" s="201"/>
      <c r="B32" s="148" t="s">
        <v>305</v>
      </c>
      <c r="C32" s="149" t="s">
        <v>109</v>
      </c>
      <c r="D32" s="213" t="s">
        <v>307</v>
      </c>
      <c r="E32" s="220">
        <v>45200</v>
      </c>
      <c r="F32" s="270" t="s">
        <v>308</v>
      </c>
      <c r="G32" s="152"/>
      <c r="H32" s="153"/>
      <c r="I32" s="154">
        <v>4005.5</v>
      </c>
      <c r="J32" s="155">
        <v>0</v>
      </c>
      <c r="K32" s="156">
        <f>SUM(I32:J32)</f>
        <v>4005.5</v>
      </c>
      <c r="L32" s="157">
        <f>IF(I32/15&lt;=SMG,0,J32/2)</f>
        <v>0</v>
      </c>
      <c r="M32" s="157">
        <f t="shared" si="32"/>
        <v>4005.5</v>
      </c>
      <c r="N32" s="157">
        <f>VLOOKUP(M32,Tarifa1,1)</f>
        <v>3124.36</v>
      </c>
      <c r="O32" s="157">
        <f t="shared" si="34"/>
        <v>881.13999999999987</v>
      </c>
      <c r="P32" s="158">
        <f>VLOOKUP(M32,Tarifa1,3)</f>
        <v>0.10879999999999999</v>
      </c>
      <c r="Q32" s="157">
        <f t="shared" si="36"/>
        <v>95.868031999999985</v>
      </c>
      <c r="R32" s="159">
        <f>VLOOKUP(M32,Tarifa1,2)</f>
        <v>183.45</v>
      </c>
      <c r="S32" s="157">
        <f t="shared" si="38"/>
        <v>279.31803199999996</v>
      </c>
      <c r="T32" s="157">
        <f>VLOOKUP(M32,Credito1,2)</f>
        <v>195</v>
      </c>
      <c r="U32" s="157">
        <f t="shared" si="40"/>
        <v>84.32</v>
      </c>
      <c r="V32" s="156">
        <f>-IF(U32&gt;0,0,0)</f>
        <v>0</v>
      </c>
      <c r="W32" s="156">
        <f>IF(I32/15&lt;=SMG,0,IF(U32&lt;0,0,U32))</f>
        <v>84.32</v>
      </c>
      <c r="X32" s="156">
        <f>SUM(W32:W32)</f>
        <v>84.32</v>
      </c>
      <c r="Y32" s="156">
        <f>K32+V32-X32</f>
        <v>3921.18</v>
      </c>
      <c r="Z32" s="92"/>
      <c r="AA32" s="192"/>
      <c r="AF32" s="65"/>
    </row>
    <row r="33" spans="1:32" s="112" customFormat="1" ht="71.25" customHeight="1" x14ac:dyDescent="0.3">
      <c r="A33" s="149"/>
      <c r="B33" s="191" t="s">
        <v>98</v>
      </c>
      <c r="C33" s="191" t="s">
        <v>117</v>
      </c>
      <c r="D33" s="191" t="s">
        <v>122</v>
      </c>
      <c r="E33" s="191" t="s">
        <v>265</v>
      </c>
      <c r="F33" s="242" t="s">
        <v>60</v>
      </c>
      <c r="G33" s="242"/>
      <c r="H33" s="242"/>
      <c r="I33" s="243">
        <f>SUM(I34)</f>
        <v>5598</v>
      </c>
      <c r="J33" s="243">
        <f>SUM(J34)</f>
        <v>0</v>
      </c>
      <c r="K33" s="243">
        <f>SUM(K34)</f>
        <v>5598</v>
      </c>
      <c r="L33" s="242"/>
      <c r="M33" s="242"/>
      <c r="N33" s="242"/>
      <c r="O33" s="242"/>
      <c r="P33" s="242"/>
      <c r="Q33" s="242"/>
      <c r="R33" s="245"/>
      <c r="S33" s="242"/>
      <c r="T33" s="242"/>
      <c r="U33" s="242"/>
      <c r="V33" s="243">
        <f>SUM(V34)</f>
        <v>0</v>
      </c>
      <c r="W33" s="243">
        <f>SUM(W34)</f>
        <v>458.16</v>
      </c>
      <c r="X33" s="243">
        <f>SUM(X34)</f>
        <v>458.16</v>
      </c>
      <c r="Y33" s="243">
        <f>SUM(Y34)</f>
        <v>5139.84</v>
      </c>
      <c r="Z33" s="246"/>
      <c r="AF33" s="247"/>
    </row>
    <row r="34" spans="1:32" s="112" customFormat="1" ht="134.25" customHeight="1" x14ac:dyDescent="0.35">
      <c r="A34" s="149" t="s">
        <v>88</v>
      </c>
      <c r="B34" s="148" t="s">
        <v>148</v>
      </c>
      <c r="C34" s="149" t="s">
        <v>109</v>
      </c>
      <c r="D34" s="211" t="s">
        <v>189</v>
      </c>
      <c r="E34" s="216">
        <v>43374</v>
      </c>
      <c r="F34" s="151" t="s">
        <v>97</v>
      </c>
      <c r="G34" s="152">
        <v>15</v>
      </c>
      <c r="H34" s="153">
        <f t="shared" si="1"/>
        <v>373.2</v>
      </c>
      <c r="I34" s="154">
        <v>5598</v>
      </c>
      <c r="J34" s="155">
        <v>0</v>
      </c>
      <c r="K34" s="156">
        <f>SUM(I34:J34)</f>
        <v>5598</v>
      </c>
      <c r="L34" s="157">
        <f>IF(I34/15&lt;=SMG,0,J34/2)</f>
        <v>0</v>
      </c>
      <c r="M34" s="157">
        <f t="shared" ref="M34" si="42">I34+L34</f>
        <v>5598</v>
      </c>
      <c r="N34" s="157">
        <f>VLOOKUP(M34,Tarifa1,1)</f>
        <v>5490.76</v>
      </c>
      <c r="O34" s="157">
        <f t="shared" ref="O34" si="43">M34-N34</f>
        <v>107.23999999999978</v>
      </c>
      <c r="P34" s="158">
        <f>VLOOKUP(M34,Tarifa1,3)</f>
        <v>0.16</v>
      </c>
      <c r="Q34" s="157">
        <f t="shared" ref="Q34" si="44">O34*P34</f>
        <v>17.158399999999965</v>
      </c>
      <c r="R34" s="159">
        <f>VLOOKUP(M34,Tarifa1,2)</f>
        <v>441</v>
      </c>
      <c r="S34" s="157">
        <f t="shared" ref="S34" si="45">Q34+R34</f>
        <v>458.15839999999997</v>
      </c>
      <c r="T34" s="157">
        <f>VLOOKUP(M34,Credito1,2)</f>
        <v>0</v>
      </c>
      <c r="U34" s="157">
        <f t="shared" ref="U34" si="46">ROUND(S34-T34,2)</f>
        <v>458.16</v>
      </c>
      <c r="V34" s="156">
        <f>-IF(U34&gt;0,0,0)</f>
        <v>0</v>
      </c>
      <c r="W34" s="156">
        <f>IF(I34/15&lt;=SMG,0,IF(U34&lt;0,0,U34))</f>
        <v>458.16</v>
      </c>
      <c r="X34" s="156">
        <f>SUM(W34:W34)</f>
        <v>458.16</v>
      </c>
      <c r="Y34" s="156">
        <f>K34+V34-X34</f>
        <v>5139.84</v>
      </c>
      <c r="Z34" s="111"/>
      <c r="AF34" s="247"/>
    </row>
    <row r="35" spans="1:32" s="112" customFormat="1" ht="57.75" customHeight="1" x14ac:dyDescent="0.3">
      <c r="A35" s="223"/>
      <c r="B35" s="191" t="s">
        <v>98</v>
      </c>
      <c r="C35" s="191" t="s">
        <v>117</v>
      </c>
      <c r="D35" s="242" t="s">
        <v>137</v>
      </c>
      <c r="E35" s="191" t="s">
        <v>265</v>
      </c>
      <c r="F35" s="242" t="s">
        <v>60</v>
      </c>
      <c r="G35" s="242"/>
      <c r="H35" s="242"/>
      <c r="I35" s="243">
        <f>SUM(I36)</f>
        <v>7223.5</v>
      </c>
      <c r="J35" s="243">
        <f>SUM(J36)</f>
        <v>0</v>
      </c>
      <c r="K35" s="243">
        <f>SUM(K36)</f>
        <v>7223.5</v>
      </c>
      <c r="L35" s="242"/>
      <c r="M35" s="242"/>
      <c r="N35" s="242"/>
      <c r="O35" s="242"/>
      <c r="P35" s="242"/>
      <c r="Q35" s="242"/>
      <c r="R35" s="245"/>
      <c r="S35" s="242"/>
      <c r="T35" s="242"/>
      <c r="U35" s="242"/>
      <c r="V35" s="243">
        <f>SUM(V36)</f>
        <v>0</v>
      </c>
      <c r="W35" s="243">
        <f>SUM(W36)</f>
        <v>734.3</v>
      </c>
      <c r="X35" s="243">
        <f>SUM(X36)</f>
        <v>734.3</v>
      </c>
      <c r="Y35" s="243">
        <f>SUM(Y36)</f>
        <v>6489.2</v>
      </c>
      <c r="Z35" s="246"/>
    </row>
    <row r="36" spans="1:32" s="112" customFormat="1" ht="133.5" customHeight="1" x14ac:dyDescent="0.35">
      <c r="A36" s="223"/>
      <c r="B36" s="148" t="s">
        <v>147</v>
      </c>
      <c r="C36" s="149" t="s">
        <v>109</v>
      </c>
      <c r="D36" s="211" t="s">
        <v>139</v>
      </c>
      <c r="E36" s="220">
        <v>43101</v>
      </c>
      <c r="F36" s="151" t="s">
        <v>140</v>
      </c>
      <c r="G36" s="152">
        <v>15</v>
      </c>
      <c r="H36" s="153">
        <f>I36/G36</f>
        <v>481.56666666666666</v>
      </c>
      <c r="I36" s="154">
        <v>7223.5</v>
      </c>
      <c r="J36" s="155">
        <v>0</v>
      </c>
      <c r="K36" s="156">
        <f>SUM(I36:J36)</f>
        <v>7223.5</v>
      </c>
      <c r="L36" s="157">
        <f>IF(I36/15&lt;=SMG,0,J36/2)</f>
        <v>0</v>
      </c>
      <c r="M36" s="157">
        <f t="shared" ref="M36" si="47">I36+L36</f>
        <v>7223.5</v>
      </c>
      <c r="N36" s="157">
        <f>VLOOKUP(M36,Tarifa1,1)</f>
        <v>6382.81</v>
      </c>
      <c r="O36" s="157">
        <f t="shared" ref="O36" si="48">M36-N36</f>
        <v>840.6899999999996</v>
      </c>
      <c r="P36" s="158">
        <f>VLOOKUP(M36,Tarifa1,3)</f>
        <v>0.1792</v>
      </c>
      <c r="Q36" s="157">
        <f t="shared" ref="Q36" si="49">O36*P36</f>
        <v>150.65164799999994</v>
      </c>
      <c r="R36" s="159">
        <f>VLOOKUP(M36,Tarifa1,2)</f>
        <v>583.65</v>
      </c>
      <c r="S36" s="157">
        <f t="shared" ref="S36" si="50">Q36+R36</f>
        <v>734.30164799999989</v>
      </c>
      <c r="T36" s="157">
        <f>VLOOKUP(M36,Credito1,2)</f>
        <v>0</v>
      </c>
      <c r="U36" s="157">
        <f t="shared" ref="U36" si="51">ROUND(S36-T36,2)</f>
        <v>734.3</v>
      </c>
      <c r="V36" s="156">
        <f>-IF(U36&gt;0,0,0)</f>
        <v>0</v>
      </c>
      <c r="W36" s="156">
        <f>IF(I36/15&lt;=SMG,0,IF(U36&lt;0,0,U36))</f>
        <v>734.3</v>
      </c>
      <c r="X36" s="156">
        <f>SUM(W36:W36)</f>
        <v>734.3</v>
      </c>
      <c r="Y36" s="156">
        <f>K36+V36-X36</f>
        <v>6489.2</v>
      </c>
      <c r="Z36" s="111"/>
    </row>
    <row r="37" spans="1:32" s="112" customFormat="1" ht="17.399999999999999" x14ac:dyDescent="0.3">
      <c r="A37" s="223"/>
      <c r="B37" s="223"/>
      <c r="C37" s="223"/>
      <c r="D37" s="223"/>
      <c r="E37" s="223"/>
      <c r="F37" s="223"/>
      <c r="G37" s="223"/>
      <c r="H37" s="223"/>
      <c r="I37" s="248"/>
      <c r="J37" s="248"/>
      <c r="K37" s="248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111"/>
    </row>
    <row r="38" spans="1:32" s="112" customFormat="1" ht="39" customHeight="1" x14ac:dyDescent="0.3">
      <c r="A38" s="324" t="s">
        <v>44</v>
      </c>
      <c r="B38" s="324"/>
      <c r="C38" s="324"/>
      <c r="D38" s="324"/>
      <c r="E38" s="324"/>
      <c r="F38" s="324"/>
      <c r="G38" s="324"/>
      <c r="H38" s="324"/>
      <c r="I38" s="182">
        <f>SUM(I8+I11+I14+I26+I29+I33+I35)</f>
        <v>91826.16</v>
      </c>
      <c r="J38" s="182">
        <f>SUM(J8+J11+J14+J26+J29+J33+J35)</f>
        <v>0</v>
      </c>
      <c r="K38" s="182">
        <f>SUM(K8+K11+K14+K26+K29+K33+K35)</f>
        <v>91826.16</v>
      </c>
      <c r="L38" s="183">
        <f t="shared" ref="L38:U38" si="52">SUM(L11:L37)</f>
        <v>0</v>
      </c>
      <c r="M38" s="183">
        <f t="shared" si="52"/>
        <v>107306.66</v>
      </c>
      <c r="N38" s="183">
        <f t="shared" si="52"/>
        <v>93468.47</v>
      </c>
      <c r="O38" s="183">
        <f t="shared" si="52"/>
        <v>13838.189999999999</v>
      </c>
      <c r="P38" s="183">
        <f t="shared" si="52"/>
        <v>2.7576000000000001</v>
      </c>
      <c r="Q38" s="183">
        <f t="shared" si="52"/>
        <v>1983.818712</v>
      </c>
      <c r="R38" s="183">
        <f t="shared" si="52"/>
        <v>8363.5499999999993</v>
      </c>
      <c r="S38" s="183">
        <f t="shared" si="52"/>
        <v>10347.368712</v>
      </c>
      <c r="T38" s="183">
        <f t="shared" si="52"/>
        <v>780</v>
      </c>
      <c r="U38" s="183">
        <f t="shared" si="52"/>
        <v>9567.3599999999988</v>
      </c>
      <c r="V38" s="182">
        <f>SUM(V8+V11+V14+V26+V29+V33+V35)</f>
        <v>0</v>
      </c>
      <c r="W38" s="182">
        <f>SUM(W8+W11+W14+W26+W29+W33+W35)</f>
        <v>7972.11</v>
      </c>
      <c r="X38" s="182">
        <f>SUM(X8+X11+X14+X26+X29+X33+X35)</f>
        <v>7972.11</v>
      </c>
      <c r="Y38" s="182">
        <f>SUM(Y8+Y11+Y14+Y26+Y29+Y33+Y35)</f>
        <v>83854.05</v>
      </c>
      <c r="Z38" s="111"/>
    </row>
    <row r="39" spans="1:32" s="52" customFormat="1" ht="11.4" x14ac:dyDescent="0.2"/>
    <row r="40" spans="1:32" s="52" customFormat="1" ht="11.4" x14ac:dyDescent="0.2"/>
    <row r="41" spans="1:32" s="52" customFormat="1" ht="11.4" x14ac:dyDescent="0.2"/>
  </sheetData>
  <mergeCells count="11">
    <mergeCell ref="A38:H38"/>
    <mergeCell ref="A1:Z1"/>
    <mergeCell ref="A2:Z2"/>
    <mergeCell ref="A3:Z3"/>
    <mergeCell ref="I5:K5"/>
    <mergeCell ref="N5:S5"/>
    <mergeCell ref="W5:X5"/>
    <mergeCell ref="C5:C7"/>
    <mergeCell ref="B22:AA22"/>
    <mergeCell ref="B23:AA23"/>
    <mergeCell ref="B24:AA24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3"/>
  </dataValidations>
  <pageMargins left="0.27559055118110237" right="0.19685039370078741" top="0.47244094488188981" bottom="0.15748031496062992" header="0.31496062992125984" footer="0.31496062992125984"/>
  <pageSetup scale="3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B12" zoomScale="57" zoomScaleNormal="57" workbookViewId="0">
      <selection activeCell="B20" sqref="A20:XFD25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8.5546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304" t="s">
        <v>77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tr">
        <f>PRESIDENCIA!A3</f>
        <v>SUELDO  DEL 01 AL 15 DE AGOSTO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5" t="s">
        <v>1</v>
      </c>
      <c r="J6" s="306"/>
      <c r="K6" s="307"/>
      <c r="L6" s="24" t="s">
        <v>25</v>
      </c>
      <c r="M6" s="25"/>
      <c r="N6" s="308" t="s">
        <v>8</v>
      </c>
      <c r="O6" s="309"/>
      <c r="P6" s="309"/>
      <c r="Q6" s="309"/>
      <c r="R6" s="309"/>
      <c r="S6" s="310"/>
      <c r="T6" s="24" t="s">
        <v>29</v>
      </c>
      <c r="U6" s="24" t="s">
        <v>9</v>
      </c>
      <c r="V6" s="23" t="s">
        <v>52</v>
      </c>
      <c r="W6" s="311" t="s">
        <v>2</v>
      </c>
      <c r="X6" s="312"/>
      <c r="Y6" s="23" t="s">
        <v>0</v>
      </c>
      <c r="Z6" s="34"/>
    </row>
    <row r="7" spans="1:26" ht="21" x14ac:dyDescent="0.25">
      <c r="A7" s="26" t="s">
        <v>20</v>
      </c>
      <c r="B7" s="45" t="s">
        <v>98</v>
      </c>
      <c r="C7" s="45" t="s">
        <v>110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256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3"/>
      <c r="B9" s="133"/>
      <c r="C9" s="133"/>
      <c r="D9" s="132" t="s">
        <v>107</v>
      </c>
      <c r="E9" s="131" t="s">
        <v>265</v>
      </c>
      <c r="F9" s="133" t="s">
        <v>60</v>
      </c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4"/>
      <c r="V9" s="133"/>
      <c r="W9" s="133"/>
      <c r="X9" s="133"/>
      <c r="Y9" s="133"/>
      <c r="Z9" s="102"/>
    </row>
    <row r="10" spans="1:26" s="4" customFormat="1" ht="131.25" customHeight="1" x14ac:dyDescent="0.35">
      <c r="A10" s="110" t="s">
        <v>82</v>
      </c>
      <c r="B10" s="149" t="s">
        <v>105</v>
      </c>
      <c r="C10" s="149" t="s">
        <v>109</v>
      </c>
      <c r="D10" s="211" t="s">
        <v>96</v>
      </c>
      <c r="E10" s="214">
        <v>42278</v>
      </c>
      <c r="F10" s="151" t="s">
        <v>191</v>
      </c>
      <c r="G10" s="152">
        <v>15</v>
      </c>
      <c r="H10" s="153">
        <f>I10/G10</f>
        <v>1176.7</v>
      </c>
      <c r="I10" s="154">
        <v>17650.5</v>
      </c>
      <c r="J10" s="155">
        <v>0</v>
      </c>
      <c r="K10" s="156">
        <f>SUM(I10:J10)</f>
        <v>17650.5</v>
      </c>
      <c r="L10" s="157">
        <f>IF(I10/15&lt;=SMG,0,J10/2)</f>
        <v>0</v>
      </c>
      <c r="M10" s="157">
        <f>I10+L10</f>
        <v>17650.5</v>
      </c>
      <c r="N10" s="157">
        <f>VLOOKUP(M10,Tarifa1,1)</f>
        <v>15412.81</v>
      </c>
      <c r="O10" s="157">
        <f>M10-N10</f>
        <v>2237.6900000000005</v>
      </c>
      <c r="P10" s="158">
        <f>VLOOKUP(M10,Tarifa1,3)</f>
        <v>0.23519999999999999</v>
      </c>
      <c r="Q10" s="157">
        <f>O10*P10</f>
        <v>526.30468800000006</v>
      </c>
      <c r="R10" s="159">
        <f>VLOOKUP(M10,Tarifa1,2)</f>
        <v>2469.15</v>
      </c>
      <c r="S10" s="157">
        <f>Q10+R10</f>
        <v>2995.4546880000003</v>
      </c>
      <c r="T10" s="157">
        <f>VLOOKUP(M10,Credito1,2)</f>
        <v>0</v>
      </c>
      <c r="U10" s="157">
        <f>ROUND(S10-T10,2)</f>
        <v>2995.45</v>
      </c>
      <c r="V10" s="156">
        <f>-IF(U10&gt;0,0,0)</f>
        <v>0</v>
      </c>
      <c r="W10" s="156">
        <f>IF(I10/15&lt;=SMG,0,IF(U10&lt;0,0,U10))</f>
        <v>2995.45</v>
      </c>
      <c r="X10" s="156">
        <f>SUM(W10:W10)</f>
        <v>2995.45</v>
      </c>
      <c r="Y10" s="156">
        <f>K10+V10-X10</f>
        <v>14655.05</v>
      </c>
      <c r="Z10" s="89"/>
    </row>
    <row r="11" spans="1:26" s="4" customFormat="1" ht="131.25" customHeight="1" x14ac:dyDescent="0.35">
      <c r="A11" s="110" t="s">
        <v>84</v>
      </c>
      <c r="B11" s="149" t="s">
        <v>101</v>
      </c>
      <c r="C11" s="149" t="s">
        <v>109</v>
      </c>
      <c r="D11" s="211" t="s">
        <v>72</v>
      </c>
      <c r="E11" s="214">
        <v>39462</v>
      </c>
      <c r="F11" s="151" t="s">
        <v>192</v>
      </c>
      <c r="G11" s="152">
        <v>15</v>
      </c>
      <c r="H11" s="153">
        <f>I11/G11</f>
        <v>753.86666666666667</v>
      </c>
      <c r="I11" s="154">
        <v>11308</v>
      </c>
      <c r="J11" s="155">
        <v>0</v>
      </c>
      <c r="K11" s="156">
        <f>I11</f>
        <v>11308</v>
      </c>
      <c r="L11" s="157">
        <f>IF(I11/15&lt;=SMG,0,J11/2)</f>
        <v>0</v>
      </c>
      <c r="M11" s="157">
        <f t="shared" ref="M11:M12" si="0">I11+L11</f>
        <v>11308</v>
      </c>
      <c r="N11" s="157">
        <f>VLOOKUP(M11,Tarifa1,1)</f>
        <v>7641.91</v>
      </c>
      <c r="O11" s="157">
        <f t="shared" ref="O11:O12" si="1">M11-N11</f>
        <v>3666.09</v>
      </c>
      <c r="P11" s="158">
        <f>VLOOKUP(M11,Tarifa1,3)</f>
        <v>0.21360000000000001</v>
      </c>
      <c r="Q11" s="157">
        <f t="shared" ref="Q11:Q12" si="2">O11*P11</f>
        <v>783.0768240000001</v>
      </c>
      <c r="R11" s="159">
        <f>VLOOKUP(M11,Tarifa1,2)</f>
        <v>809.25</v>
      </c>
      <c r="S11" s="157">
        <f t="shared" ref="S11:S12" si="3">Q11+R11</f>
        <v>1592.3268240000002</v>
      </c>
      <c r="T11" s="157">
        <f>VLOOKUP(M11,Credito1,2)</f>
        <v>0</v>
      </c>
      <c r="U11" s="157">
        <f t="shared" ref="U11:U12" si="4">ROUND(S11-T11,2)</f>
        <v>1592.33</v>
      </c>
      <c r="V11" s="156">
        <f>-IF(U11&gt;0,0,0)</f>
        <v>0</v>
      </c>
      <c r="W11" s="156">
        <f>IF(I11/15&lt;=SMG,0,IF(U11&lt;0,0,U11))</f>
        <v>1592.33</v>
      </c>
      <c r="X11" s="156">
        <f>SUM(W11:W11)</f>
        <v>1592.33</v>
      </c>
      <c r="Y11" s="156">
        <f>K11+V11-X11</f>
        <v>9715.67</v>
      </c>
      <c r="Z11" s="89"/>
    </row>
    <row r="12" spans="1:26" s="4" customFormat="1" ht="131.25" customHeight="1" x14ac:dyDescent="0.35">
      <c r="A12" s="110" t="s">
        <v>85</v>
      </c>
      <c r="B12" s="149" t="s">
        <v>106</v>
      </c>
      <c r="C12" s="149" t="s">
        <v>109</v>
      </c>
      <c r="D12" s="211" t="s">
        <v>94</v>
      </c>
      <c r="E12" s="214">
        <v>42278</v>
      </c>
      <c r="F12" s="151" t="s">
        <v>192</v>
      </c>
      <c r="G12" s="152">
        <v>15</v>
      </c>
      <c r="H12" s="153">
        <f>I12/G12</f>
        <v>457.53333333333336</v>
      </c>
      <c r="I12" s="154">
        <v>6863</v>
      </c>
      <c r="J12" s="155">
        <v>0</v>
      </c>
      <c r="K12" s="156">
        <f>SUM(I12:J12)</f>
        <v>6863</v>
      </c>
      <c r="L12" s="157">
        <f>IF(I12/15&lt;=SMG,0,J12/2)</f>
        <v>0</v>
      </c>
      <c r="M12" s="157">
        <f t="shared" si="0"/>
        <v>6863</v>
      </c>
      <c r="N12" s="157">
        <f>VLOOKUP(M12,Tarifa1,1)</f>
        <v>6382.81</v>
      </c>
      <c r="O12" s="157">
        <f t="shared" si="1"/>
        <v>480.1899999999996</v>
      </c>
      <c r="P12" s="158">
        <f>VLOOKUP(M12,Tarifa1,3)</f>
        <v>0.1792</v>
      </c>
      <c r="Q12" s="157">
        <f t="shared" si="2"/>
        <v>86.050047999999933</v>
      </c>
      <c r="R12" s="159">
        <f>VLOOKUP(M12,Tarifa1,2)</f>
        <v>583.65</v>
      </c>
      <c r="S12" s="157">
        <f t="shared" si="3"/>
        <v>669.70004799999992</v>
      </c>
      <c r="T12" s="157">
        <f>VLOOKUP(M12,Credito1,2)</f>
        <v>0</v>
      </c>
      <c r="U12" s="157">
        <f t="shared" si="4"/>
        <v>669.7</v>
      </c>
      <c r="V12" s="156">
        <f>-IF(U12&gt;0,0,0)</f>
        <v>0</v>
      </c>
      <c r="W12" s="156">
        <f>IF(I12/15&lt;=SMG,0,IF(U12&lt;0,0,U12))</f>
        <v>669.7</v>
      </c>
      <c r="X12" s="156">
        <f>SUM(W12:W12)</f>
        <v>669.7</v>
      </c>
      <c r="Y12" s="156">
        <f>K12+V12-X12</f>
        <v>6193.3</v>
      </c>
      <c r="Z12" s="89"/>
    </row>
    <row r="13" spans="1:26" s="4" customFormat="1" ht="36" customHeight="1" x14ac:dyDescent="0.3">
      <c r="A13" s="171"/>
      <c r="B13" s="171"/>
      <c r="C13" s="171"/>
      <c r="D13" s="171"/>
      <c r="E13" s="171"/>
      <c r="F13" s="171"/>
      <c r="G13" s="171"/>
      <c r="H13" s="171"/>
      <c r="I13" s="177"/>
      <c r="J13" s="177"/>
      <c r="K13" s="177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</row>
    <row r="14" spans="1:26" s="4" customFormat="1" ht="60" customHeight="1" thickBot="1" x14ac:dyDescent="0.35">
      <c r="A14" s="291" t="s">
        <v>44</v>
      </c>
      <c r="B14" s="292"/>
      <c r="C14" s="292"/>
      <c r="D14" s="292"/>
      <c r="E14" s="292"/>
      <c r="F14" s="292"/>
      <c r="G14" s="292"/>
      <c r="H14" s="293"/>
      <c r="I14" s="160">
        <f>SUM(I10:I13)</f>
        <v>35821.5</v>
      </c>
      <c r="J14" s="160">
        <f>SUM(J10:J13)</f>
        <v>0</v>
      </c>
      <c r="K14" s="160">
        <f>SUM(K10:K13)</f>
        <v>35821.5</v>
      </c>
      <c r="L14" s="161">
        <f t="shared" ref="L14:U14" si="5">SUM(L10:L13)</f>
        <v>0</v>
      </c>
      <c r="M14" s="161">
        <f t="shared" si="5"/>
        <v>35821.5</v>
      </c>
      <c r="N14" s="161">
        <f t="shared" si="5"/>
        <v>29437.530000000002</v>
      </c>
      <c r="O14" s="161">
        <f t="shared" si="5"/>
        <v>6383.97</v>
      </c>
      <c r="P14" s="161">
        <f t="shared" si="5"/>
        <v>0.628</v>
      </c>
      <c r="Q14" s="161">
        <f t="shared" si="5"/>
        <v>1395.43156</v>
      </c>
      <c r="R14" s="161">
        <f t="shared" si="5"/>
        <v>3862.05</v>
      </c>
      <c r="S14" s="161">
        <f t="shared" si="5"/>
        <v>5257.4815600000002</v>
      </c>
      <c r="T14" s="161">
        <f t="shared" si="5"/>
        <v>0</v>
      </c>
      <c r="U14" s="161">
        <f t="shared" si="5"/>
        <v>5257.48</v>
      </c>
      <c r="V14" s="160">
        <f>SUM(V10:V13)</f>
        <v>0</v>
      </c>
      <c r="W14" s="160">
        <f>SUM(W10:W13)</f>
        <v>5257.48</v>
      </c>
      <c r="X14" s="160">
        <f>SUM(X10:X13)</f>
        <v>5257.48</v>
      </c>
      <c r="Y14" s="160">
        <f>SUM(Y10:Y12)</f>
        <v>30564.02</v>
      </c>
    </row>
    <row r="15" spans="1:26" ht="35.1" customHeight="1" thickTop="1" x14ac:dyDescent="0.25"/>
    <row r="16" spans="1:26" ht="35.1" customHeight="1" x14ac:dyDescent="0.25"/>
    <row r="19" spans="26:26" x14ac:dyDescent="0.25">
      <c r="Z19" s="43"/>
    </row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21" zoomScale="87" zoomScaleNormal="87" workbookViewId="0">
      <selection activeCell="B27" sqref="A27:XFD31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2.6640625" customWidth="1"/>
    <col min="26" max="26" width="0.88671875" customWidth="1"/>
  </cols>
  <sheetData>
    <row r="1" spans="1:26" ht="17.399999999999999" x14ac:dyDescent="0.3">
      <c r="A1" s="304" t="s">
        <v>77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</row>
    <row r="2" spans="1:26" ht="17.399999999999999" x14ac:dyDescent="0.3">
      <c r="A2" s="304" t="s">
        <v>63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</row>
    <row r="3" spans="1:26" ht="19.8" x14ac:dyDescent="0.3">
      <c r="A3" s="295" t="str">
        <f>PRESIDENCIA!A3</f>
        <v>SUELDO  DEL 01 AL 15 DE AGOSTO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5" t="s">
        <v>1</v>
      </c>
      <c r="J6" s="307"/>
      <c r="K6" s="24" t="s">
        <v>25</v>
      </c>
      <c r="L6" s="25"/>
      <c r="M6" s="308" t="s">
        <v>8</v>
      </c>
      <c r="N6" s="309"/>
      <c r="O6" s="309"/>
      <c r="P6" s="309"/>
      <c r="Q6" s="309"/>
      <c r="R6" s="310"/>
      <c r="S6" s="24" t="s">
        <v>29</v>
      </c>
      <c r="T6" s="24" t="s">
        <v>9</v>
      </c>
      <c r="U6" s="23" t="s">
        <v>52</v>
      </c>
      <c r="V6" s="311" t="s">
        <v>2</v>
      </c>
      <c r="W6" s="312"/>
      <c r="X6" s="23" t="s">
        <v>0</v>
      </c>
      <c r="Y6" s="34"/>
    </row>
    <row r="7" spans="1:26" ht="33.75" customHeight="1" x14ac:dyDescent="0.25">
      <c r="A7" s="26" t="s">
        <v>20</v>
      </c>
      <c r="B7" s="45" t="s">
        <v>98</v>
      </c>
      <c r="C7" s="45" t="s">
        <v>110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256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0" t="s">
        <v>59</v>
      </c>
      <c r="E9" s="38" t="s">
        <v>265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1"/>
    </row>
    <row r="10" spans="1:26" ht="104.25" customHeight="1" x14ac:dyDescent="0.35">
      <c r="A10" s="110" t="s">
        <v>82</v>
      </c>
      <c r="B10" s="148" t="s">
        <v>213</v>
      </c>
      <c r="C10" s="149" t="s">
        <v>109</v>
      </c>
      <c r="D10" s="211" t="s">
        <v>198</v>
      </c>
      <c r="E10" s="214">
        <v>44470</v>
      </c>
      <c r="F10" s="150" t="s">
        <v>74</v>
      </c>
      <c r="G10" s="152">
        <v>15</v>
      </c>
      <c r="H10" s="184">
        <f>I10/G10</f>
        <v>607.70000000000005</v>
      </c>
      <c r="I10" s="154">
        <v>9115.5</v>
      </c>
      <c r="J10" s="156">
        <f t="shared" ref="J10:J18" si="0">SUM(I10:I10)</f>
        <v>9115.5</v>
      </c>
      <c r="K10" s="157">
        <v>0</v>
      </c>
      <c r="L10" s="157">
        <f>J10+K10</f>
        <v>9115.5</v>
      </c>
      <c r="M10" s="157">
        <f t="shared" ref="M10:M18" si="1">VLOOKUP(L10,Tarifa1,1)</f>
        <v>7641.91</v>
      </c>
      <c r="N10" s="157">
        <f>L10-M10</f>
        <v>1473.5900000000001</v>
      </c>
      <c r="O10" s="158">
        <f t="shared" ref="O10" si="2">VLOOKUP(L10,Tarifa1,3)</f>
        <v>0.21360000000000001</v>
      </c>
      <c r="P10" s="157">
        <f>N10*O10</f>
        <v>314.75882400000006</v>
      </c>
      <c r="Q10" s="159">
        <f t="shared" ref="Q10:Q18" si="3">VLOOKUP(L10,Tarifa1,2)</f>
        <v>809.25</v>
      </c>
      <c r="R10" s="157">
        <f>P10+Q10</f>
        <v>1124.008824</v>
      </c>
      <c r="S10" s="157">
        <f t="shared" ref="S10" si="4">VLOOKUP(L10,Credito1,2)</f>
        <v>0</v>
      </c>
      <c r="T10" s="157">
        <f>ROUND(R10-S10,2)</f>
        <v>1124.01</v>
      </c>
      <c r="U10" s="156">
        <f t="shared" ref="U10:U18" si="5">-IF(T10&gt;0,0,T10)</f>
        <v>0</v>
      </c>
      <c r="V10" s="156">
        <f t="shared" ref="V10:V18" si="6">IF(I10/15&lt;=SMG,0,IF(T10&lt;0,0,T10))</f>
        <v>1124.01</v>
      </c>
      <c r="W10" s="156">
        <f t="shared" ref="W10:W18" si="7">SUM(V10:V10)</f>
        <v>1124.01</v>
      </c>
      <c r="X10" s="156">
        <f t="shared" ref="X10:X18" si="8">J10+U10-W10</f>
        <v>7991.49</v>
      </c>
      <c r="Y10" s="33"/>
    </row>
    <row r="11" spans="1:26" ht="104.25" customHeight="1" x14ac:dyDescent="0.35">
      <c r="A11" s="110" t="s">
        <v>83</v>
      </c>
      <c r="B11" s="148" t="s">
        <v>196</v>
      </c>
      <c r="C11" s="149" t="s">
        <v>109</v>
      </c>
      <c r="D11" s="211" t="s">
        <v>199</v>
      </c>
      <c r="E11" s="214">
        <v>44470</v>
      </c>
      <c r="F11" s="150" t="s">
        <v>74</v>
      </c>
      <c r="G11" s="152">
        <v>15</v>
      </c>
      <c r="H11" s="184">
        <f t="shared" ref="H11:H18" si="9">I11/G11</f>
        <v>607.70000000000005</v>
      </c>
      <c r="I11" s="154">
        <v>9115.5</v>
      </c>
      <c r="J11" s="156">
        <f t="shared" si="0"/>
        <v>9115.5</v>
      </c>
      <c r="K11" s="157">
        <v>0</v>
      </c>
      <c r="L11" s="157">
        <f t="shared" ref="L11:L18" si="10">J11+K11</f>
        <v>9115.5</v>
      </c>
      <c r="M11" s="157">
        <f t="shared" si="1"/>
        <v>7641.91</v>
      </c>
      <c r="N11" s="157">
        <f t="shared" ref="N11" si="11">L11-M11</f>
        <v>1473.5900000000001</v>
      </c>
      <c r="O11" s="158">
        <f t="shared" ref="O11" si="12">VLOOKUP(L11,Tarifa1,3)</f>
        <v>0.21360000000000001</v>
      </c>
      <c r="P11" s="157">
        <f t="shared" ref="P11" si="13">N11*O11</f>
        <v>314.75882400000006</v>
      </c>
      <c r="Q11" s="159">
        <f t="shared" si="3"/>
        <v>809.25</v>
      </c>
      <c r="R11" s="157">
        <f t="shared" ref="R11:R18" si="14">P11+Q11</f>
        <v>1124.008824</v>
      </c>
      <c r="S11" s="157">
        <f t="shared" ref="S11:S18" si="15">VLOOKUP(L11,Credito1,2)</f>
        <v>0</v>
      </c>
      <c r="T11" s="157">
        <f t="shared" ref="T11:T18" si="16">ROUND(R11-S11,2)</f>
        <v>1124.01</v>
      </c>
      <c r="U11" s="156">
        <f t="shared" si="5"/>
        <v>0</v>
      </c>
      <c r="V11" s="156">
        <f t="shared" si="6"/>
        <v>1124.01</v>
      </c>
      <c r="W11" s="156">
        <f t="shared" si="7"/>
        <v>1124.01</v>
      </c>
      <c r="X11" s="156">
        <f t="shared" si="8"/>
        <v>7991.49</v>
      </c>
      <c r="Y11" s="33"/>
    </row>
    <row r="12" spans="1:26" ht="104.25" customHeight="1" x14ac:dyDescent="0.35">
      <c r="A12" s="110" t="s">
        <v>84</v>
      </c>
      <c r="B12" s="148" t="s">
        <v>197</v>
      </c>
      <c r="C12" s="149" t="s">
        <v>109</v>
      </c>
      <c r="D12" s="211" t="s">
        <v>200</v>
      </c>
      <c r="E12" s="214">
        <v>44470</v>
      </c>
      <c r="F12" s="150" t="s">
        <v>74</v>
      </c>
      <c r="G12" s="152">
        <v>15</v>
      </c>
      <c r="H12" s="184">
        <f t="shared" si="9"/>
        <v>607.70000000000005</v>
      </c>
      <c r="I12" s="154">
        <v>9115.5</v>
      </c>
      <c r="J12" s="156">
        <f t="shared" si="0"/>
        <v>9115.5</v>
      </c>
      <c r="K12" s="157">
        <v>0</v>
      </c>
      <c r="L12" s="157">
        <f t="shared" si="10"/>
        <v>9115.5</v>
      </c>
      <c r="M12" s="157">
        <f t="shared" si="1"/>
        <v>7641.91</v>
      </c>
      <c r="N12" s="157">
        <f t="shared" ref="N12:N18" si="17">L12-M12</f>
        <v>1473.5900000000001</v>
      </c>
      <c r="O12" s="158">
        <f t="shared" ref="O12:O18" si="18">VLOOKUP(L12,Tarifa1,3)</f>
        <v>0.21360000000000001</v>
      </c>
      <c r="P12" s="157">
        <f t="shared" ref="P12:P18" si="19">N12*O12</f>
        <v>314.75882400000006</v>
      </c>
      <c r="Q12" s="159">
        <f t="shared" si="3"/>
        <v>809.25</v>
      </c>
      <c r="R12" s="157">
        <f t="shared" si="14"/>
        <v>1124.008824</v>
      </c>
      <c r="S12" s="157">
        <f t="shared" si="15"/>
        <v>0</v>
      </c>
      <c r="T12" s="157">
        <f t="shared" si="16"/>
        <v>1124.01</v>
      </c>
      <c r="U12" s="156">
        <f t="shared" si="5"/>
        <v>0</v>
      </c>
      <c r="V12" s="156">
        <f t="shared" si="6"/>
        <v>1124.01</v>
      </c>
      <c r="W12" s="156">
        <f t="shared" si="7"/>
        <v>1124.01</v>
      </c>
      <c r="X12" s="156">
        <f t="shared" si="8"/>
        <v>7991.49</v>
      </c>
      <c r="Y12" s="33"/>
    </row>
    <row r="13" spans="1:26" ht="104.25" customHeight="1" x14ac:dyDescent="0.35">
      <c r="A13" s="110" t="s">
        <v>85</v>
      </c>
      <c r="B13" s="148" t="s">
        <v>214</v>
      </c>
      <c r="C13" s="149" t="s">
        <v>109</v>
      </c>
      <c r="D13" s="212" t="s">
        <v>201</v>
      </c>
      <c r="E13" s="214">
        <v>44470</v>
      </c>
      <c r="F13" s="150" t="s">
        <v>74</v>
      </c>
      <c r="G13" s="152">
        <v>10</v>
      </c>
      <c r="H13" s="184">
        <f t="shared" si="9"/>
        <v>911.55</v>
      </c>
      <c r="I13" s="154">
        <v>9115.5</v>
      </c>
      <c r="J13" s="156">
        <f t="shared" ref="J13" si="20">SUM(I13:I13)</f>
        <v>9115.5</v>
      </c>
      <c r="K13" s="157">
        <v>0</v>
      </c>
      <c r="L13" s="157">
        <f t="shared" ref="L13" si="21">J13+K13</f>
        <v>9115.5</v>
      </c>
      <c r="M13" s="157">
        <f t="shared" si="1"/>
        <v>7641.91</v>
      </c>
      <c r="N13" s="157">
        <f t="shared" si="17"/>
        <v>1473.5900000000001</v>
      </c>
      <c r="O13" s="158">
        <f t="shared" si="18"/>
        <v>0.21360000000000001</v>
      </c>
      <c r="P13" s="157">
        <f t="shared" si="19"/>
        <v>314.75882400000006</v>
      </c>
      <c r="Q13" s="159">
        <f t="shared" si="3"/>
        <v>809.25</v>
      </c>
      <c r="R13" s="157">
        <f t="shared" ref="R13" si="22">P13+Q13</f>
        <v>1124.008824</v>
      </c>
      <c r="S13" s="157">
        <f t="shared" ref="S13" si="23">VLOOKUP(L13,Credito1,2)</f>
        <v>0</v>
      </c>
      <c r="T13" s="157">
        <f t="shared" ref="T13" si="24">ROUND(R13-S13,2)</f>
        <v>1124.01</v>
      </c>
      <c r="U13" s="156">
        <f t="shared" si="5"/>
        <v>0</v>
      </c>
      <c r="V13" s="156">
        <f t="shared" si="6"/>
        <v>1124.01</v>
      </c>
      <c r="W13" s="156">
        <f t="shared" si="7"/>
        <v>1124.01</v>
      </c>
      <c r="X13" s="156">
        <f t="shared" si="8"/>
        <v>7991.49</v>
      </c>
      <c r="Y13" s="33"/>
    </row>
    <row r="14" spans="1:26" ht="104.25" customHeight="1" x14ac:dyDescent="0.35">
      <c r="A14" s="110" t="s">
        <v>86</v>
      </c>
      <c r="B14" s="148" t="s">
        <v>215</v>
      </c>
      <c r="C14" s="149" t="s">
        <v>109</v>
      </c>
      <c r="D14" s="213" t="s">
        <v>202</v>
      </c>
      <c r="E14" s="214">
        <v>44470</v>
      </c>
      <c r="F14" s="163" t="s">
        <v>74</v>
      </c>
      <c r="G14" s="164">
        <v>15</v>
      </c>
      <c r="H14" s="185">
        <f t="shared" si="9"/>
        <v>607.70000000000005</v>
      </c>
      <c r="I14" s="154">
        <v>9115.5</v>
      </c>
      <c r="J14" s="156">
        <f t="shared" ref="J14" si="25">SUM(I14:I14)</f>
        <v>9115.5</v>
      </c>
      <c r="K14" s="157">
        <v>0</v>
      </c>
      <c r="L14" s="157">
        <f t="shared" si="10"/>
        <v>9115.5</v>
      </c>
      <c r="M14" s="157">
        <f t="shared" si="1"/>
        <v>7641.91</v>
      </c>
      <c r="N14" s="157">
        <f t="shared" si="17"/>
        <v>1473.5900000000001</v>
      </c>
      <c r="O14" s="158">
        <f t="shared" si="18"/>
        <v>0.21360000000000001</v>
      </c>
      <c r="P14" s="157">
        <f t="shared" si="19"/>
        <v>314.75882400000006</v>
      </c>
      <c r="Q14" s="159">
        <f t="shared" si="3"/>
        <v>809.25</v>
      </c>
      <c r="R14" s="157">
        <f t="shared" si="14"/>
        <v>1124.008824</v>
      </c>
      <c r="S14" s="157">
        <f t="shared" si="15"/>
        <v>0</v>
      </c>
      <c r="T14" s="157">
        <f t="shared" si="16"/>
        <v>1124.01</v>
      </c>
      <c r="U14" s="156">
        <f t="shared" ref="U14" si="26">-IF(T14&gt;0,0,T14)</f>
        <v>0</v>
      </c>
      <c r="V14" s="156">
        <f t="shared" si="6"/>
        <v>1124.01</v>
      </c>
      <c r="W14" s="156">
        <f t="shared" si="7"/>
        <v>1124.01</v>
      </c>
      <c r="X14" s="156">
        <f t="shared" si="8"/>
        <v>7991.49</v>
      </c>
      <c r="Y14" s="33"/>
    </row>
    <row r="15" spans="1:26" ht="104.25" customHeight="1" x14ac:dyDescent="0.35">
      <c r="A15" s="110" t="s">
        <v>87</v>
      </c>
      <c r="B15" s="148" t="s">
        <v>216</v>
      </c>
      <c r="C15" s="149" t="s">
        <v>109</v>
      </c>
      <c r="D15" s="211" t="s">
        <v>203</v>
      </c>
      <c r="E15" s="214">
        <v>44470</v>
      </c>
      <c r="F15" s="150" t="s">
        <v>74</v>
      </c>
      <c r="G15" s="152">
        <v>15</v>
      </c>
      <c r="H15" s="184">
        <f t="shared" si="9"/>
        <v>607.70000000000005</v>
      </c>
      <c r="I15" s="154">
        <v>9115.5</v>
      </c>
      <c r="J15" s="156">
        <f t="shared" si="0"/>
        <v>9115.5</v>
      </c>
      <c r="K15" s="157">
        <v>0</v>
      </c>
      <c r="L15" s="157">
        <f t="shared" si="10"/>
        <v>9115.5</v>
      </c>
      <c r="M15" s="157">
        <f t="shared" si="1"/>
        <v>7641.91</v>
      </c>
      <c r="N15" s="157">
        <f t="shared" si="17"/>
        <v>1473.5900000000001</v>
      </c>
      <c r="O15" s="158">
        <f t="shared" si="18"/>
        <v>0.21360000000000001</v>
      </c>
      <c r="P15" s="157">
        <f t="shared" si="19"/>
        <v>314.75882400000006</v>
      </c>
      <c r="Q15" s="159">
        <f t="shared" si="3"/>
        <v>809.25</v>
      </c>
      <c r="R15" s="157">
        <f t="shared" si="14"/>
        <v>1124.008824</v>
      </c>
      <c r="S15" s="157">
        <f t="shared" si="15"/>
        <v>0</v>
      </c>
      <c r="T15" s="157">
        <f t="shared" si="16"/>
        <v>1124.01</v>
      </c>
      <c r="U15" s="156">
        <f t="shared" si="5"/>
        <v>0</v>
      </c>
      <c r="V15" s="156">
        <f t="shared" si="6"/>
        <v>1124.01</v>
      </c>
      <c r="W15" s="156">
        <f t="shared" si="7"/>
        <v>1124.01</v>
      </c>
      <c r="X15" s="156">
        <f t="shared" si="8"/>
        <v>7991.49</v>
      </c>
      <c r="Y15" s="33"/>
    </row>
    <row r="16" spans="1:26" ht="104.25" customHeight="1" x14ac:dyDescent="0.35">
      <c r="A16" s="110" t="s">
        <v>88</v>
      </c>
      <c r="B16" s="148" t="s">
        <v>204</v>
      </c>
      <c r="C16" s="149" t="s">
        <v>109</v>
      </c>
      <c r="D16" s="211" t="s">
        <v>205</v>
      </c>
      <c r="E16" s="214">
        <v>44470</v>
      </c>
      <c r="F16" s="150" t="s">
        <v>74</v>
      </c>
      <c r="G16" s="152">
        <v>15</v>
      </c>
      <c r="H16" s="184">
        <f t="shared" si="9"/>
        <v>607.70000000000005</v>
      </c>
      <c r="I16" s="154">
        <v>9115.5</v>
      </c>
      <c r="J16" s="156">
        <f t="shared" si="0"/>
        <v>9115.5</v>
      </c>
      <c r="K16" s="157">
        <v>0</v>
      </c>
      <c r="L16" s="157">
        <f t="shared" si="10"/>
        <v>9115.5</v>
      </c>
      <c r="M16" s="157">
        <f t="shared" si="1"/>
        <v>7641.91</v>
      </c>
      <c r="N16" s="157">
        <f t="shared" si="17"/>
        <v>1473.5900000000001</v>
      </c>
      <c r="O16" s="158">
        <f t="shared" si="18"/>
        <v>0.21360000000000001</v>
      </c>
      <c r="P16" s="157">
        <f t="shared" si="19"/>
        <v>314.75882400000006</v>
      </c>
      <c r="Q16" s="159">
        <f t="shared" si="3"/>
        <v>809.25</v>
      </c>
      <c r="R16" s="157">
        <f t="shared" si="14"/>
        <v>1124.008824</v>
      </c>
      <c r="S16" s="157">
        <f t="shared" si="15"/>
        <v>0</v>
      </c>
      <c r="T16" s="157">
        <f t="shared" si="16"/>
        <v>1124.01</v>
      </c>
      <c r="U16" s="156">
        <f t="shared" si="5"/>
        <v>0</v>
      </c>
      <c r="V16" s="156">
        <f t="shared" si="6"/>
        <v>1124.01</v>
      </c>
      <c r="W16" s="156">
        <f t="shared" si="7"/>
        <v>1124.01</v>
      </c>
      <c r="X16" s="156">
        <f t="shared" si="8"/>
        <v>7991.49</v>
      </c>
      <c r="Y16" s="33"/>
    </row>
    <row r="17" spans="1:25" ht="104.25" customHeight="1" x14ac:dyDescent="0.35">
      <c r="A17" s="110" t="s">
        <v>89</v>
      </c>
      <c r="B17" s="148" t="s">
        <v>217</v>
      </c>
      <c r="C17" s="149" t="s">
        <v>109</v>
      </c>
      <c r="D17" s="211" t="s">
        <v>206</v>
      </c>
      <c r="E17" s="214">
        <v>44470</v>
      </c>
      <c r="F17" s="150" t="s">
        <v>74</v>
      </c>
      <c r="G17" s="152">
        <v>15</v>
      </c>
      <c r="H17" s="184">
        <f t="shared" si="9"/>
        <v>607.70000000000005</v>
      </c>
      <c r="I17" s="154">
        <v>9115.5</v>
      </c>
      <c r="J17" s="156">
        <f t="shared" si="0"/>
        <v>9115.5</v>
      </c>
      <c r="K17" s="157">
        <v>0</v>
      </c>
      <c r="L17" s="157">
        <f t="shared" si="10"/>
        <v>9115.5</v>
      </c>
      <c r="M17" s="157">
        <f t="shared" si="1"/>
        <v>7641.91</v>
      </c>
      <c r="N17" s="157">
        <f t="shared" si="17"/>
        <v>1473.5900000000001</v>
      </c>
      <c r="O17" s="158">
        <f t="shared" si="18"/>
        <v>0.21360000000000001</v>
      </c>
      <c r="P17" s="157">
        <f t="shared" si="19"/>
        <v>314.75882400000006</v>
      </c>
      <c r="Q17" s="159">
        <f t="shared" si="3"/>
        <v>809.25</v>
      </c>
      <c r="R17" s="157">
        <f t="shared" si="14"/>
        <v>1124.008824</v>
      </c>
      <c r="S17" s="157">
        <f t="shared" si="15"/>
        <v>0</v>
      </c>
      <c r="T17" s="157">
        <f t="shared" si="16"/>
        <v>1124.01</v>
      </c>
      <c r="U17" s="156">
        <f t="shared" si="5"/>
        <v>0</v>
      </c>
      <c r="V17" s="156">
        <f t="shared" si="6"/>
        <v>1124.01</v>
      </c>
      <c r="W17" s="156">
        <f t="shared" si="7"/>
        <v>1124.01</v>
      </c>
      <c r="X17" s="156">
        <f t="shared" si="8"/>
        <v>7991.49</v>
      </c>
      <c r="Y17" s="33"/>
    </row>
    <row r="18" spans="1:25" ht="104.25" customHeight="1" x14ac:dyDescent="0.35">
      <c r="A18" s="110" t="s">
        <v>90</v>
      </c>
      <c r="B18" s="148" t="s">
        <v>218</v>
      </c>
      <c r="C18" s="149" t="s">
        <v>109</v>
      </c>
      <c r="D18" s="211" t="s">
        <v>222</v>
      </c>
      <c r="E18" s="214">
        <v>44470</v>
      </c>
      <c r="F18" s="150" t="s">
        <v>74</v>
      </c>
      <c r="G18" s="152">
        <v>15</v>
      </c>
      <c r="H18" s="184">
        <f t="shared" si="9"/>
        <v>607.70000000000005</v>
      </c>
      <c r="I18" s="154">
        <v>9115.5</v>
      </c>
      <c r="J18" s="156">
        <f t="shared" si="0"/>
        <v>9115.5</v>
      </c>
      <c r="K18" s="157">
        <v>0</v>
      </c>
      <c r="L18" s="157">
        <f t="shared" si="10"/>
        <v>9115.5</v>
      </c>
      <c r="M18" s="157">
        <f t="shared" si="1"/>
        <v>7641.91</v>
      </c>
      <c r="N18" s="157">
        <f t="shared" si="17"/>
        <v>1473.5900000000001</v>
      </c>
      <c r="O18" s="158">
        <f t="shared" si="18"/>
        <v>0.21360000000000001</v>
      </c>
      <c r="P18" s="157">
        <f t="shared" si="19"/>
        <v>314.75882400000006</v>
      </c>
      <c r="Q18" s="159">
        <f t="shared" si="3"/>
        <v>809.25</v>
      </c>
      <c r="R18" s="157">
        <f t="shared" si="14"/>
        <v>1124.008824</v>
      </c>
      <c r="S18" s="157">
        <f t="shared" si="15"/>
        <v>0</v>
      </c>
      <c r="T18" s="157">
        <f t="shared" si="16"/>
        <v>1124.01</v>
      </c>
      <c r="U18" s="156">
        <f t="shared" si="5"/>
        <v>0</v>
      </c>
      <c r="V18" s="156">
        <f t="shared" si="6"/>
        <v>1124.01</v>
      </c>
      <c r="W18" s="156">
        <f t="shared" si="7"/>
        <v>1124.01</v>
      </c>
      <c r="X18" s="156">
        <f t="shared" si="8"/>
        <v>7991.49</v>
      </c>
      <c r="Y18" s="33"/>
    </row>
    <row r="19" spans="1:25" ht="21.75" customHeight="1" x14ac:dyDescent="0.3">
      <c r="A19" s="171"/>
      <c r="B19" s="171"/>
      <c r="C19" s="171"/>
      <c r="D19" s="171"/>
      <c r="E19" s="171"/>
      <c r="F19" s="171"/>
      <c r="G19" s="171"/>
      <c r="H19" s="171"/>
      <c r="I19" s="177"/>
      <c r="J19" s="177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</row>
    <row r="20" spans="1:25" ht="40.5" customHeight="1" thickBot="1" x14ac:dyDescent="0.35">
      <c r="A20" s="291" t="s">
        <v>44</v>
      </c>
      <c r="B20" s="292"/>
      <c r="C20" s="292"/>
      <c r="D20" s="292"/>
      <c r="E20" s="292"/>
      <c r="F20" s="292"/>
      <c r="G20" s="292"/>
      <c r="H20" s="293"/>
      <c r="I20" s="160">
        <f>SUM(I10:I19)</f>
        <v>82039.5</v>
      </c>
      <c r="J20" s="160">
        <f>SUM(J10:J19)</f>
        <v>82039.5</v>
      </c>
      <c r="K20" s="161">
        <f t="shared" ref="K20:T20" si="27">SUM(K10:K19)</f>
        <v>0</v>
      </c>
      <c r="L20" s="161">
        <f t="shared" si="27"/>
        <v>82039.5</v>
      </c>
      <c r="M20" s="161">
        <f t="shared" si="27"/>
        <v>68777.190000000017</v>
      </c>
      <c r="N20" s="161">
        <f t="shared" si="27"/>
        <v>13262.310000000001</v>
      </c>
      <c r="O20" s="161">
        <f t="shared" si="27"/>
        <v>1.9224000000000001</v>
      </c>
      <c r="P20" s="161">
        <f t="shared" si="27"/>
        <v>2832.8294160000005</v>
      </c>
      <c r="Q20" s="161">
        <f t="shared" si="27"/>
        <v>7283.25</v>
      </c>
      <c r="R20" s="161">
        <f t="shared" si="27"/>
        <v>10116.079416000002</v>
      </c>
      <c r="S20" s="161">
        <f t="shared" si="27"/>
        <v>0</v>
      </c>
      <c r="T20" s="161">
        <f t="shared" si="27"/>
        <v>10116.09</v>
      </c>
      <c r="U20" s="160">
        <f>SUM(U10:U19)</f>
        <v>0</v>
      </c>
      <c r="V20" s="160">
        <f>SUM(V10:V19)</f>
        <v>10116.09</v>
      </c>
      <c r="W20" s="160">
        <f>SUM(W10:W19)</f>
        <v>10116.09</v>
      </c>
      <c r="X20" s="160">
        <f>SUM(X10:X19)</f>
        <v>71923.409999999989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7.874015748031496E-2" top="0.74803149606299213" bottom="0.19685039370078741" header="0.31496062992125984" footer="0.31496062992125984"/>
  <pageSetup scale="41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13" workbookViewId="0">
      <selection activeCell="A23" sqref="A23:XFD27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304" t="s">
        <v>77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x14ac:dyDescent="0.3">
      <c r="A2" s="304" t="s">
        <v>63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ht="19.8" x14ac:dyDescent="0.3">
      <c r="A3" s="295" t="str">
        <f>PRESIDENCIA!A3</f>
        <v>SUELDO  DEL 01 AL 15 DE AGOSTO DE 2024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305" t="s">
        <v>1</v>
      </c>
      <c r="I7" s="306"/>
      <c r="J7" s="307"/>
      <c r="K7" s="24" t="s">
        <v>25</v>
      </c>
      <c r="L7" s="25"/>
      <c r="M7" s="308" t="s">
        <v>8</v>
      </c>
      <c r="N7" s="309"/>
      <c r="O7" s="309"/>
      <c r="P7" s="309"/>
      <c r="Q7" s="309"/>
      <c r="R7" s="310"/>
      <c r="S7" s="24" t="s">
        <v>29</v>
      </c>
      <c r="T7" s="24" t="s">
        <v>9</v>
      </c>
      <c r="U7" s="23" t="s">
        <v>52</v>
      </c>
      <c r="V7" s="311" t="s">
        <v>2</v>
      </c>
      <c r="W7" s="312"/>
      <c r="X7" s="23" t="s">
        <v>0</v>
      </c>
      <c r="Y7" s="34"/>
    </row>
    <row r="8" spans="1:26" ht="21" x14ac:dyDescent="0.25">
      <c r="A8" s="45" t="s">
        <v>98</v>
      </c>
      <c r="B8" s="45" t="s">
        <v>110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256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0" t="s">
        <v>73</v>
      </c>
      <c r="D10" s="269" t="s">
        <v>265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1"/>
    </row>
    <row r="11" spans="1:26" ht="139.5" customHeight="1" x14ac:dyDescent="0.35">
      <c r="A11" s="148" t="s">
        <v>187</v>
      </c>
      <c r="B11" s="149" t="s">
        <v>109</v>
      </c>
      <c r="C11" s="211" t="s">
        <v>188</v>
      </c>
      <c r="D11" s="214">
        <v>43374</v>
      </c>
      <c r="E11" s="151" t="s">
        <v>230</v>
      </c>
      <c r="F11" s="152">
        <v>15</v>
      </c>
      <c r="G11" s="153">
        <f>H11/F11</f>
        <v>1020.3333333333334</v>
      </c>
      <c r="H11" s="154">
        <v>15305</v>
      </c>
      <c r="I11" s="155">
        <v>0</v>
      </c>
      <c r="J11" s="156">
        <f>SUM(H11:I11)</f>
        <v>15305</v>
      </c>
      <c r="K11" s="157">
        <f>I11/2</f>
        <v>0</v>
      </c>
      <c r="L11" s="157">
        <f>H11+K11</f>
        <v>15305</v>
      </c>
      <c r="M11" s="157">
        <f>VLOOKUP(L11,Tarifa1,1)</f>
        <v>7641.91</v>
      </c>
      <c r="N11" s="157">
        <f>L11-M11</f>
        <v>7663.09</v>
      </c>
      <c r="O11" s="158">
        <f t="shared" ref="O11" si="0">VLOOKUP(L11,Tarifa1,3)</f>
        <v>0.21360000000000001</v>
      </c>
      <c r="P11" s="157">
        <f>N11*O11</f>
        <v>1636.8360240000002</v>
      </c>
      <c r="Q11" s="159">
        <f>VLOOKUP(L11,Tarifa1,2)</f>
        <v>809.25</v>
      </c>
      <c r="R11" s="157">
        <f>P11+Q11</f>
        <v>2446.0860240000002</v>
      </c>
      <c r="S11" s="157">
        <f t="shared" ref="S11" si="1">VLOOKUP(L11,Credito1,2)</f>
        <v>0</v>
      </c>
      <c r="T11" s="157">
        <f>ROUND(R11-S11,2)</f>
        <v>2446.09</v>
      </c>
      <c r="U11" s="156">
        <f>-IF(T11&gt;0,0,0)</f>
        <v>0</v>
      </c>
      <c r="V11" s="156">
        <f>IF(H11/15&lt;=SMG,0,IF(T11&lt;0,0,T11))</f>
        <v>2446.09</v>
      </c>
      <c r="W11" s="156">
        <f>SUM(V11:V11)</f>
        <v>2446.09</v>
      </c>
      <c r="X11" s="156">
        <f>J11+U11-W11</f>
        <v>12858.91</v>
      </c>
      <c r="Y11" s="92"/>
    </row>
    <row r="12" spans="1:26" ht="17.399999999999999" x14ac:dyDescent="0.3">
      <c r="A12" s="171"/>
      <c r="B12" s="171"/>
      <c r="C12" s="171"/>
      <c r="D12" s="171"/>
      <c r="E12" s="171"/>
      <c r="F12" s="172"/>
      <c r="G12" s="171"/>
      <c r="H12" s="173"/>
      <c r="I12" s="173"/>
      <c r="J12" s="173"/>
      <c r="K12" s="174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</row>
    <row r="13" spans="1:26" ht="41.25" customHeight="1" thickBot="1" x14ac:dyDescent="0.35">
      <c r="A13" s="292"/>
      <c r="B13" s="292"/>
      <c r="C13" s="292"/>
      <c r="D13" s="292"/>
      <c r="E13" s="292"/>
      <c r="F13" s="292"/>
      <c r="G13" s="293"/>
      <c r="H13" s="160">
        <f t="shared" ref="H13:X13" si="2">SUM(H11:H12)</f>
        <v>15305</v>
      </c>
      <c r="I13" s="160">
        <f t="shared" si="2"/>
        <v>0</v>
      </c>
      <c r="J13" s="160">
        <f t="shared" si="2"/>
        <v>15305</v>
      </c>
      <c r="K13" s="161">
        <f t="shared" si="2"/>
        <v>0</v>
      </c>
      <c r="L13" s="161">
        <f t="shared" si="2"/>
        <v>15305</v>
      </c>
      <c r="M13" s="161">
        <f t="shared" si="2"/>
        <v>7641.91</v>
      </c>
      <c r="N13" s="161">
        <f t="shared" si="2"/>
        <v>7663.09</v>
      </c>
      <c r="O13" s="161">
        <f t="shared" si="2"/>
        <v>0.21360000000000001</v>
      </c>
      <c r="P13" s="161">
        <f t="shared" si="2"/>
        <v>1636.8360240000002</v>
      </c>
      <c r="Q13" s="161">
        <f t="shared" si="2"/>
        <v>809.25</v>
      </c>
      <c r="R13" s="161">
        <f t="shared" si="2"/>
        <v>2446.0860240000002</v>
      </c>
      <c r="S13" s="161">
        <f t="shared" si="2"/>
        <v>0</v>
      </c>
      <c r="T13" s="161">
        <f t="shared" si="2"/>
        <v>2446.09</v>
      </c>
      <c r="U13" s="160">
        <f t="shared" si="2"/>
        <v>0</v>
      </c>
      <c r="V13" s="160">
        <f t="shared" si="2"/>
        <v>2446.09</v>
      </c>
      <c r="W13" s="160">
        <f t="shared" si="2"/>
        <v>2446.09</v>
      </c>
      <c r="X13" s="160">
        <f t="shared" si="2"/>
        <v>12858.91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2024-08-20T15:46:57Z</cp:lastPrinted>
  <dcterms:created xsi:type="dcterms:W3CDTF">2000-05-05T04:08:27Z</dcterms:created>
  <dcterms:modified xsi:type="dcterms:W3CDTF">2024-11-15T17:55:16Z</dcterms:modified>
</cp:coreProperties>
</file>